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omments2.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1.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2.xml" ContentType="application/vnd.openxmlformats-officedocument.drawing+xml"/>
  <Override PartName="/xl/comments10.xml" ContentType="application/vnd.openxmlformats-officedocument.spreadsheetml.comments+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3.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4.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5.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6.xml" ContentType="application/vnd.openxmlformats-officedocument.drawing+xml"/>
  <Override PartName="/xl/comments11.xml" ContentType="application/vnd.openxmlformats-officedocument.spreadsheetml.comments+xml"/>
  <Override PartName="/xl/drawings/drawing17.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8.xml" ContentType="application/vnd.openxmlformats-officedocument.drawing+xml"/>
  <Override PartName="/xl/tables/table1.xml" ContentType="application/vnd.openxmlformats-officedocument.spreadsheetml.tab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9.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drawings/drawing22.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3.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24.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tables/table2.xml" ContentType="application/vnd.openxmlformats-officedocument.spreadsheetml.table+xml"/>
  <Override PartName="/xl/drawings/drawing25.xml" ContentType="application/vnd.openxmlformats-officedocument.drawing+xml"/>
  <Override PartName="/xl/charts/chart45.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26.xml" ContentType="application/vnd.openxmlformats-officedocument.drawing+xml"/>
  <Override PartName="/xl/charts/chart46.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7.xml" ContentType="application/vnd.openxmlformats-officedocument.drawing+xml"/>
  <Override PartName="/xl/charts/chart47.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28.xml" ContentType="application/vnd.openxmlformats-officedocument.drawing+xml"/>
  <Override PartName="/xl/charts/chart48.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9.xml" ContentType="application/vnd.openxmlformats-officedocument.drawingml.chartshapes+xml"/>
  <Override PartName="/xl/charts/chart49.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0.xml" ContentType="application/vnd.openxmlformats-officedocument.drawing+xml"/>
  <Override PartName="/xl/charts/chart50.xml" ContentType="application/vnd.openxmlformats-officedocument.drawingml.chart+xml"/>
  <Override PartName="/xl/charts/style49.xml" ContentType="application/vnd.ms-office.chartstyle+xml"/>
  <Override PartName="/xl/charts/colors49.xml" ContentType="application/vnd.ms-office.chartcolorstyle+xml"/>
  <Override PartName="/xl/charts/chart51.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charts/chart52.xml" ContentType="application/vnd.openxmlformats-officedocument.drawingml.chart+xml"/>
  <Override PartName="/xl/charts/style51.xml" ContentType="application/vnd.ms-office.chartstyle+xml"/>
  <Override PartName="/xl/charts/colors51.xml" ContentType="application/vnd.ms-office.chartcolorstyle+xml"/>
  <Override PartName="/xl/charts/chart53.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33.xml" ContentType="application/vnd.openxmlformats-officedocument.drawingml.chartshapes+xml"/>
  <Override PartName="/xl/drawings/drawing34.xml" ContentType="application/vnd.openxmlformats-officedocument.drawing+xml"/>
  <Override PartName="/xl/charts/chart54.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5.xml" ContentType="application/vnd.openxmlformats-officedocument.drawingml.chartshapes+xml"/>
  <Override PartName="/xl/drawings/drawing36.xml" ContentType="application/vnd.openxmlformats-officedocument.drawing+xml"/>
  <Override PartName="/xl/charts/chart55.xml" ContentType="application/vnd.openxmlformats-officedocument.drawingml.chart+xml"/>
  <Override PartName="/xl/charts/style54.xml" ContentType="application/vnd.ms-office.chartstyle+xml"/>
  <Override PartName="/xl/charts/colors54.xml" ContentType="application/vnd.ms-office.chartcolorstyle+xml"/>
  <Override PartName="/xl/charts/chart56.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57.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58.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drawings/drawing49.xml" ContentType="application/vnd.openxmlformats-officedocument.drawing+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50.xml" ContentType="application/vnd.openxmlformats-officedocument.drawingml.chartshapes+xml"/>
  <Override PartName="/xl/drawings/drawing51.xml" ContentType="application/vnd.openxmlformats-officedocument.drawing+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5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C:\Users\RBANDA\Desktop\RESPALDOS RBANDA\000 PLANIFICACION\Estadisticas y Datos\01 UIO Datos UIO\Quito en cifras\Quito en cifras QT al 2019\"/>
    </mc:Choice>
  </mc:AlternateContent>
  <bookViews>
    <workbookView xWindow="0" yWindow="0" windowWidth="20490" windowHeight="7905" tabRatio="866" activeTab="6"/>
  </bookViews>
  <sheets>
    <sheet name="DATOS-EC-UIO" sheetId="28" r:id="rId1"/>
    <sheet name="Cifras Clave" sheetId="75" r:id="rId2"/>
    <sheet name="HQM" sheetId="74" state="hidden" r:id="rId3"/>
    <sheet name="Sugeridos-estancia-gasto" sheetId="72" r:id="rId4"/>
    <sheet name="ICCA" sheetId="76" state="hidden" r:id="rId5"/>
    <sheet name="Llegadas genero" sheetId="89" state="hidden" r:id="rId6"/>
    <sheet name="Llegadas " sheetId="21" r:id="rId7"/>
    <sheet name="Llegadas x nacionalidad" sheetId="70" r:id="rId8"/>
    <sheet name="Datos Aeropuerto AMS" sheetId="59" r:id="rId9"/>
    <sheet name="FEB-Carnaval" sheetId="84" r:id="rId10"/>
    <sheet name="ABR-Semana Santa" sheetId="90" r:id="rId11"/>
    <sheet name="MAY-Trabajo+Bat Pich" sheetId="85" r:id="rId12"/>
    <sheet name="AGO-Primer grito" sheetId="86" r:id="rId13"/>
    <sheet name="NOV-Finados" sheetId="83" r:id="rId14"/>
    <sheet name="DIC-FFQQ" sheetId="91" r:id="rId15"/>
    <sheet name="TOH " sheetId="62" r:id="rId16"/>
    <sheet name="Estancia hotelera" sheetId="36" r:id="rId17"/>
    <sheet name="Estancia hotelera (PAISES)" sheetId="87" r:id="rId18"/>
    <sheet name="Tarifa Promedio Hab ocupada" sheetId="29" r:id="rId19"/>
    <sheet name="RevPar tar_hab_Disponible" sheetId="63" r:id="rId20"/>
    <sheet name="EOH Sector geográfico" sheetId="73" r:id="rId21"/>
    <sheet name="PIB Turistico DMQ" sheetId="71" r:id="rId22"/>
    <sheet name="establecimientos UIO" sheetId="48" r:id="rId23"/>
    <sheet name="% y # establecimientos act econ" sheetId="60" r:id="rId24"/>
    <sheet name="Actividades económicas TUR" sheetId="49" r:id="rId25"/>
    <sheet name="Transporte TUR" sheetId="50" r:id="rId26"/>
    <sheet name="Aloj-Hab-Plazas" sheetId="53" r:id="rId27"/>
    <sheet name="Aloj x categoria" sheetId="93" r:id="rId28"/>
    <sheet name="perfil-mas visitado-2015" sheetId="68" state="hidden" r:id="rId29"/>
    <sheet name="Aloj-Capacidad-TASA" sheetId="95" r:id="rId30"/>
    <sheet name="Aloj x sectores" sheetId="94" r:id="rId31"/>
    <sheet name="EMPLEO_tur_DMQ" sheetId="97" r:id="rId32"/>
    <sheet name="perfil-mas visitado-2016" sheetId="77" r:id="rId33"/>
    <sheet name="perfil-Alrededor_parroquia-2015" sheetId="64" r:id="rId34"/>
    <sheet name="Perfil-otras-cyties-2015" sheetId="69" r:id="rId35"/>
    <sheet name="perfil-Ingre_divisa-2015" sheetId="9" r:id="rId36"/>
    <sheet name="perfil-Dist_Gasto-2015" sheetId="23" r:id="rId37"/>
    <sheet name="perfil-Nvl_Edu 2015" sheetId="10" r:id="rId38"/>
    <sheet name="perfil-Edad 2015" sheetId="11" r:id="rId39"/>
    <sheet name="perfil-Motivo Viaje-2015" sheetId="12" r:id="rId40"/>
    <sheet name="perfil-Razon llegada 2015" sheetId="13" r:id="rId41"/>
    <sheet name="perfil-Medio Info-2015" sheetId="14" r:id="rId42"/>
    <sheet name="perfil-viaja con 2015" sheetId="15" r:id="rId43"/>
    <sheet name="perfil-Organiza viaje" sheetId="16" r:id="rId44"/>
    <sheet name="perfil-Hospedaje tipo" sheetId="22" r:id="rId45"/>
    <sheet name="SNAP" sheetId="96" r:id="rId46"/>
    <sheet name="perfil-Actividad 2012-2013" sheetId="17" state="hidden" r:id="rId47"/>
    <sheet name="perfil-recomendarian 2014" sheetId="19" state="hidden" r:id="rId48"/>
  </sheets>
  <externalReferences>
    <externalReference r:id="rId49"/>
    <externalReference r:id="rId50"/>
  </externalReferences>
  <definedNames>
    <definedName name="_xlnm._FilterDatabase" localSheetId="24" hidden="1">'Actividades económicas TUR'!$C$4:$Q$8</definedName>
    <definedName name="_xlnm._FilterDatabase" localSheetId="0" hidden="1">'DATOS-EC-UIO'!$B$1:$B$68</definedName>
    <definedName name="_xlnm._FilterDatabase" localSheetId="28" hidden="1">'perfil-mas visitado-2015'!$C$7:$F$54</definedName>
    <definedName name="_xlnm.Print_Area" localSheetId="0">'DATOS-EC-UIO'!$A$1:$J$83</definedName>
    <definedName name="_xlnm.Print_Area" localSheetId="7">'Llegadas x nacionalidad'!$C$7:$HP$86</definedName>
    <definedName name="_xlnm.Print_Titles" localSheetId="0">'DATOS-EC-UIO'!$1:$4</definedName>
    <definedName name="_xlnm.Print_Titles" localSheetId="7">'Llegadas x nacionalidad'!$B:$C,'Llegadas x nacionalidad'!$2:$6</definedName>
  </definedNames>
  <calcPr calcId="152511"/>
  <pivotCaches>
    <pivotCache cacheId="12" r:id="rId51"/>
    <pivotCache cacheId="13" r:id="rId52"/>
  </pivotCaches>
</workbook>
</file>

<file path=xl/calcChain.xml><?xml version="1.0" encoding="utf-8"?>
<calcChain xmlns="http://schemas.openxmlformats.org/spreadsheetml/2006/main">
  <c r="FN5" i="63" l="1"/>
  <c r="FN6" i="63"/>
  <c r="FM6" i="63"/>
  <c r="FM5" i="63"/>
  <c r="BE4" i="62" l="1"/>
  <c r="BD4" i="62"/>
  <c r="BH23" i="62" s="1"/>
  <c r="BC4" i="62"/>
  <c r="BB4" i="62"/>
  <c r="BA4" i="62"/>
  <c r="BC20" i="62"/>
  <c r="C81" i="21"/>
  <c r="C67" i="21"/>
  <c r="C80" i="21"/>
  <c r="E80" i="21" s="1"/>
  <c r="D80" i="21"/>
  <c r="A67" i="21"/>
  <c r="BD20" i="62"/>
  <c r="L26" i="75"/>
  <c r="J26" i="75"/>
  <c r="K26" i="75"/>
  <c r="M7" i="72"/>
  <c r="M6" i="72"/>
  <c r="M9" i="72" s="1"/>
  <c r="M5" i="72"/>
  <c r="M8" i="72" s="1"/>
  <c r="M10" i="72"/>
  <c r="G26" i="75"/>
  <c r="F26" i="75"/>
  <c r="F15" i="53"/>
  <c r="E15" i="53"/>
  <c r="D15" i="53"/>
  <c r="E26" i="75"/>
  <c r="B26" i="75"/>
  <c r="FN7" i="29"/>
  <c r="I61" i="28" s="1"/>
  <c r="FM7" i="29"/>
  <c r="H61" i="28" s="1"/>
  <c r="FN9" i="29"/>
  <c r="FN8" i="29"/>
  <c r="FM8" i="29"/>
  <c r="FM9" i="29"/>
  <c r="H63" i="28" s="1"/>
  <c r="I65" i="28"/>
  <c r="I66" i="28"/>
  <c r="I67" i="28"/>
  <c r="I68" i="28"/>
  <c r="H62" i="28"/>
  <c r="I62" i="28"/>
  <c r="I63" i="28"/>
  <c r="H64" i="28"/>
  <c r="I64" i="28"/>
  <c r="D61" i="28"/>
  <c r="E61" i="28"/>
  <c r="F61" i="28"/>
  <c r="G61" i="28"/>
  <c r="D62" i="28"/>
  <c r="E62" i="28"/>
  <c r="F62" i="28"/>
  <c r="G62" i="28"/>
  <c r="D63" i="28"/>
  <c r="E63" i="28"/>
  <c r="F63" i="28"/>
  <c r="G63" i="28"/>
  <c r="D64" i="28"/>
  <c r="E64" i="28"/>
  <c r="F64" i="28"/>
  <c r="G64" i="28"/>
  <c r="C64" i="28"/>
  <c r="C63" i="28"/>
  <c r="C62" i="28"/>
  <c r="C61" i="28"/>
  <c r="Q10" i="87"/>
  <c r="Q9" i="87"/>
  <c r="Q8" i="87"/>
  <c r="Q7" i="87"/>
  <c r="Q5" i="87"/>
  <c r="Q6" i="87"/>
  <c r="P5" i="87"/>
  <c r="P7" i="87"/>
  <c r="P9" i="87"/>
  <c r="P16" i="36"/>
  <c r="Q16" i="36" s="1"/>
  <c r="P17" i="36"/>
  <c r="Q17" i="36"/>
  <c r="P18" i="36"/>
  <c r="Q18" i="36"/>
  <c r="S10" i="62"/>
  <c r="S13" i="62" s="1"/>
  <c r="T14" i="62"/>
  <c r="U14" i="62"/>
  <c r="V14" i="62"/>
  <c r="W14" i="62"/>
  <c r="X14" i="62"/>
  <c r="Y14" i="62"/>
  <c r="Z14" i="62"/>
  <c r="AA14" i="62"/>
  <c r="AB14" i="62"/>
  <c r="AC14" i="62"/>
  <c r="AD14" i="62"/>
  <c r="S14" i="62"/>
  <c r="T12" i="62"/>
  <c r="U12" i="62"/>
  <c r="V12" i="62"/>
  <c r="W12" i="62"/>
  <c r="X12" i="62"/>
  <c r="Y12" i="62"/>
  <c r="Z12" i="62"/>
  <c r="AA12" i="62"/>
  <c r="AB12" i="62"/>
  <c r="AC12" i="62"/>
  <c r="AD12" i="62"/>
  <c r="S12" i="62"/>
  <c r="S4" i="62" l="1"/>
  <c r="S11" i="62"/>
  <c r="U8" i="62"/>
  <c r="U10" i="62" s="1"/>
  <c r="V8" i="62"/>
  <c r="V10" i="62" s="1"/>
  <c r="W8" i="62"/>
  <c r="W10" i="62" s="1"/>
  <c r="X8" i="62"/>
  <c r="Y8" i="62"/>
  <c r="Y10" i="62" s="1"/>
  <c r="Z8" i="62"/>
  <c r="Z10" i="62" s="1"/>
  <c r="AA8" i="62"/>
  <c r="AA10" i="62" s="1"/>
  <c r="AB8" i="62"/>
  <c r="AC8" i="62"/>
  <c r="AC10" i="62" s="1"/>
  <c r="AD8" i="62"/>
  <c r="AD10" i="62" s="1"/>
  <c r="T8" i="62"/>
  <c r="T10" i="62" s="1"/>
  <c r="AV8" i="62"/>
  <c r="P8" i="62" s="1"/>
  <c r="I59" i="28" s="1"/>
  <c r="AV7" i="62"/>
  <c r="P7" i="62" s="1"/>
  <c r="I57" i="28" s="1"/>
  <c r="AV6" i="62"/>
  <c r="P6" i="62" s="1"/>
  <c r="I55" i="28" s="1"/>
  <c r="AC7" i="62"/>
  <c r="AC6" i="62" s="1"/>
  <c r="AD7" i="62"/>
  <c r="AA6" i="62"/>
  <c r="Y6" i="62"/>
  <c r="W6" i="62"/>
  <c r="V6" i="62"/>
  <c r="U6" i="62"/>
  <c r="T6" i="62"/>
  <c r="S6" i="62"/>
  <c r="S5" i="62" s="1"/>
  <c r="AU8" i="62"/>
  <c r="AU7" i="62"/>
  <c r="AU6" i="62"/>
  <c r="O6" i="62" s="1"/>
  <c r="H55" i="28" s="1"/>
  <c r="AD13" i="62" l="1"/>
  <c r="AD11" i="62"/>
  <c r="AD4" i="62"/>
  <c r="V13" i="62"/>
  <c r="V11" i="62"/>
  <c r="V4" i="62"/>
  <c r="AD6" i="62"/>
  <c r="AC13" i="62"/>
  <c r="AC11" i="62"/>
  <c r="AC4" i="62"/>
  <c r="Y13" i="62"/>
  <c r="Y11" i="62"/>
  <c r="Y5" i="62" s="1"/>
  <c r="Y4" i="62"/>
  <c r="U13" i="62"/>
  <c r="U11" i="62"/>
  <c r="U4" i="62"/>
  <c r="Z13" i="62"/>
  <c r="Z11" i="62"/>
  <c r="Z4" i="62"/>
  <c r="AB6" i="62"/>
  <c r="AB10" i="62"/>
  <c r="X6" i="62"/>
  <c r="X10" i="62"/>
  <c r="U5" i="62"/>
  <c r="Z6" i="62"/>
  <c r="T11" i="62"/>
  <c r="T5" i="62" s="1"/>
  <c r="T13" i="62"/>
  <c r="T4" i="62"/>
  <c r="AA13" i="62"/>
  <c r="AA11" i="62"/>
  <c r="AA5" i="62" s="1"/>
  <c r="AA4" i="62"/>
  <c r="W13" i="62"/>
  <c r="W11" i="62"/>
  <c r="W5" i="62" s="1"/>
  <c r="W4" i="62"/>
  <c r="HS84" i="70"/>
  <c r="HS85" i="70" s="1"/>
  <c r="HS53" i="70"/>
  <c r="HS54" i="70"/>
  <c r="HS55" i="70"/>
  <c r="HS56" i="70"/>
  <c r="HS57" i="70"/>
  <c r="HS58" i="70"/>
  <c r="HS59" i="70"/>
  <c r="HS60" i="70"/>
  <c r="HS61" i="70"/>
  <c r="HS62" i="70"/>
  <c r="HS63" i="70"/>
  <c r="HS64" i="70"/>
  <c r="HS65" i="70"/>
  <c r="HS66" i="70"/>
  <c r="HS67" i="70"/>
  <c r="HS68" i="70"/>
  <c r="HS69" i="70"/>
  <c r="HS70" i="70"/>
  <c r="HS71" i="70"/>
  <c r="HS72" i="70"/>
  <c r="HS73" i="70"/>
  <c r="HS74" i="70"/>
  <c r="HS75" i="70"/>
  <c r="HS76" i="70"/>
  <c r="HS77" i="70"/>
  <c r="HS78" i="70"/>
  <c r="HS79" i="70"/>
  <c r="HS80" i="70"/>
  <c r="HS81" i="70"/>
  <c r="HS82" i="70"/>
  <c r="HS83" i="70"/>
  <c r="HS89" i="70"/>
  <c r="HS52" i="70"/>
  <c r="FE89" i="70"/>
  <c r="FF89" i="70"/>
  <c r="FG89" i="70"/>
  <c r="FH89" i="70"/>
  <c r="FI89" i="70"/>
  <c r="FJ89" i="70"/>
  <c r="FK89" i="70"/>
  <c r="FL89" i="70"/>
  <c r="FM89" i="70"/>
  <c r="FN89" i="70"/>
  <c r="FO89" i="70"/>
  <c r="FP89" i="70"/>
  <c r="FQ89" i="70"/>
  <c r="FR89" i="70"/>
  <c r="FS89" i="70"/>
  <c r="FT89" i="70"/>
  <c r="FU89" i="70"/>
  <c r="FV89" i="70"/>
  <c r="FW89" i="70"/>
  <c r="FX89" i="70"/>
  <c r="FY89" i="70"/>
  <c r="FZ89" i="70"/>
  <c r="GA89" i="70"/>
  <c r="GB89" i="70"/>
  <c r="GC89" i="70"/>
  <c r="GD89" i="70"/>
  <c r="GE89" i="70"/>
  <c r="GF89" i="70"/>
  <c r="GG89" i="70"/>
  <c r="GH89" i="70"/>
  <c r="GI89" i="70"/>
  <c r="GJ89" i="70"/>
  <c r="GK89" i="70"/>
  <c r="GL89" i="70"/>
  <c r="GM89" i="70"/>
  <c r="GN89" i="70"/>
  <c r="GO89" i="70"/>
  <c r="GP89" i="70"/>
  <c r="GQ89" i="70"/>
  <c r="GR89" i="70"/>
  <c r="GS89" i="70"/>
  <c r="GT89" i="70"/>
  <c r="GU89" i="70"/>
  <c r="GV89" i="70"/>
  <c r="GW89" i="70"/>
  <c r="GX89" i="70"/>
  <c r="GY89" i="70"/>
  <c r="GZ89" i="70"/>
  <c r="HA89" i="70"/>
  <c r="HB89" i="70"/>
  <c r="HC89" i="70"/>
  <c r="HD89" i="70"/>
  <c r="HF89" i="70"/>
  <c r="HG89" i="70"/>
  <c r="HH89" i="70"/>
  <c r="HI89" i="70"/>
  <c r="HJ89" i="70"/>
  <c r="HK89" i="70"/>
  <c r="HL89" i="70"/>
  <c r="HM89" i="70"/>
  <c r="HN89" i="70"/>
  <c r="HO89" i="70"/>
  <c r="HP89" i="70"/>
  <c r="HQ89" i="70"/>
  <c r="HR89" i="70"/>
  <c r="D89" i="70"/>
  <c r="E89" i="70"/>
  <c r="F89" i="70"/>
  <c r="G89" i="70"/>
  <c r="H89" i="70"/>
  <c r="I89" i="70"/>
  <c r="J89" i="70"/>
  <c r="K89" i="70"/>
  <c r="L89" i="70"/>
  <c r="M89" i="70"/>
  <c r="N89" i="70"/>
  <c r="O89" i="70"/>
  <c r="P89" i="70"/>
  <c r="Q89" i="70"/>
  <c r="R89" i="70"/>
  <c r="S89" i="70"/>
  <c r="T89" i="70"/>
  <c r="U89" i="70"/>
  <c r="V89" i="70"/>
  <c r="W89" i="70"/>
  <c r="X89" i="70"/>
  <c r="Y89" i="70"/>
  <c r="Z89" i="70"/>
  <c r="AA89" i="70"/>
  <c r="AB89" i="70"/>
  <c r="AC89" i="70"/>
  <c r="AD89" i="70"/>
  <c r="AE89" i="70"/>
  <c r="AF89" i="70"/>
  <c r="AG89" i="70"/>
  <c r="AH89" i="70"/>
  <c r="AI89" i="70"/>
  <c r="AJ89" i="70"/>
  <c r="AK89" i="70"/>
  <c r="AL89" i="70"/>
  <c r="AM89" i="70"/>
  <c r="AN89" i="70"/>
  <c r="AO89" i="70"/>
  <c r="AP89" i="70"/>
  <c r="AQ89" i="70"/>
  <c r="AR89" i="70"/>
  <c r="AS89" i="70"/>
  <c r="AT89" i="70"/>
  <c r="AU89" i="70"/>
  <c r="AV89" i="70"/>
  <c r="AW89" i="70"/>
  <c r="AX89" i="70"/>
  <c r="AY89" i="70"/>
  <c r="AZ89" i="70"/>
  <c r="BA89" i="70"/>
  <c r="BB89" i="70"/>
  <c r="BC89" i="70"/>
  <c r="BD89" i="70"/>
  <c r="BE89" i="70"/>
  <c r="BF89" i="70"/>
  <c r="BG89" i="70"/>
  <c r="BH89" i="70"/>
  <c r="BI89" i="70"/>
  <c r="BJ89" i="70"/>
  <c r="BK89" i="70"/>
  <c r="BL89" i="70"/>
  <c r="BM89" i="70"/>
  <c r="BN89" i="70"/>
  <c r="BO89" i="70"/>
  <c r="BP89" i="70"/>
  <c r="BQ89" i="70"/>
  <c r="BR89" i="70"/>
  <c r="BS89" i="70"/>
  <c r="BT89" i="70"/>
  <c r="BU89" i="70"/>
  <c r="BV89" i="70"/>
  <c r="BW89" i="70"/>
  <c r="BX89" i="70"/>
  <c r="BY89" i="70"/>
  <c r="BZ89" i="70"/>
  <c r="CA89" i="70"/>
  <c r="CB89" i="70"/>
  <c r="CC89" i="70"/>
  <c r="CD89" i="70"/>
  <c r="CE89" i="70"/>
  <c r="CF89" i="70"/>
  <c r="CG89" i="70"/>
  <c r="CH89" i="70"/>
  <c r="CI89" i="70"/>
  <c r="CJ89" i="70"/>
  <c r="CK89" i="70"/>
  <c r="CL89" i="70"/>
  <c r="CM89" i="70"/>
  <c r="CN89" i="70"/>
  <c r="CO89" i="70"/>
  <c r="CP89" i="70"/>
  <c r="CQ89" i="70"/>
  <c r="CR89" i="70"/>
  <c r="CS89" i="70"/>
  <c r="CT89" i="70"/>
  <c r="CU89" i="70"/>
  <c r="CV89" i="70"/>
  <c r="CW89" i="70"/>
  <c r="CX89" i="70"/>
  <c r="CY89" i="70"/>
  <c r="CZ89" i="70"/>
  <c r="DA89" i="70"/>
  <c r="DB89" i="70"/>
  <c r="DC89" i="70"/>
  <c r="DD89" i="70"/>
  <c r="DE89" i="70"/>
  <c r="DF89" i="70"/>
  <c r="DG89" i="70"/>
  <c r="DH89" i="70"/>
  <c r="DI89" i="70"/>
  <c r="DJ89" i="70"/>
  <c r="DK89" i="70"/>
  <c r="DL89" i="70"/>
  <c r="DM89" i="70"/>
  <c r="DN89" i="70"/>
  <c r="DO89" i="70"/>
  <c r="DP89" i="70"/>
  <c r="DQ89" i="70"/>
  <c r="DR89" i="70"/>
  <c r="DS89" i="70"/>
  <c r="DT89" i="70"/>
  <c r="DU89" i="70"/>
  <c r="DV89" i="70"/>
  <c r="DW89" i="70"/>
  <c r="DX89" i="70"/>
  <c r="DY89" i="70"/>
  <c r="DZ89" i="70"/>
  <c r="EA89" i="70"/>
  <c r="EB89" i="70"/>
  <c r="EC89" i="70"/>
  <c r="ED89" i="70"/>
  <c r="EE89" i="70"/>
  <c r="EF89" i="70"/>
  <c r="EG89" i="70"/>
  <c r="EH89" i="70"/>
  <c r="EI89" i="70"/>
  <c r="EJ89" i="70"/>
  <c r="EK89" i="70"/>
  <c r="EL89" i="70"/>
  <c r="EM89" i="70"/>
  <c r="EN89" i="70"/>
  <c r="EO89" i="70"/>
  <c r="EP89" i="70"/>
  <c r="ER89" i="70"/>
  <c r="ES89" i="70"/>
  <c r="ET89" i="70"/>
  <c r="EU89" i="70"/>
  <c r="EV89" i="70"/>
  <c r="EW89" i="70"/>
  <c r="EX89" i="70"/>
  <c r="EY89" i="70"/>
  <c r="EZ89" i="70"/>
  <c r="FA89" i="70"/>
  <c r="FB89" i="70"/>
  <c r="FC89" i="70"/>
  <c r="EQ89" i="70"/>
  <c r="X13" i="62" l="1"/>
  <c r="X11" i="62"/>
  <c r="X4" i="62"/>
  <c r="AV5" i="62" s="1"/>
  <c r="X5" i="62"/>
  <c r="Z5" i="62"/>
  <c r="AB11" i="62"/>
  <c r="AB5" i="62" s="1"/>
  <c r="AB4" i="62"/>
  <c r="AB13" i="62"/>
  <c r="V5" i="62"/>
  <c r="ER83" i="70"/>
  <c r="P5" i="62" l="1"/>
  <c r="HP83" i="70"/>
  <c r="HL83" i="70"/>
  <c r="HM84" i="70"/>
  <c r="HL84" i="70"/>
  <c r="HK84" i="70"/>
  <c r="HJ84" i="70"/>
  <c r="HI84" i="70"/>
  <c r="HG84" i="70"/>
  <c r="HF84" i="70"/>
  <c r="D26" i="75" l="1"/>
  <c r="I53" i="28"/>
  <c r="C17" i="21"/>
  <c r="D17" i="21"/>
  <c r="E17" i="21"/>
  <c r="F17" i="21"/>
  <c r="G17" i="21"/>
  <c r="H17" i="21"/>
  <c r="I17" i="21"/>
  <c r="J17" i="21"/>
  <c r="K17" i="21"/>
  <c r="L17" i="21"/>
  <c r="M17" i="21"/>
  <c r="N17" i="21"/>
  <c r="B17" i="21"/>
  <c r="I20" i="28" l="1"/>
  <c r="S18" i="71"/>
  <c r="S8" i="71"/>
  <c r="S9" i="71"/>
  <c r="S10" i="71"/>
  <c r="S11" i="71"/>
  <c r="S12" i="71"/>
  <c r="S13" i="71"/>
  <c r="S14" i="71"/>
  <c r="S15" i="71"/>
  <c r="S16" i="71"/>
  <c r="S17" i="71"/>
  <c r="S19" i="71"/>
  <c r="S20" i="71"/>
  <c r="D26" i="71" l="1"/>
  <c r="E26" i="71"/>
  <c r="F26" i="71"/>
  <c r="G26" i="71"/>
  <c r="H26" i="71"/>
  <c r="I26" i="71"/>
  <c r="N26" i="71"/>
  <c r="O26" i="71"/>
  <c r="P26" i="71"/>
  <c r="Q26" i="71"/>
  <c r="Q27" i="71"/>
  <c r="Q28" i="71"/>
  <c r="Q29" i="71"/>
  <c r="Q30" i="71"/>
  <c r="Q31" i="71"/>
  <c r="Q32" i="71"/>
  <c r="Q33" i="71"/>
  <c r="Q34" i="71"/>
  <c r="Q35" i="71"/>
  <c r="Q36" i="71"/>
  <c r="Q37" i="71"/>
  <c r="Q38" i="71"/>
  <c r="Q39" i="71"/>
  <c r="N27" i="71"/>
  <c r="O27" i="71"/>
  <c r="P27" i="71"/>
  <c r="N28" i="71"/>
  <c r="O28" i="71"/>
  <c r="P28" i="71"/>
  <c r="N29" i="71"/>
  <c r="O29" i="71"/>
  <c r="P29" i="71"/>
  <c r="N30" i="71"/>
  <c r="O30" i="71"/>
  <c r="P30" i="71"/>
  <c r="N31" i="71"/>
  <c r="O31" i="71"/>
  <c r="P31" i="71"/>
  <c r="N32" i="71"/>
  <c r="O32" i="71"/>
  <c r="P32" i="71"/>
  <c r="N33" i="71"/>
  <c r="O33" i="71"/>
  <c r="P33" i="71"/>
  <c r="N34" i="71"/>
  <c r="O34" i="71"/>
  <c r="P34" i="71"/>
  <c r="N35" i="71"/>
  <c r="O35" i="71"/>
  <c r="P35" i="71"/>
  <c r="N36" i="71"/>
  <c r="O36" i="71"/>
  <c r="P36" i="71"/>
  <c r="N37" i="71"/>
  <c r="O37" i="71"/>
  <c r="P37" i="71"/>
  <c r="N38" i="71"/>
  <c r="O38" i="71"/>
  <c r="P38" i="71"/>
  <c r="N39" i="71"/>
  <c r="O39" i="71"/>
  <c r="P39" i="71"/>
  <c r="D27" i="71"/>
  <c r="E27" i="71"/>
  <c r="F27" i="71"/>
  <c r="G27" i="71"/>
  <c r="H27" i="71"/>
  <c r="I27" i="71"/>
  <c r="D28" i="71"/>
  <c r="E28" i="71"/>
  <c r="F28" i="71"/>
  <c r="G28" i="71"/>
  <c r="H28" i="71"/>
  <c r="I28" i="71"/>
  <c r="D29" i="71"/>
  <c r="E29" i="71"/>
  <c r="F29" i="71"/>
  <c r="G29" i="71"/>
  <c r="H29" i="71"/>
  <c r="I29" i="71"/>
  <c r="D30" i="71"/>
  <c r="E30" i="71"/>
  <c r="F30" i="71"/>
  <c r="G30" i="71"/>
  <c r="H30" i="71"/>
  <c r="I30" i="71"/>
  <c r="D31" i="71"/>
  <c r="E31" i="71"/>
  <c r="F31" i="71"/>
  <c r="G31" i="71"/>
  <c r="H31" i="71"/>
  <c r="I31" i="71"/>
  <c r="D32" i="71"/>
  <c r="E32" i="71"/>
  <c r="F32" i="71"/>
  <c r="G32" i="71"/>
  <c r="H32" i="71"/>
  <c r="I32" i="71"/>
  <c r="D33" i="71"/>
  <c r="E33" i="71"/>
  <c r="F33" i="71"/>
  <c r="G33" i="71"/>
  <c r="H33" i="71"/>
  <c r="I33" i="71"/>
  <c r="D34" i="71"/>
  <c r="E34" i="71"/>
  <c r="F34" i="71"/>
  <c r="G34" i="71"/>
  <c r="H34" i="71"/>
  <c r="I34" i="71"/>
  <c r="D35" i="71"/>
  <c r="E35" i="71"/>
  <c r="F35" i="71"/>
  <c r="G35" i="71"/>
  <c r="H35" i="71"/>
  <c r="I35" i="71"/>
  <c r="D36" i="71"/>
  <c r="E36" i="71"/>
  <c r="F36" i="71"/>
  <c r="G36" i="71"/>
  <c r="H36" i="71"/>
  <c r="I36" i="71"/>
  <c r="D37" i="71"/>
  <c r="E37" i="71"/>
  <c r="F37" i="71"/>
  <c r="G37" i="71"/>
  <c r="H37" i="71"/>
  <c r="I37" i="71"/>
  <c r="D38" i="71"/>
  <c r="E38" i="71"/>
  <c r="F38" i="71"/>
  <c r="G38" i="71"/>
  <c r="H38" i="71"/>
  <c r="I38" i="71"/>
  <c r="D39" i="71"/>
  <c r="E39" i="71"/>
  <c r="F39" i="71"/>
  <c r="G39" i="71"/>
  <c r="H39" i="71"/>
  <c r="I39" i="71"/>
  <c r="A26" i="71"/>
  <c r="B26" i="71"/>
  <c r="C26" i="71"/>
  <c r="A27" i="71"/>
  <c r="B27" i="71"/>
  <c r="C27" i="71"/>
  <c r="A28" i="71"/>
  <c r="B28" i="71"/>
  <c r="C28" i="71"/>
  <c r="A29" i="71"/>
  <c r="B29" i="71"/>
  <c r="C29" i="71"/>
  <c r="A30" i="71"/>
  <c r="B30" i="71"/>
  <c r="C30" i="71"/>
  <c r="A31" i="71"/>
  <c r="B31" i="71"/>
  <c r="C31" i="71"/>
  <c r="A32" i="71"/>
  <c r="B32" i="71"/>
  <c r="C32" i="71"/>
  <c r="A33" i="71"/>
  <c r="B33" i="71"/>
  <c r="C33" i="71"/>
  <c r="A34" i="71"/>
  <c r="B34" i="71"/>
  <c r="C34" i="71"/>
  <c r="A35" i="71"/>
  <c r="B35" i="71"/>
  <c r="C35" i="71"/>
  <c r="A36" i="71"/>
  <c r="B36" i="71"/>
  <c r="C36" i="71"/>
  <c r="A37" i="71"/>
  <c r="B37" i="71"/>
  <c r="C37" i="71"/>
  <c r="A38" i="71"/>
  <c r="B38" i="71"/>
  <c r="C38" i="71"/>
  <c r="B39" i="71"/>
  <c r="C39" i="71"/>
  <c r="A39" i="71"/>
  <c r="K26" i="71"/>
  <c r="L26" i="71"/>
  <c r="M26" i="71"/>
  <c r="J26" i="71"/>
  <c r="E59" i="71"/>
  <c r="F59" i="71"/>
  <c r="G59" i="71"/>
  <c r="H59" i="71"/>
  <c r="I59" i="71"/>
  <c r="J59" i="71"/>
  <c r="K59" i="71"/>
  <c r="L59" i="71"/>
  <c r="M59" i="71"/>
  <c r="N59" i="71"/>
  <c r="O59" i="71"/>
  <c r="P59" i="71"/>
  <c r="Q59" i="71"/>
  <c r="D59" i="71"/>
  <c r="E58" i="71"/>
  <c r="F58" i="71"/>
  <c r="G58" i="71"/>
  <c r="H58" i="71"/>
  <c r="I58" i="71"/>
  <c r="J58" i="71"/>
  <c r="K58" i="71"/>
  <c r="L58" i="71"/>
  <c r="M58" i="71"/>
  <c r="N58" i="71"/>
  <c r="O58" i="71"/>
  <c r="P58" i="71"/>
  <c r="Q58" i="71"/>
  <c r="D58" i="71"/>
  <c r="E57" i="71"/>
  <c r="F57" i="71"/>
  <c r="G57" i="71"/>
  <c r="H57" i="71"/>
  <c r="I57" i="71"/>
  <c r="J57" i="71"/>
  <c r="K57" i="71"/>
  <c r="L57" i="71"/>
  <c r="M57" i="71"/>
  <c r="N57" i="71"/>
  <c r="O57" i="71"/>
  <c r="P57" i="71"/>
  <c r="Q57" i="71"/>
  <c r="D57" i="71"/>
  <c r="A58" i="71"/>
  <c r="B58" i="71"/>
  <c r="C58" i="71"/>
  <c r="A59" i="71"/>
  <c r="B59" i="71"/>
  <c r="C59" i="71"/>
  <c r="C57" i="71"/>
  <c r="B57" i="71"/>
  <c r="A57" i="71"/>
  <c r="E52" i="71"/>
  <c r="F52" i="71"/>
  <c r="G52" i="71"/>
  <c r="H52" i="71"/>
  <c r="I52" i="71"/>
  <c r="J52" i="71"/>
  <c r="K52" i="71"/>
  <c r="L52" i="71"/>
  <c r="M52" i="71"/>
  <c r="N52" i="71"/>
  <c r="O52" i="71"/>
  <c r="P52" i="71"/>
  <c r="Q52" i="71"/>
  <c r="D52" i="71"/>
  <c r="A52" i="71"/>
  <c r="B52" i="71"/>
  <c r="C52" i="71"/>
  <c r="J39" i="71"/>
  <c r="S39" i="71" s="1"/>
  <c r="K39" i="71"/>
  <c r="L39" i="71"/>
  <c r="M39" i="71"/>
  <c r="R19" i="71"/>
  <c r="T38" i="71" s="1"/>
  <c r="R20" i="71"/>
  <c r="E51" i="71"/>
  <c r="F51" i="71"/>
  <c r="G51" i="71"/>
  <c r="H51" i="71"/>
  <c r="I51" i="71"/>
  <c r="J51" i="71"/>
  <c r="K51" i="71"/>
  <c r="L51" i="71"/>
  <c r="M51" i="71"/>
  <c r="N51" i="71"/>
  <c r="O51" i="71"/>
  <c r="P51" i="71"/>
  <c r="Q51" i="71"/>
  <c r="D51" i="71"/>
  <c r="A51" i="71"/>
  <c r="B51" i="71"/>
  <c r="C51" i="71"/>
  <c r="B50" i="71"/>
  <c r="C50" i="71"/>
  <c r="A50" i="71"/>
  <c r="D50" i="71"/>
  <c r="E50" i="71"/>
  <c r="F50" i="71"/>
  <c r="G50" i="71"/>
  <c r="H50" i="71"/>
  <c r="I50" i="71"/>
  <c r="K50" i="71"/>
  <c r="L50" i="71"/>
  <c r="M50" i="71"/>
  <c r="N50" i="71"/>
  <c r="O50" i="71"/>
  <c r="P50" i="71"/>
  <c r="J50" i="71"/>
  <c r="R57" i="71" l="1"/>
  <c r="T39" i="71"/>
  <c r="R52" i="71"/>
  <c r="S52" i="71" s="1"/>
  <c r="R50" i="71"/>
  <c r="R59" i="71"/>
  <c r="S59" i="71" s="1"/>
  <c r="R58" i="71"/>
  <c r="S58" i="71" s="1"/>
  <c r="R51" i="71"/>
  <c r="S51" i="71" s="1"/>
  <c r="A94" i="28"/>
  <c r="A93" i="28"/>
  <c r="A92" i="28"/>
  <c r="C88" i="28"/>
  <c r="D88" i="28"/>
  <c r="E88" i="28"/>
  <c r="F88" i="28"/>
  <c r="G88" i="28"/>
  <c r="C87" i="28"/>
  <c r="D87" i="28"/>
  <c r="E87" i="28"/>
  <c r="F87" i="28"/>
  <c r="G87" i="28"/>
  <c r="H87" i="28"/>
  <c r="G86" i="28"/>
  <c r="H92" i="28"/>
  <c r="H94" i="28"/>
  <c r="H93" i="28"/>
  <c r="H88" i="28" l="1"/>
  <c r="H86" i="28"/>
  <c r="A7" i="62" l="1"/>
  <c r="A8" i="62"/>
  <c r="A6" i="62"/>
  <c r="AU5" i="62"/>
  <c r="O8" i="62"/>
  <c r="H59" i="28" s="1"/>
  <c r="O7" i="62"/>
  <c r="H57" i="28" s="1"/>
  <c r="I25" i="28"/>
  <c r="O5" i="62" l="1"/>
  <c r="BC19" i="62"/>
  <c r="AV11" i="62"/>
  <c r="H47" i="28"/>
  <c r="D23" i="75" l="1"/>
  <c r="H53" i="28"/>
  <c r="P9" i="62"/>
  <c r="H19" i="28"/>
  <c r="A37" i="28" l="1"/>
  <c r="A38" i="28" s="1"/>
  <c r="A39" i="28" s="1"/>
  <c r="A40" i="28" s="1"/>
  <c r="A44" i="28" s="1"/>
  <c r="A45" i="28" s="1"/>
  <c r="A46" i="28" s="1"/>
  <c r="A47" i="28" s="1"/>
  <c r="A48" i="28" s="1"/>
  <c r="A52" i="28" s="1"/>
  <c r="A54" i="28" s="1"/>
  <c r="A56" i="28" s="1"/>
  <c r="A58" i="28" s="1"/>
  <c r="A61" i="28" s="1"/>
  <c r="A62" i="28" s="1"/>
  <c r="A63" i="28" s="1"/>
  <c r="A64" i="28" s="1"/>
  <c r="A65" i="28" s="1"/>
  <c r="A66" i="28" s="1"/>
  <c r="A67" i="28" s="1"/>
  <c r="A68" i="28" s="1"/>
  <c r="A72" i="28" s="1"/>
  <c r="A74" i="28" s="1"/>
  <c r="A76" i="28" s="1"/>
  <c r="A78" i="28" l="1"/>
  <c r="A80" i="28" s="1"/>
  <c r="A86" i="28" s="1"/>
  <c r="A87" i="28" s="1"/>
  <c r="A88" i="28" s="1"/>
  <c r="H25" i="28"/>
  <c r="J38" i="71" l="1"/>
  <c r="K38" i="71"/>
  <c r="L38" i="71"/>
  <c r="M38" i="71"/>
  <c r="T28" i="71"/>
  <c r="T29" i="71"/>
  <c r="T30" i="71"/>
  <c r="T31" i="71"/>
  <c r="T32" i="71"/>
  <c r="T33" i="71"/>
  <c r="T34" i="71"/>
  <c r="T35" i="71"/>
  <c r="T36" i="71"/>
  <c r="T27" i="71"/>
  <c r="M37" i="71"/>
  <c r="L37" i="71"/>
  <c r="K37" i="71"/>
  <c r="J37" i="71"/>
  <c r="R18" i="71"/>
  <c r="I7" i="28"/>
  <c r="I23" i="28"/>
  <c r="I22" i="28"/>
  <c r="E22" i="71" l="1"/>
  <c r="O22" i="71"/>
  <c r="H22" i="71"/>
  <c r="P22" i="71"/>
  <c r="K22" i="71"/>
  <c r="I22" i="71"/>
  <c r="Q22" i="71"/>
  <c r="N22" i="71"/>
  <c r="J22" i="71"/>
  <c r="D22" i="71"/>
  <c r="L22" i="71"/>
  <c r="M22" i="71"/>
  <c r="F22" i="71"/>
  <c r="G22" i="71"/>
  <c r="S57" i="71"/>
  <c r="S50" i="71"/>
  <c r="S38" i="71"/>
  <c r="I21" i="28"/>
  <c r="S37" i="71"/>
  <c r="T37" i="71"/>
  <c r="I18" i="28" s="1"/>
  <c r="I19" i="28" s="1"/>
  <c r="S22" i="62"/>
  <c r="S21" i="62" s="1"/>
  <c r="S15" i="62" s="1"/>
  <c r="T22" i="62"/>
  <c r="T21" i="62" s="1"/>
  <c r="T15" i="62" s="1"/>
  <c r="U22" i="62"/>
  <c r="U21" i="62" s="1"/>
  <c r="U15" i="62" s="1"/>
  <c r="V22" i="62"/>
  <c r="V21" i="62" s="1"/>
  <c r="V15" i="62" s="1"/>
  <c r="AB22" i="62"/>
  <c r="AB21" i="62" s="1"/>
  <c r="AB15" i="62" s="1"/>
  <c r="AA22" i="62"/>
  <c r="AA21" i="62" s="1"/>
  <c r="AA15" i="62" s="1"/>
  <c r="Z22" i="62"/>
  <c r="Z21" i="62" s="1"/>
  <c r="Z15" i="62" s="1"/>
  <c r="Y22" i="62"/>
  <c r="Y21" i="62" s="1"/>
  <c r="Y15" i="62" s="1"/>
  <c r="X22" i="62"/>
  <c r="X21" i="62" s="1"/>
  <c r="X15" i="62" s="1"/>
  <c r="W22" i="62"/>
  <c r="W21" i="62" s="1"/>
  <c r="W15" i="62" s="1"/>
  <c r="X37" i="62"/>
  <c r="X36" i="62" s="1"/>
  <c r="X44" i="62" s="1"/>
  <c r="Y37" i="62"/>
  <c r="Y36" i="62" s="1"/>
  <c r="Y44" i="62" s="1"/>
  <c r="Z37" i="62"/>
  <c r="Z36" i="62" s="1"/>
  <c r="Z44" i="62" s="1"/>
  <c r="AA37" i="62"/>
  <c r="AA36" i="62" s="1"/>
  <c r="AA44" i="62" s="1"/>
  <c r="AB37" i="62"/>
  <c r="AB36" i="62" s="1"/>
  <c r="AB44" i="62" s="1"/>
  <c r="AC37" i="62"/>
  <c r="AC36" i="62" s="1"/>
  <c r="AC44" i="62" s="1"/>
  <c r="AD37" i="62"/>
  <c r="AD36" i="62" s="1"/>
  <c r="AD44" i="62" s="1"/>
  <c r="W37" i="62"/>
  <c r="W36" i="62" s="1"/>
  <c r="W44" i="62" s="1"/>
  <c r="U44" i="62"/>
  <c r="V44" i="62"/>
  <c r="AC22" i="62"/>
  <c r="BD19" i="62"/>
  <c r="AS6" i="62"/>
  <c r="AC21" i="62" l="1"/>
  <c r="AD22" i="62"/>
  <c r="AD21" i="62" s="1"/>
  <c r="U37" i="71"/>
  <c r="AS5" i="62"/>
  <c r="AU11" i="62" s="1"/>
  <c r="I47" i="28"/>
  <c r="I46" i="28"/>
  <c r="I45" i="28"/>
  <c r="I44" i="28"/>
  <c r="D72" i="28"/>
  <c r="G72" i="28"/>
  <c r="H72" i="28"/>
  <c r="D74" i="28"/>
  <c r="G74" i="28"/>
  <c r="H74" i="28"/>
  <c r="D76" i="28"/>
  <c r="G76" i="28"/>
  <c r="H76" i="28"/>
  <c r="D78" i="28"/>
  <c r="G78" i="28"/>
  <c r="H78" i="28"/>
  <c r="D80" i="28"/>
  <c r="G80" i="28"/>
  <c r="H80" i="28"/>
  <c r="D82" i="28"/>
  <c r="G82" i="28"/>
  <c r="H82" i="28"/>
  <c r="C74" i="28"/>
  <c r="C76" i="28"/>
  <c r="C78" i="28"/>
  <c r="C80" i="28"/>
  <c r="C82" i="28"/>
  <c r="C72" i="28"/>
  <c r="C34" i="49"/>
  <c r="B74" i="28"/>
  <c r="B76" i="28"/>
  <c r="B78" i="28"/>
  <c r="B80" i="28"/>
  <c r="B72" i="28"/>
  <c r="H66" i="28"/>
  <c r="H67" i="28"/>
  <c r="H68" i="28"/>
  <c r="F47" i="28"/>
  <c r="G47" i="28"/>
  <c r="G46" i="28"/>
  <c r="H46" i="28"/>
  <c r="G45" i="28"/>
  <c r="H45" i="28"/>
  <c r="G44" i="28"/>
  <c r="H44" i="28"/>
  <c r="F23" i="75"/>
  <c r="G23" i="75"/>
  <c r="F34" i="53" l="1"/>
  <c r="D34" i="53"/>
  <c r="E34" i="53"/>
  <c r="N40" i="60"/>
  <c r="N39" i="60"/>
  <c r="N38" i="60"/>
  <c r="F8" i="50"/>
  <c r="F5" i="50"/>
  <c r="Y10" i="49"/>
  <c r="Y9" i="49"/>
  <c r="Y8" i="49"/>
  <c r="Y6" i="49"/>
  <c r="Y5" i="49"/>
  <c r="Y4" i="49"/>
  <c r="T10" i="49"/>
  <c r="T5" i="49"/>
  <c r="T6" i="49"/>
  <c r="T7" i="49"/>
  <c r="T8" i="49"/>
  <c r="T9" i="49"/>
  <c r="T4" i="49"/>
  <c r="N10" i="49"/>
  <c r="N11" i="49"/>
  <c r="E19" i="48"/>
  <c r="D20" i="48"/>
  <c r="F14" i="48"/>
  <c r="H23" i="75"/>
  <c r="I23" i="75"/>
  <c r="I26" i="75" l="1"/>
  <c r="H26" i="75"/>
  <c r="N41" i="60"/>
  <c r="F4" i="50"/>
  <c r="E22" i="75"/>
  <c r="C22" i="75"/>
  <c r="L23" i="75" l="1"/>
  <c r="J23" i="75"/>
  <c r="J22" i="75"/>
  <c r="K22" i="75" s="1"/>
  <c r="L22" i="75" s="1"/>
  <c r="L7" i="72"/>
  <c r="L10" i="72" s="1"/>
  <c r="L9" i="72"/>
  <c r="L8" i="72"/>
  <c r="K23" i="75" l="1"/>
  <c r="L14" i="9"/>
  <c r="K14" i="9"/>
  <c r="J8" i="9" l="1"/>
  <c r="K8" i="9" s="1"/>
  <c r="L8" i="9" s="1"/>
  <c r="J9" i="9"/>
  <c r="K9" i="9" s="1"/>
  <c r="L9" i="9" s="1"/>
  <c r="J10" i="9"/>
  <c r="K10" i="9" s="1"/>
  <c r="L10" i="9" s="1"/>
  <c r="J12" i="9"/>
  <c r="K12" i="9" s="1"/>
  <c r="L12" i="9" s="1"/>
  <c r="AC28" i="21" l="1"/>
  <c r="AQ8" i="21"/>
  <c r="AP7" i="21"/>
  <c r="AP15" i="21"/>
  <c r="AO7" i="21"/>
  <c r="AO15" i="21"/>
  <c r="HR54" i="70"/>
  <c r="HR52" i="70"/>
  <c r="HR55" i="70"/>
  <c r="HR63" i="70"/>
  <c r="HR58" i="70"/>
  <c r="HR57" i="70"/>
  <c r="HR61" i="70"/>
  <c r="HR60" i="70"/>
  <c r="HR62" i="70"/>
  <c r="HR59" i="70"/>
  <c r="HR67" i="70"/>
  <c r="HR56" i="70"/>
  <c r="HR64" i="70"/>
  <c r="HR75" i="70"/>
  <c r="HR69" i="70"/>
  <c r="HR65" i="70"/>
  <c r="HR71" i="70"/>
  <c r="HR70" i="70"/>
  <c r="HR66" i="70"/>
  <c r="HR68" i="70"/>
  <c r="HR73" i="70"/>
  <c r="HR74" i="70"/>
  <c r="HR72" i="70"/>
  <c r="HR82" i="70"/>
  <c r="HR76" i="70"/>
  <c r="HR78" i="70"/>
  <c r="HR77" i="70"/>
  <c r="HR79" i="70"/>
  <c r="HR81" i="70"/>
  <c r="HR80" i="70"/>
  <c r="HR53" i="70"/>
  <c r="ES84" i="70"/>
  <c r="ET84" i="70"/>
  <c r="EU84" i="70"/>
  <c r="EV84" i="70"/>
  <c r="EW84" i="70"/>
  <c r="EX84" i="70"/>
  <c r="EY84" i="70"/>
  <c r="EZ84" i="70"/>
  <c r="FA84" i="70"/>
  <c r="FB84" i="70"/>
  <c r="FC84" i="70"/>
  <c r="GX53" i="70"/>
  <c r="GX54" i="70"/>
  <c r="GX52" i="70"/>
  <c r="GX55" i="70"/>
  <c r="GX63" i="70"/>
  <c r="GX58" i="70"/>
  <c r="GX57" i="70"/>
  <c r="GX61" i="70"/>
  <c r="GX60" i="70"/>
  <c r="GX62" i="70"/>
  <c r="GX59" i="70"/>
  <c r="GX67" i="70"/>
  <c r="GX56" i="70"/>
  <c r="GX64" i="70"/>
  <c r="GX75" i="70"/>
  <c r="GX69" i="70"/>
  <c r="HA53" i="70"/>
  <c r="HB53" i="70"/>
  <c r="HC53" i="70"/>
  <c r="HD53" i="70"/>
  <c r="HA54" i="70"/>
  <c r="HB54" i="70"/>
  <c r="HC54" i="70"/>
  <c r="HD54" i="70"/>
  <c r="HA52" i="70"/>
  <c r="HB52" i="70"/>
  <c r="HC52" i="70"/>
  <c r="HD52" i="70"/>
  <c r="HA55" i="70"/>
  <c r="HB55" i="70"/>
  <c r="HC55" i="70"/>
  <c r="HD55" i="70"/>
  <c r="HA63" i="70"/>
  <c r="HB63" i="70"/>
  <c r="HC63" i="70"/>
  <c r="HD63" i="70"/>
  <c r="HA58" i="70"/>
  <c r="HB58" i="70"/>
  <c r="HC58" i="70"/>
  <c r="HD58" i="70"/>
  <c r="HA57" i="70"/>
  <c r="HB57" i="70"/>
  <c r="HC57" i="70"/>
  <c r="HD57" i="70"/>
  <c r="HA61" i="70"/>
  <c r="HB61" i="70"/>
  <c r="HC61" i="70"/>
  <c r="HD61" i="70"/>
  <c r="HA60" i="70"/>
  <c r="HB60" i="70"/>
  <c r="HC60" i="70"/>
  <c r="HD60" i="70"/>
  <c r="HA62" i="70"/>
  <c r="HB62" i="70"/>
  <c r="HC62" i="70"/>
  <c r="HD62" i="70"/>
  <c r="HA59" i="70"/>
  <c r="HB59" i="70"/>
  <c r="HC59" i="70"/>
  <c r="HD59" i="70"/>
  <c r="HA67" i="70"/>
  <c r="HB67" i="70"/>
  <c r="HC67" i="70"/>
  <c r="HD67" i="70"/>
  <c r="HA56" i="70"/>
  <c r="HB56" i="70"/>
  <c r="HC56" i="70"/>
  <c r="HD56" i="70"/>
  <c r="HA64" i="70"/>
  <c r="HB64" i="70"/>
  <c r="HC64" i="70"/>
  <c r="HD64" i="70"/>
  <c r="HA75" i="70"/>
  <c r="HB75" i="70"/>
  <c r="HC75" i="70"/>
  <c r="HD75" i="70"/>
  <c r="HA69" i="70"/>
  <c r="HB69" i="70"/>
  <c r="HC69" i="70"/>
  <c r="HD69" i="70"/>
  <c r="HD71" i="70"/>
  <c r="HD70" i="70"/>
  <c r="HD66" i="70"/>
  <c r="HD68" i="70"/>
  <c r="HD73" i="70"/>
  <c r="HD74" i="70"/>
  <c r="HD72" i="70"/>
  <c r="HD82" i="70"/>
  <c r="HD76" i="70"/>
  <c r="HD78" i="70"/>
  <c r="HD77" i="70"/>
  <c r="HD79" i="70"/>
  <c r="HD81" i="70"/>
  <c r="HD80" i="70"/>
  <c r="HD83" i="70"/>
  <c r="HD65" i="70"/>
  <c r="HC71" i="70"/>
  <c r="HC70" i="70"/>
  <c r="HC66" i="70"/>
  <c r="HC68" i="70"/>
  <c r="HC73" i="70"/>
  <c r="HC74" i="70"/>
  <c r="HC72" i="70"/>
  <c r="HC82" i="70"/>
  <c r="HC76" i="70"/>
  <c r="HC78" i="70"/>
  <c r="HC77" i="70"/>
  <c r="HC79" i="70"/>
  <c r="HC81" i="70"/>
  <c r="HC80" i="70"/>
  <c r="HC83" i="70"/>
  <c r="HC65" i="70"/>
  <c r="HB71" i="70"/>
  <c r="HB70" i="70"/>
  <c r="HB66" i="70"/>
  <c r="HB68" i="70"/>
  <c r="HB73" i="70"/>
  <c r="HB74" i="70"/>
  <c r="HB72" i="70"/>
  <c r="HB82" i="70"/>
  <c r="HB76" i="70"/>
  <c r="HB78" i="70"/>
  <c r="HB77" i="70"/>
  <c r="HB79" i="70"/>
  <c r="HB81" i="70"/>
  <c r="HB80" i="70"/>
  <c r="HB83" i="70"/>
  <c r="HB65" i="70"/>
  <c r="HA71" i="70"/>
  <c r="HA70" i="70"/>
  <c r="HA66" i="70"/>
  <c r="HA68" i="70"/>
  <c r="HA73" i="70"/>
  <c r="HA74" i="70"/>
  <c r="HA72" i="70"/>
  <c r="HA82" i="70"/>
  <c r="HA76" i="70"/>
  <c r="HA78" i="70"/>
  <c r="HA77" i="70"/>
  <c r="HA79" i="70"/>
  <c r="HA81" i="70"/>
  <c r="HA80" i="70"/>
  <c r="GW71" i="70"/>
  <c r="GX71" i="70"/>
  <c r="GY71" i="70"/>
  <c r="GZ71" i="70"/>
  <c r="GW70" i="70"/>
  <c r="GX70" i="70"/>
  <c r="GY70" i="70"/>
  <c r="GZ70" i="70"/>
  <c r="GW66" i="70"/>
  <c r="GX66" i="70"/>
  <c r="GY66" i="70"/>
  <c r="GZ66" i="70"/>
  <c r="GW68" i="70"/>
  <c r="GX68" i="70"/>
  <c r="GY68" i="70"/>
  <c r="GZ68" i="70"/>
  <c r="GW73" i="70"/>
  <c r="GX73" i="70"/>
  <c r="GY73" i="70"/>
  <c r="GZ73" i="70"/>
  <c r="GW74" i="70"/>
  <c r="GX74" i="70"/>
  <c r="GY74" i="70"/>
  <c r="GZ74" i="70"/>
  <c r="GW72" i="70"/>
  <c r="GX72" i="70"/>
  <c r="GY72" i="70"/>
  <c r="GZ72" i="70"/>
  <c r="GW82" i="70"/>
  <c r="GX82" i="70"/>
  <c r="GY82" i="70"/>
  <c r="GZ82" i="70"/>
  <c r="GW76" i="70"/>
  <c r="GX76" i="70"/>
  <c r="GY76" i="70"/>
  <c r="GZ76" i="70"/>
  <c r="GW78" i="70"/>
  <c r="GX78" i="70"/>
  <c r="GY78" i="70"/>
  <c r="GZ78" i="70"/>
  <c r="GW77" i="70"/>
  <c r="GX77" i="70"/>
  <c r="GY77" i="70"/>
  <c r="GZ77" i="70"/>
  <c r="GW79" i="70"/>
  <c r="GX79" i="70"/>
  <c r="GY79" i="70"/>
  <c r="GZ79" i="70"/>
  <c r="GW81" i="70"/>
  <c r="GX81" i="70"/>
  <c r="GY81" i="70"/>
  <c r="GZ81" i="70"/>
  <c r="GW80" i="70"/>
  <c r="GX80" i="70"/>
  <c r="GY80" i="70"/>
  <c r="GZ80" i="70"/>
  <c r="GX65" i="70"/>
  <c r="HA65" i="70"/>
  <c r="EU12" i="70"/>
  <c r="EV11" i="70"/>
  <c r="EQ83" i="70"/>
  <c r="HD84" i="70" l="1"/>
  <c r="HC84" i="70"/>
  <c r="HB84" i="70"/>
  <c r="N190" i="59"/>
  <c r="V17" i="21" l="1"/>
  <c r="X17" i="21"/>
  <c r="Y17" i="21"/>
  <c r="AA17" i="21"/>
  <c r="AB17" i="21"/>
  <c r="AC17" i="21"/>
  <c r="M190" i="59" l="1"/>
  <c r="AD7" i="21" l="1"/>
  <c r="AD15" i="21"/>
  <c r="J6" i="83" l="1"/>
  <c r="L5" i="83"/>
  <c r="L4" i="83"/>
  <c r="K5" i="83"/>
  <c r="K4" i="83"/>
  <c r="K6" i="83" s="1"/>
  <c r="K7" i="83" s="1"/>
  <c r="J5" i="83"/>
  <c r="J4" i="83"/>
  <c r="J9" i="83" s="1"/>
  <c r="I5" i="83"/>
  <c r="I6" i="83" s="1"/>
  <c r="I4" i="83"/>
  <c r="I9" i="83" s="1"/>
  <c r="J7" i="83" l="1"/>
  <c r="K9" i="83"/>
  <c r="EZ90" i="70"/>
  <c r="FA90" i="70"/>
  <c r="FC90" i="70"/>
  <c r="ER90" i="70"/>
  <c r="ES90" i="70"/>
  <c r="ET90" i="70"/>
  <c r="EU90" i="70"/>
  <c r="EV90" i="70"/>
  <c r="EW90" i="70"/>
  <c r="EX90" i="70"/>
  <c r="EY90" i="70"/>
  <c r="FB90" i="70"/>
  <c r="EP83" i="70"/>
  <c r="GZ83" i="70" l="1"/>
  <c r="T45" i="21"/>
  <c r="S45" i="21"/>
  <c r="R45" i="21"/>
  <c r="Q45" i="21"/>
  <c r="P45" i="21"/>
  <c r="O45" i="21"/>
  <c r="K190" i="59" l="1"/>
  <c r="L190" i="59"/>
  <c r="AC33" i="21" l="1"/>
  <c r="F5" i="91" l="1"/>
  <c r="D5" i="91"/>
  <c r="E7" i="91"/>
  <c r="E5" i="91"/>
  <c r="L8" i="91"/>
  <c r="L6" i="91"/>
  <c r="F4" i="91"/>
  <c r="F7" i="91" l="1"/>
  <c r="F4" i="83" l="1"/>
  <c r="F7" i="83" s="1"/>
  <c r="E7" i="83"/>
  <c r="E5" i="83"/>
  <c r="D5" i="83"/>
  <c r="F14" i="90"/>
  <c r="I5" i="90"/>
  <c r="F5" i="90"/>
  <c r="I4" i="90"/>
  <c r="I6" i="90" s="1"/>
  <c r="F5" i="83" l="1"/>
  <c r="I8" i="90"/>
  <c r="L13" i="21" l="1"/>
  <c r="L12" i="21"/>
  <c r="N5" i="89" l="1"/>
  <c r="N6" i="89"/>
  <c r="N7" i="89"/>
  <c r="N9" i="89"/>
  <c r="N10" i="89"/>
  <c r="N11" i="89"/>
  <c r="M8" i="89"/>
  <c r="J8" i="89"/>
  <c r="I8" i="89"/>
  <c r="H8" i="89"/>
  <c r="G8" i="89"/>
  <c r="F8" i="89"/>
  <c r="E8" i="89"/>
  <c r="D8" i="89"/>
  <c r="C8" i="89"/>
  <c r="B8" i="89"/>
  <c r="M4" i="89"/>
  <c r="L4" i="89"/>
  <c r="K4" i="89"/>
  <c r="J4" i="89"/>
  <c r="I4" i="89"/>
  <c r="H4" i="89"/>
  <c r="G4" i="89"/>
  <c r="E4" i="89"/>
  <c r="F4" i="89"/>
  <c r="D4" i="89"/>
  <c r="C4" i="89"/>
  <c r="B4" i="89"/>
  <c r="N4" i="89" l="1"/>
  <c r="D5" i="87" l="1"/>
  <c r="E5" i="87"/>
  <c r="F5" i="87"/>
  <c r="G5" i="87"/>
  <c r="H5" i="87"/>
  <c r="I5" i="87"/>
  <c r="J5" i="87"/>
  <c r="K5" i="87"/>
  <c r="L5" i="87"/>
  <c r="M5" i="87"/>
  <c r="N5" i="87"/>
  <c r="C5" i="87"/>
  <c r="P19" i="36"/>
  <c r="Q19" i="36" s="1"/>
  <c r="O7" i="87"/>
  <c r="N7" i="87"/>
  <c r="M7" i="87"/>
  <c r="L7" i="87"/>
  <c r="K7" i="87"/>
  <c r="J9" i="87"/>
  <c r="J7" i="87"/>
  <c r="I9" i="87"/>
  <c r="I7" i="87"/>
  <c r="H9" i="87"/>
  <c r="H7" i="87"/>
  <c r="G9" i="87"/>
  <c r="G7" i="87"/>
  <c r="M9" i="87"/>
  <c r="L9" i="87"/>
  <c r="K9" i="87"/>
  <c r="O9" i="87"/>
  <c r="N9" i="87"/>
  <c r="G6" i="87"/>
  <c r="O5" i="87" l="1"/>
  <c r="H65" i="28"/>
  <c r="E23" i="75"/>
  <c r="K18" i="85"/>
  <c r="L18" i="85"/>
  <c r="M18" i="85"/>
  <c r="J18" i="85"/>
  <c r="F4" i="85"/>
  <c r="N6" i="86"/>
  <c r="N5" i="86"/>
  <c r="F9" i="86"/>
  <c r="E9" i="86"/>
  <c r="G9" i="86" s="1"/>
  <c r="M9" i="86"/>
  <c r="N9" i="86" s="1"/>
  <c r="L9" i="86"/>
  <c r="K9" i="86"/>
  <c r="J9" i="86"/>
  <c r="M7" i="86"/>
  <c r="N7" i="86" s="1"/>
  <c r="L7" i="86"/>
  <c r="K7" i="86"/>
  <c r="J7" i="86"/>
  <c r="G5" i="86"/>
  <c r="K20" i="85"/>
  <c r="L20" i="85"/>
  <c r="M20" i="85"/>
  <c r="J20" i="85"/>
  <c r="AD60" i="62" l="1"/>
  <c r="AC60" i="62"/>
  <c r="AB60" i="62"/>
  <c r="AA60" i="62"/>
  <c r="Z60" i="62"/>
  <c r="Y60" i="62"/>
  <c r="X60" i="62"/>
  <c r="W60" i="62"/>
  <c r="V60" i="62"/>
  <c r="U60" i="62"/>
  <c r="T60" i="62"/>
  <c r="S60" i="62"/>
  <c r="S30" i="62"/>
  <c r="T30" i="62"/>
  <c r="AT6" i="62"/>
  <c r="N6" i="62" s="1"/>
  <c r="H54" i="28" s="1"/>
  <c r="U25" i="62"/>
  <c r="V25" i="62"/>
  <c r="W25" i="62"/>
  <c r="X25" i="62"/>
  <c r="Y25" i="62"/>
  <c r="Z25" i="62"/>
  <c r="AA25" i="62"/>
  <c r="AB25" i="62"/>
  <c r="AC25" i="62"/>
  <c r="AC5" i="62" s="1"/>
  <c r="AC15" i="62" s="1"/>
  <c r="AD25" i="62"/>
  <c r="AD5" i="62" s="1"/>
  <c r="AD15" i="62" s="1"/>
  <c r="T25" i="62"/>
  <c r="U30" i="62" l="1"/>
  <c r="V30" i="62"/>
  <c r="J190" i="59"/>
  <c r="I190" i="59"/>
  <c r="Z9" i="21" l="1"/>
  <c r="K16" i="21" l="1"/>
  <c r="AH14" i="21" s="1"/>
  <c r="J16" i="21"/>
  <c r="J33" i="21" s="1"/>
  <c r="GY54" i="70"/>
  <c r="GZ54" i="70"/>
  <c r="GY52" i="70"/>
  <c r="GZ52" i="70"/>
  <c r="GY55" i="70"/>
  <c r="GZ55" i="70"/>
  <c r="GY63" i="70"/>
  <c r="GZ63" i="70"/>
  <c r="GY58" i="70"/>
  <c r="GZ58" i="70"/>
  <c r="GY57" i="70"/>
  <c r="GZ57" i="70"/>
  <c r="GY61" i="70"/>
  <c r="GZ61" i="70"/>
  <c r="GY60" i="70"/>
  <c r="GZ60" i="70"/>
  <c r="GY62" i="70"/>
  <c r="GZ62" i="70"/>
  <c r="GY59" i="70"/>
  <c r="GZ59" i="70"/>
  <c r="GY67" i="70"/>
  <c r="GZ67" i="70"/>
  <c r="GY56" i="70"/>
  <c r="GZ56" i="70"/>
  <c r="GY64" i="70"/>
  <c r="GZ64" i="70"/>
  <c r="GY75" i="70"/>
  <c r="GZ75" i="70"/>
  <c r="GY69" i="70"/>
  <c r="GZ69" i="70"/>
  <c r="GY65" i="70"/>
  <c r="GZ65" i="70"/>
  <c r="GZ53" i="70"/>
  <c r="GY53" i="70"/>
  <c r="EG83" i="70"/>
  <c r="EG84" i="70" s="1"/>
  <c r="ES85" i="70" s="1"/>
  <c r="EH83" i="70"/>
  <c r="EH84" i="70" s="1"/>
  <c r="ET85" i="70" s="1"/>
  <c r="EI83" i="70"/>
  <c r="EJ83" i="70"/>
  <c r="EK83" i="70"/>
  <c r="EK84" i="70" s="1"/>
  <c r="EW85" i="70" s="1"/>
  <c r="EL83" i="70"/>
  <c r="GY83" i="70" s="1"/>
  <c r="EM84" i="70"/>
  <c r="EY85" i="70" s="1"/>
  <c r="EN84" i="70"/>
  <c r="EZ85" i="70" s="1"/>
  <c r="EO84" i="70"/>
  <c r="EP84" i="70"/>
  <c r="FB85" i="70" s="1"/>
  <c r="EQ84" i="70"/>
  <c r="FC85" i="70" s="1"/>
  <c r="EG90" i="70"/>
  <c r="EH90" i="70"/>
  <c r="EK90" i="70"/>
  <c r="EL90" i="70"/>
  <c r="EQ90" i="70"/>
  <c r="EF83" i="70"/>
  <c r="EF90" i="70"/>
  <c r="HQ54" i="70"/>
  <c r="IC54" i="70" s="1"/>
  <c r="HQ52" i="70"/>
  <c r="IC52" i="70" s="1"/>
  <c r="HQ55" i="70"/>
  <c r="IC55" i="70" s="1"/>
  <c r="HQ63" i="70"/>
  <c r="IC63" i="70" s="1"/>
  <c r="HQ58" i="70"/>
  <c r="IC58" i="70" s="1"/>
  <c r="HQ57" i="70"/>
  <c r="IC57" i="70" s="1"/>
  <c r="HQ61" i="70"/>
  <c r="IC61" i="70" s="1"/>
  <c r="HQ60" i="70"/>
  <c r="IC60" i="70" s="1"/>
  <c r="HQ62" i="70"/>
  <c r="IC62" i="70" s="1"/>
  <c r="HQ59" i="70"/>
  <c r="IC59" i="70" s="1"/>
  <c r="HQ67" i="70"/>
  <c r="IC67" i="70" s="1"/>
  <c r="HQ56" i="70"/>
  <c r="IC56" i="70" s="1"/>
  <c r="HQ64" i="70"/>
  <c r="IC64" i="70" s="1"/>
  <c r="HQ75" i="70"/>
  <c r="IC75" i="70" s="1"/>
  <c r="HQ69" i="70"/>
  <c r="IC69" i="70" s="1"/>
  <c r="HQ65" i="70"/>
  <c r="IC65" i="70" s="1"/>
  <c r="HQ71" i="70"/>
  <c r="IC71" i="70" s="1"/>
  <c r="HQ70" i="70"/>
  <c r="IC70" i="70" s="1"/>
  <c r="HQ66" i="70"/>
  <c r="IC66" i="70" s="1"/>
  <c r="HQ68" i="70"/>
  <c r="IC68" i="70" s="1"/>
  <c r="HQ73" i="70"/>
  <c r="IC73" i="70" s="1"/>
  <c r="HQ74" i="70"/>
  <c r="IC74" i="70" s="1"/>
  <c r="HQ72" i="70"/>
  <c r="IC72" i="70" s="1"/>
  <c r="HQ82" i="70"/>
  <c r="IC82" i="70" s="1"/>
  <c r="HQ76" i="70"/>
  <c r="IC76" i="70" s="1"/>
  <c r="HQ78" i="70"/>
  <c r="IC78" i="70" s="1"/>
  <c r="HQ77" i="70"/>
  <c r="IC77" i="70" s="1"/>
  <c r="HQ79" i="70"/>
  <c r="IC79" i="70" s="1"/>
  <c r="HQ81" i="70"/>
  <c r="IC81" i="70" s="1"/>
  <c r="HQ80" i="70"/>
  <c r="IC80" i="70" s="1"/>
  <c r="HQ53" i="70"/>
  <c r="GW53" i="70"/>
  <c r="GW54" i="70"/>
  <c r="GW52" i="70"/>
  <c r="GW55" i="70"/>
  <c r="GW63" i="70"/>
  <c r="GW58" i="70"/>
  <c r="GW57" i="70"/>
  <c r="GW61" i="70"/>
  <c r="GW60" i="70"/>
  <c r="GW62" i="70"/>
  <c r="GW59" i="70"/>
  <c r="GW67" i="70"/>
  <c r="GW56" i="70"/>
  <c r="GW64" i="70"/>
  <c r="GW75" i="70"/>
  <c r="GW69" i="70"/>
  <c r="GW65" i="70"/>
  <c r="EI12" i="70"/>
  <c r="EJ11" i="70"/>
  <c r="HP54" i="70"/>
  <c r="HP52" i="70"/>
  <c r="HP55" i="70"/>
  <c r="HP63" i="70"/>
  <c r="HP58" i="70"/>
  <c r="HP57" i="70"/>
  <c r="HP61" i="70"/>
  <c r="HP60" i="70"/>
  <c r="HP62" i="70"/>
  <c r="HP59" i="70"/>
  <c r="HP67" i="70"/>
  <c r="HP56" i="70"/>
  <c r="HP64" i="70"/>
  <c r="HP75" i="70"/>
  <c r="HP69" i="70"/>
  <c r="HP65" i="70"/>
  <c r="HP71" i="70"/>
  <c r="HP70" i="70"/>
  <c r="HP66" i="70"/>
  <c r="HP68" i="70"/>
  <c r="HP73" i="70"/>
  <c r="HP74" i="70"/>
  <c r="HP72" i="70"/>
  <c r="HP82" i="70"/>
  <c r="HP76" i="70"/>
  <c r="HP78" i="70"/>
  <c r="HP77" i="70"/>
  <c r="HP79" i="70"/>
  <c r="HP81" i="70"/>
  <c r="HP80" i="70"/>
  <c r="HP53" i="70"/>
  <c r="HN53" i="70"/>
  <c r="HN54" i="70"/>
  <c r="HN55" i="70"/>
  <c r="HN58" i="70"/>
  <c r="HN57" i="70"/>
  <c r="HN61" i="70"/>
  <c r="HN60" i="70"/>
  <c r="HN56" i="70"/>
  <c r="HN64" i="70"/>
  <c r="HO53" i="70"/>
  <c r="HO54" i="70"/>
  <c r="HO55" i="70"/>
  <c r="HO58" i="70"/>
  <c r="HO57" i="70"/>
  <c r="HO61" i="70"/>
  <c r="HO60" i="70"/>
  <c r="HO56" i="70"/>
  <c r="HO64" i="70"/>
  <c r="HN52" i="70"/>
  <c r="HN59" i="70"/>
  <c r="HN67" i="70"/>
  <c r="HN71" i="70"/>
  <c r="HN66" i="70"/>
  <c r="HN76" i="70"/>
  <c r="HN79" i="70"/>
  <c r="HO52" i="70"/>
  <c r="HO59" i="70"/>
  <c r="HO67" i="70"/>
  <c r="HO71" i="70"/>
  <c r="HO66" i="70"/>
  <c r="HO76" i="70"/>
  <c r="HO79" i="70"/>
  <c r="HL90" i="70"/>
  <c r="HN63" i="70"/>
  <c r="HN62" i="70"/>
  <c r="HN75" i="70"/>
  <c r="HN69" i="70"/>
  <c r="HN65" i="70"/>
  <c r="HN70" i="70"/>
  <c r="HN68" i="70"/>
  <c r="HN73" i="70"/>
  <c r="HN74" i="70"/>
  <c r="HN72" i="70"/>
  <c r="HN82" i="70"/>
  <c r="HN78" i="70"/>
  <c r="HN77" i="70"/>
  <c r="HN81" i="70"/>
  <c r="HN80" i="70"/>
  <c r="HN83" i="70"/>
  <c r="HO63" i="70"/>
  <c r="HO62" i="70"/>
  <c r="HO75" i="70"/>
  <c r="HO69" i="70"/>
  <c r="HO65" i="70"/>
  <c r="HO70" i="70"/>
  <c r="HO68" i="70"/>
  <c r="HO73" i="70"/>
  <c r="HO74" i="70"/>
  <c r="HO72" i="70"/>
  <c r="HO82" i="70"/>
  <c r="HO78" i="70"/>
  <c r="HO77" i="70"/>
  <c r="HO81" i="70"/>
  <c r="HZ81" i="70" s="1"/>
  <c r="HO80" i="70"/>
  <c r="HO83" i="70"/>
  <c r="HM87" i="70"/>
  <c r="GV63" i="70"/>
  <c r="GV58" i="70"/>
  <c r="GV57" i="70"/>
  <c r="GV61" i="70"/>
  <c r="GV62" i="70"/>
  <c r="GV59" i="70"/>
  <c r="GV67" i="70"/>
  <c r="GV56" i="70"/>
  <c r="GV75" i="70"/>
  <c r="GV69" i="70"/>
  <c r="GV65" i="70"/>
  <c r="GV73" i="70"/>
  <c r="GV72" i="70"/>
  <c r="GV81" i="70"/>
  <c r="GV84" i="70"/>
  <c r="GR63" i="70"/>
  <c r="GR58" i="70"/>
  <c r="GR57" i="70"/>
  <c r="GR61" i="70"/>
  <c r="GR62" i="70"/>
  <c r="GR59" i="70"/>
  <c r="GR67" i="70"/>
  <c r="GR56" i="70"/>
  <c r="GR75" i="70"/>
  <c r="GR69" i="70"/>
  <c r="GR65" i="70"/>
  <c r="GR73" i="70"/>
  <c r="GR72" i="70"/>
  <c r="GR81" i="70"/>
  <c r="GR84" i="70"/>
  <c r="GU63" i="70"/>
  <c r="GU58" i="70"/>
  <c r="GU57" i="70"/>
  <c r="GU61" i="70"/>
  <c r="GU62" i="70"/>
  <c r="GU59" i="70"/>
  <c r="GU67" i="70"/>
  <c r="GU56" i="70"/>
  <c r="GU75" i="70"/>
  <c r="GU69" i="70"/>
  <c r="GU65" i="70"/>
  <c r="GU73" i="70"/>
  <c r="GU72" i="70"/>
  <c r="GU81" i="70"/>
  <c r="GU84" i="70"/>
  <c r="GQ63" i="70"/>
  <c r="GQ58" i="70"/>
  <c r="GQ57" i="70"/>
  <c r="GQ61" i="70"/>
  <c r="GQ62" i="70"/>
  <c r="GQ59" i="70"/>
  <c r="GQ67" i="70"/>
  <c r="GQ56" i="70"/>
  <c r="GQ75" i="70"/>
  <c r="GQ69" i="70"/>
  <c r="GQ65" i="70"/>
  <c r="GQ73" i="70"/>
  <c r="GQ72" i="70"/>
  <c r="GQ81" i="70"/>
  <c r="GQ84" i="70"/>
  <c r="GT63" i="70"/>
  <c r="GT58" i="70"/>
  <c r="GT57" i="70"/>
  <c r="GT61" i="70"/>
  <c r="GT62" i="70"/>
  <c r="GT59" i="70"/>
  <c r="GT67" i="70"/>
  <c r="GT56" i="70"/>
  <c r="GT75" i="70"/>
  <c r="GT69" i="70"/>
  <c r="GT65" i="70"/>
  <c r="GT73" i="70"/>
  <c r="GT72" i="70"/>
  <c r="GT81" i="70"/>
  <c r="GT84" i="70"/>
  <c r="GP63" i="70"/>
  <c r="GP58" i="70"/>
  <c r="GP57" i="70"/>
  <c r="GP61" i="70"/>
  <c r="GP62" i="70"/>
  <c r="GP59" i="70"/>
  <c r="GP67" i="70"/>
  <c r="GP56" i="70"/>
  <c r="GP75" i="70"/>
  <c r="GP69" i="70"/>
  <c r="GP65" i="70"/>
  <c r="GP73" i="70"/>
  <c r="GP72" i="70"/>
  <c r="GP81" i="70"/>
  <c r="GP84" i="70"/>
  <c r="GS63" i="70"/>
  <c r="GS58" i="70"/>
  <c r="GS57" i="70"/>
  <c r="GS61" i="70"/>
  <c r="GS62" i="70"/>
  <c r="GS59" i="70"/>
  <c r="GS67" i="70"/>
  <c r="GS56" i="70"/>
  <c r="GS75" i="70"/>
  <c r="GS69" i="70"/>
  <c r="GS65" i="70"/>
  <c r="GS73" i="70"/>
  <c r="GS72" i="70"/>
  <c r="GS81" i="70"/>
  <c r="GS84" i="70"/>
  <c r="GO63" i="70"/>
  <c r="GO58" i="70"/>
  <c r="GO57" i="70"/>
  <c r="GO61" i="70"/>
  <c r="GO62" i="70"/>
  <c r="GO59" i="70"/>
  <c r="GO67" i="70"/>
  <c r="GO56" i="70"/>
  <c r="GO75" i="70"/>
  <c r="GO69" i="70"/>
  <c r="GO65" i="70"/>
  <c r="GO73" i="70"/>
  <c r="GO72" i="70"/>
  <c r="GO81" i="70"/>
  <c r="GO84" i="70"/>
  <c r="GN63" i="70"/>
  <c r="GN58" i="70"/>
  <c r="GN57" i="70"/>
  <c r="GN61" i="70"/>
  <c r="GN62" i="70"/>
  <c r="GN59" i="70"/>
  <c r="GN67" i="70"/>
  <c r="GN56" i="70"/>
  <c r="GN75" i="70"/>
  <c r="GN69" i="70"/>
  <c r="GN65" i="70"/>
  <c r="GN73" i="70"/>
  <c r="GN72" i="70"/>
  <c r="GN81" i="70"/>
  <c r="GN84" i="70"/>
  <c r="GM63" i="70"/>
  <c r="GM58" i="70"/>
  <c r="GM57" i="70"/>
  <c r="GM61" i="70"/>
  <c r="GM62" i="70"/>
  <c r="GM59" i="70"/>
  <c r="GM67" i="70"/>
  <c r="GM56" i="70"/>
  <c r="GM75" i="70"/>
  <c r="GM69" i="70"/>
  <c r="GM65" i="70"/>
  <c r="GM73" i="70"/>
  <c r="GM72" i="70"/>
  <c r="GM81" i="70"/>
  <c r="GM84" i="70"/>
  <c r="GL63" i="70"/>
  <c r="GL58" i="70"/>
  <c r="GL57" i="70"/>
  <c r="GL61" i="70"/>
  <c r="GL62" i="70"/>
  <c r="GL59" i="70"/>
  <c r="GL67" i="70"/>
  <c r="GL56" i="70"/>
  <c r="GL75" i="70"/>
  <c r="GL69" i="70"/>
  <c r="GL65" i="70"/>
  <c r="GL73" i="70"/>
  <c r="GL72" i="70"/>
  <c r="GL81" i="70"/>
  <c r="GL84" i="70"/>
  <c r="GI63" i="70"/>
  <c r="GI58" i="70"/>
  <c r="GI57" i="70"/>
  <c r="GI61" i="70"/>
  <c r="GI62" i="70"/>
  <c r="GI59" i="70"/>
  <c r="GI67" i="70"/>
  <c r="GI56" i="70"/>
  <c r="GI75" i="70"/>
  <c r="GI69" i="70"/>
  <c r="GI65" i="70"/>
  <c r="GI73" i="70"/>
  <c r="GI72" i="70"/>
  <c r="GI81" i="70"/>
  <c r="GI84" i="70"/>
  <c r="H190" i="59"/>
  <c r="G190" i="59"/>
  <c r="F190" i="59"/>
  <c r="AA16" i="21"/>
  <c r="J6" i="19"/>
  <c r="K6" i="19" s="1"/>
  <c r="I6" i="19"/>
  <c r="K4" i="19"/>
  <c r="K3" i="19"/>
  <c r="N15" i="17"/>
  <c r="N14" i="17"/>
  <c r="N13" i="17"/>
  <c r="N12" i="17"/>
  <c r="N11" i="17"/>
  <c r="N10" i="17"/>
  <c r="N9" i="17"/>
  <c r="N8" i="17"/>
  <c r="N7" i="17"/>
  <c r="N6" i="17"/>
  <c r="N5" i="17"/>
  <c r="N4" i="17"/>
  <c r="L11" i="22"/>
  <c r="K11" i="22"/>
  <c r="L9" i="22" s="1"/>
  <c r="L8" i="22"/>
  <c r="M10" i="22"/>
  <c r="M8" i="22"/>
  <c r="M7" i="22"/>
  <c r="M6" i="22"/>
  <c r="M5" i="22"/>
  <c r="L5" i="22"/>
  <c r="M4" i="22"/>
  <c r="M3" i="22"/>
  <c r="L3" i="22"/>
  <c r="K6" i="16"/>
  <c r="J6" i="16"/>
  <c r="L6" i="16" s="1"/>
  <c r="I6" i="16"/>
  <c r="L5" i="16"/>
  <c r="L4" i="16"/>
  <c r="L3" i="16"/>
  <c r="L7" i="15"/>
  <c r="K7" i="15"/>
  <c r="L5" i="15" s="1"/>
  <c r="J7" i="15"/>
  <c r="I7" i="15"/>
  <c r="H7" i="15"/>
  <c r="G7" i="15"/>
  <c r="F7" i="15"/>
  <c r="E7" i="15"/>
  <c r="D7" i="15"/>
  <c r="L6" i="15"/>
  <c r="L3" i="15"/>
  <c r="K31" i="14"/>
  <c r="M29" i="14" s="1"/>
  <c r="J31" i="14"/>
  <c r="I31" i="14"/>
  <c r="H31" i="14"/>
  <c r="G31" i="14"/>
  <c r="F31" i="14"/>
  <c r="E31" i="14"/>
  <c r="D31" i="14"/>
  <c r="M30" i="14"/>
  <c r="L29" i="14"/>
  <c r="L28" i="14"/>
  <c r="L27" i="14"/>
  <c r="L26" i="14"/>
  <c r="L25" i="14"/>
  <c r="L24" i="14"/>
  <c r="L23" i="14"/>
  <c r="L22" i="14"/>
  <c r="L21" i="14"/>
  <c r="O15" i="14"/>
  <c r="O14" i="14"/>
  <c r="O13" i="14"/>
  <c r="O12" i="14"/>
  <c r="O11" i="14"/>
  <c r="O10" i="14"/>
  <c r="O9" i="14"/>
  <c r="O8" i="14"/>
  <c r="O7" i="14"/>
  <c r="O6" i="14"/>
  <c r="O5" i="14"/>
  <c r="L10" i="13"/>
  <c r="K10" i="13"/>
  <c r="J10" i="13"/>
  <c r="L9" i="13"/>
  <c r="L8" i="13"/>
  <c r="L7" i="13"/>
  <c r="N18" i="12"/>
  <c r="K18" i="12"/>
  <c r="O18" i="12" s="1"/>
  <c r="P18" i="12" s="1"/>
  <c r="M18" i="12"/>
  <c r="O17" i="12"/>
  <c r="N17" i="12"/>
  <c r="O16" i="12"/>
  <c r="N16" i="12"/>
  <c r="O15" i="12"/>
  <c r="N15" i="12"/>
  <c r="O14" i="12"/>
  <c r="N14" i="12"/>
  <c r="M14" i="12"/>
  <c r="O13" i="12"/>
  <c r="N13" i="12"/>
  <c r="M13" i="12"/>
  <c r="O12" i="12"/>
  <c r="P12" i="12" s="1"/>
  <c r="N12" i="12"/>
  <c r="M12" i="12"/>
  <c r="P11" i="12"/>
  <c r="O11" i="12"/>
  <c r="N11" i="12"/>
  <c r="M11" i="12"/>
  <c r="O10" i="12"/>
  <c r="N10" i="12"/>
  <c r="M10" i="12"/>
  <c r="O9" i="12"/>
  <c r="P7" i="12" s="1"/>
  <c r="N9" i="12"/>
  <c r="M9" i="12"/>
  <c r="O8" i="12"/>
  <c r="N8" i="12"/>
  <c r="M8" i="12"/>
  <c r="O7" i="12"/>
  <c r="N7" i="12"/>
  <c r="M7" i="12"/>
  <c r="O6" i="12"/>
  <c r="P6" i="12" s="1"/>
  <c r="N6" i="12"/>
  <c r="M6" i="12"/>
  <c r="P5" i="12"/>
  <c r="O5" i="12"/>
  <c r="N5" i="12"/>
  <c r="M5" i="12"/>
  <c r="K8" i="11"/>
  <c r="L8" i="11" s="1"/>
  <c r="J8" i="11"/>
  <c r="I8" i="11"/>
  <c r="L7" i="11"/>
  <c r="L5" i="11"/>
  <c r="L4" i="11"/>
  <c r="K8" i="10"/>
  <c r="L8" i="10" s="1"/>
  <c r="L6" i="10"/>
  <c r="L4" i="10"/>
  <c r="L3" i="10"/>
  <c r="I18" i="23"/>
  <c r="H18" i="23"/>
  <c r="G18" i="23"/>
  <c r="L17" i="23"/>
  <c r="K17" i="23"/>
  <c r="I16" i="23"/>
  <c r="H16" i="23"/>
  <c r="G16" i="23"/>
  <c r="F16" i="23"/>
  <c r="E16" i="23"/>
  <c r="D16" i="23"/>
  <c r="C16" i="23"/>
  <c r="B16" i="23"/>
  <c r="L15" i="23"/>
  <c r="K15" i="23"/>
  <c r="L14" i="23"/>
  <c r="K14" i="23"/>
  <c r="L13" i="23"/>
  <c r="K13" i="23"/>
  <c r="L12" i="23"/>
  <c r="K12" i="23"/>
  <c r="L11" i="23"/>
  <c r="K11" i="23"/>
  <c r="L10" i="23"/>
  <c r="K10" i="23"/>
  <c r="L9" i="23"/>
  <c r="K9" i="23"/>
  <c r="L8" i="23"/>
  <c r="K8" i="23"/>
  <c r="L7" i="23"/>
  <c r="K7" i="23"/>
  <c r="L6" i="23"/>
  <c r="K6" i="23"/>
  <c r="L5" i="23"/>
  <c r="K5" i="23"/>
  <c r="H25" i="9"/>
  <c r="H27" i="9" s="1"/>
  <c r="F25" i="9"/>
  <c r="F27" i="9" s="1"/>
  <c r="E25" i="9"/>
  <c r="E27" i="9" s="1"/>
  <c r="D25" i="9"/>
  <c r="D27" i="9" s="1"/>
  <c r="C25" i="9"/>
  <c r="C27" i="9" s="1"/>
  <c r="B25" i="9"/>
  <c r="B27" i="9" s="1"/>
  <c r="A25" i="9"/>
  <c r="P36" i="64"/>
  <c r="O36" i="64"/>
  <c r="F36" i="64"/>
  <c r="D36" i="64"/>
  <c r="T35" i="64"/>
  <c r="H35" i="64"/>
  <c r="H34" i="64"/>
  <c r="T34" i="64" s="1"/>
  <c r="F34" i="64"/>
  <c r="D34" i="64"/>
  <c r="T33" i="64"/>
  <c r="H33" i="64"/>
  <c r="F33" i="64"/>
  <c r="D33" i="64"/>
  <c r="H32" i="64"/>
  <c r="T32" i="64"/>
  <c r="F32" i="64"/>
  <c r="D32" i="64"/>
  <c r="H31" i="64"/>
  <c r="T31" i="64" s="1"/>
  <c r="F31" i="64"/>
  <c r="D31" i="64"/>
  <c r="N30" i="64"/>
  <c r="H30" i="64"/>
  <c r="T30" i="64" s="1"/>
  <c r="F30" i="64"/>
  <c r="D30" i="64"/>
  <c r="H29" i="64"/>
  <c r="T29" i="64" s="1"/>
  <c r="F29" i="64"/>
  <c r="D29" i="64"/>
  <c r="H28" i="64"/>
  <c r="T28" i="64" s="1"/>
  <c r="F28" i="64"/>
  <c r="D28" i="64"/>
  <c r="H27" i="64"/>
  <c r="T27" i="64"/>
  <c r="F27" i="64"/>
  <c r="D27" i="64"/>
  <c r="H26" i="64"/>
  <c r="T26" i="64" s="1"/>
  <c r="F26" i="64"/>
  <c r="D26" i="64"/>
  <c r="H25" i="64"/>
  <c r="T25" i="64" s="1"/>
  <c r="F25" i="64"/>
  <c r="D25" i="64"/>
  <c r="H24" i="64"/>
  <c r="T24" i="64" s="1"/>
  <c r="F24" i="64"/>
  <c r="D24" i="64"/>
  <c r="H23" i="64"/>
  <c r="T23" i="64"/>
  <c r="F23" i="64"/>
  <c r="D23" i="64"/>
  <c r="N22" i="64"/>
  <c r="H22" i="64"/>
  <c r="T22" i="64"/>
  <c r="F22" i="64"/>
  <c r="D22" i="64"/>
  <c r="T21" i="64"/>
  <c r="H21" i="64"/>
  <c r="F21" i="64"/>
  <c r="D21" i="64"/>
  <c r="H20" i="64"/>
  <c r="T20" i="64"/>
  <c r="F20" i="64"/>
  <c r="D20" i="64"/>
  <c r="H19" i="64"/>
  <c r="T19" i="64" s="1"/>
  <c r="F19" i="64"/>
  <c r="D19" i="64"/>
  <c r="H18" i="64"/>
  <c r="T18" i="64"/>
  <c r="F18" i="64"/>
  <c r="D18" i="64"/>
  <c r="T17" i="64"/>
  <c r="H17" i="64"/>
  <c r="F17" i="64"/>
  <c r="D17" i="64"/>
  <c r="H16" i="64"/>
  <c r="T16" i="64"/>
  <c r="F16" i="64"/>
  <c r="D16" i="64"/>
  <c r="H15" i="64"/>
  <c r="T15" i="64" s="1"/>
  <c r="F15" i="64"/>
  <c r="D15" i="64"/>
  <c r="N14" i="64"/>
  <c r="H14" i="64"/>
  <c r="T14" i="64"/>
  <c r="F14" i="64"/>
  <c r="D14" i="64"/>
  <c r="T13" i="64"/>
  <c r="H13" i="64"/>
  <c r="F13" i="64"/>
  <c r="D13" i="64"/>
  <c r="F12" i="64"/>
  <c r="D12" i="64"/>
  <c r="K97" i="77"/>
  <c r="K95" i="77"/>
  <c r="K92" i="77"/>
  <c r="K89" i="77"/>
  <c r="K87" i="77"/>
  <c r="K86" i="77"/>
  <c r="K84" i="77"/>
  <c r="K81" i="77"/>
  <c r="J81" i="77"/>
  <c r="K93" i="77" s="1"/>
  <c r="K101" i="77"/>
  <c r="E81" i="77"/>
  <c r="D81" i="77"/>
  <c r="E99" i="77"/>
  <c r="R72" i="77"/>
  <c r="P66" i="77"/>
  <c r="R65" i="77"/>
  <c r="J63" i="77"/>
  <c r="P57" i="77"/>
  <c r="U13" i="77" s="1"/>
  <c r="R56" i="77"/>
  <c r="J56" i="77"/>
  <c r="P52" i="77"/>
  <c r="U12" i="77" s="1"/>
  <c r="R51" i="77"/>
  <c r="J48" i="77"/>
  <c r="P46" i="77"/>
  <c r="U11" i="77" s="1"/>
  <c r="R45" i="77"/>
  <c r="J41" i="77"/>
  <c r="J71" i="77" s="1"/>
  <c r="P39" i="77"/>
  <c r="U10" i="77" s="1"/>
  <c r="P32" i="77"/>
  <c r="R31" i="77"/>
  <c r="R30" i="77"/>
  <c r="R29" i="77"/>
  <c r="U15" i="77"/>
  <c r="T15" i="77"/>
  <c r="U14" i="77"/>
  <c r="T14" i="77"/>
  <c r="T13" i="77"/>
  <c r="T12" i="77"/>
  <c r="AB11" i="77"/>
  <c r="T11" i="77"/>
  <c r="T10" i="77"/>
  <c r="P10" i="77"/>
  <c r="U8" i="77"/>
  <c r="U9" i="77"/>
  <c r="T9" i="77"/>
  <c r="J9" i="77"/>
  <c r="AA8" i="77"/>
  <c r="AB37" i="77" s="1"/>
  <c r="T8" i="77"/>
  <c r="P8" i="77"/>
  <c r="Z5" i="77"/>
  <c r="E54" i="68"/>
  <c r="F42" i="68" s="1"/>
  <c r="F50" i="68"/>
  <c r="F46" i="68"/>
  <c r="F45" i="68"/>
  <c r="F41" i="68"/>
  <c r="F34" i="68"/>
  <c r="F30" i="68"/>
  <c r="F29" i="68"/>
  <c r="F25" i="68"/>
  <c r="F18" i="68"/>
  <c r="F14" i="68"/>
  <c r="F13" i="68"/>
  <c r="F9" i="68"/>
  <c r="E8" i="50"/>
  <c r="D8" i="50"/>
  <c r="C8" i="50"/>
  <c r="E5" i="50"/>
  <c r="E4" i="50" s="1"/>
  <c r="D5" i="50"/>
  <c r="D4" i="50" s="1"/>
  <c r="C5" i="50"/>
  <c r="C4" i="50" s="1"/>
  <c r="M10" i="49"/>
  <c r="S10" i="49" s="1"/>
  <c r="J10" i="49"/>
  <c r="I10" i="49"/>
  <c r="H10" i="49"/>
  <c r="G10" i="49"/>
  <c r="F10" i="49"/>
  <c r="E10" i="49"/>
  <c r="D10" i="49"/>
  <c r="S9" i="49"/>
  <c r="L9" i="49"/>
  <c r="K9" i="49"/>
  <c r="L8" i="49"/>
  <c r="K8" i="49"/>
  <c r="E78" i="28" s="1"/>
  <c r="S7" i="49"/>
  <c r="L7" i="49"/>
  <c r="K7" i="49"/>
  <c r="S5" i="49"/>
  <c r="L5" i="49"/>
  <c r="K5" i="49"/>
  <c r="S4" i="49"/>
  <c r="L4" i="49"/>
  <c r="K4" i="49"/>
  <c r="M41" i="60"/>
  <c r="J41" i="60"/>
  <c r="D10" i="48" s="1"/>
  <c r="F11" i="48" s="1"/>
  <c r="I41" i="60"/>
  <c r="D9" i="48" s="1"/>
  <c r="F9" i="48" s="1"/>
  <c r="H41" i="60"/>
  <c r="G41" i="60"/>
  <c r="D7" i="48" s="1"/>
  <c r="F8" i="48" s="1"/>
  <c r="F41" i="60"/>
  <c r="D6" i="48" s="1"/>
  <c r="E41" i="60"/>
  <c r="D5" i="48" s="1"/>
  <c r="D41" i="60"/>
  <c r="D4" i="48" s="1"/>
  <c r="L18" i="60"/>
  <c r="K18" i="60"/>
  <c r="K6" i="49" s="1"/>
  <c r="L16" i="60"/>
  <c r="K16" i="60"/>
  <c r="F20" i="48"/>
  <c r="D21" i="48" s="1"/>
  <c r="F13" i="48"/>
  <c r="F12" i="48"/>
  <c r="EL164" i="73"/>
  <c r="EJ164" i="73"/>
  <c r="EL163" i="73"/>
  <c r="EJ163" i="73"/>
  <c r="EL162" i="73"/>
  <c r="EJ162" i="73"/>
  <c r="EL161" i="73"/>
  <c r="EJ161" i="73"/>
  <c r="EL160" i="73"/>
  <c r="EJ160" i="73"/>
  <c r="EL159" i="73"/>
  <c r="EJ159" i="73"/>
  <c r="EL158" i="73"/>
  <c r="EJ158" i="73"/>
  <c r="EL157" i="73"/>
  <c r="EJ157" i="73"/>
  <c r="BM156" i="73"/>
  <c r="BY156" i="73" s="1"/>
  <c r="CK156" i="73" s="1"/>
  <c r="CW156" i="73" s="1"/>
  <c r="EL155" i="73"/>
  <c r="EJ155" i="73"/>
  <c r="EL154" i="73"/>
  <c r="EJ154" i="73"/>
  <c r="EL153" i="73"/>
  <c r="EJ153" i="73"/>
  <c r="EL152" i="73"/>
  <c r="EJ152" i="73"/>
  <c r="EL151" i="73"/>
  <c r="EJ151" i="73"/>
  <c r="EL150" i="73"/>
  <c r="EJ150" i="73"/>
  <c r="EL149" i="73"/>
  <c r="EJ149" i="73"/>
  <c r="EL148" i="73"/>
  <c r="EJ148" i="73"/>
  <c r="BM147" i="73"/>
  <c r="BY147" i="73" s="1"/>
  <c r="CK147" i="73" s="1"/>
  <c r="CW147" i="73" s="1"/>
  <c r="EL146" i="73"/>
  <c r="EJ146" i="73"/>
  <c r="EL145" i="73"/>
  <c r="EJ145" i="73"/>
  <c r="EL144" i="73"/>
  <c r="EJ144" i="73"/>
  <c r="EL143" i="73"/>
  <c r="EJ143" i="73"/>
  <c r="EL142" i="73"/>
  <c r="EJ142" i="73"/>
  <c r="EL141" i="73"/>
  <c r="EJ141" i="73"/>
  <c r="EL140" i="73"/>
  <c r="EJ140" i="73"/>
  <c r="EL139" i="73"/>
  <c r="EJ139" i="73"/>
  <c r="BM138" i="73"/>
  <c r="BY138" i="73" s="1"/>
  <c r="CK138" i="73" s="1"/>
  <c r="CW138" i="73" s="1"/>
  <c r="EL131" i="73"/>
  <c r="EJ131" i="73"/>
  <c r="EL130" i="73"/>
  <c r="EJ130" i="73"/>
  <c r="EL129" i="73"/>
  <c r="EJ129" i="73"/>
  <c r="EL128" i="73"/>
  <c r="EJ128" i="73"/>
  <c r="EL127" i="73"/>
  <c r="EJ127" i="73"/>
  <c r="EL126" i="73"/>
  <c r="EJ126" i="73"/>
  <c r="EL125" i="73"/>
  <c r="EJ125" i="73"/>
  <c r="EL124" i="73"/>
  <c r="EJ124" i="73"/>
  <c r="EL121" i="73"/>
  <c r="EJ121" i="73"/>
  <c r="EL119" i="73"/>
  <c r="EJ119" i="73"/>
  <c r="EL118" i="73"/>
  <c r="EJ118" i="73"/>
  <c r="EL117" i="73"/>
  <c r="EJ117" i="73"/>
  <c r="EL116" i="73"/>
  <c r="EJ116" i="73"/>
  <c r="EL115" i="73"/>
  <c r="EJ115" i="73"/>
  <c r="EL114" i="73"/>
  <c r="EJ114" i="73"/>
  <c r="EL111" i="73"/>
  <c r="EJ111" i="73"/>
  <c r="EL109" i="73"/>
  <c r="EJ109" i="73"/>
  <c r="EL108" i="73"/>
  <c r="EJ108" i="73"/>
  <c r="EL106" i="73"/>
  <c r="EJ106" i="73"/>
  <c r="EL100" i="73"/>
  <c r="EJ100" i="73"/>
  <c r="EL99" i="73"/>
  <c r="EJ99" i="73"/>
  <c r="EL98" i="73"/>
  <c r="EJ98" i="73"/>
  <c r="EL97" i="73"/>
  <c r="EJ97" i="73"/>
  <c r="EL96" i="73"/>
  <c r="EJ96" i="73"/>
  <c r="EL95" i="73"/>
  <c r="EJ95" i="73"/>
  <c r="EL94" i="73"/>
  <c r="EJ94" i="73"/>
  <c r="EL93" i="73"/>
  <c r="EJ93" i="73"/>
  <c r="EL86" i="73"/>
  <c r="EJ86" i="73"/>
  <c r="EL85" i="73"/>
  <c r="EJ85" i="73"/>
  <c r="EL84" i="73"/>
  <c r="EJ84" i="73"/>
  <c r="EL83" i="73"/>
  <c r="EJ83" i="73"/>
  <c r="EL82" i="73"/>
  <c r="EJ82" i="73"/>
  <c r="EL81" i="73"/>
  <c r="EJ81" i="73"/>
  <c r="EL80" i="73"/>
  <c r="EJ80" i="73"/>
  <c r="EL79" i="73"/>
  <c r="EJ79" i="73"/>
  <c r="EL76" i="73"/>
  <c r="EJ76" i="73"/>
  <c r="EL74" i="73"/>
  <c r="EJ74" i="73"/>
  <c r="EL73" i="73"/>
  <c r="EJ73" i="73"/>
  <c r="EL72" i="73"/>
  <c r="EJ72" i="73"/>
  <c r="EL71" i="73"/>
  <c r="EJ71" i="73"/>
  <c r="EL70" i="73"/>
  <c r="EJ70" i="73"/>
  <c r="EL69" i="73"/>
  <c r="EJ69" i="73"/>
  <c r="EL66" i="73"/>
  <c r="EJ66" i="73"/>
  <c r="EL64" i="73"/>
  <c r="EJ64" i="73"/>
  <c r="EL63" i="73"/>
  <c r="EJ63" i="73"/>
  <c r="EL61" i="73"/>
  <c r="EJ61" i="73"/>
  <c r="EL55" i="73"/>
  <c r="EJ55" i="73"/>
  <c r="EL54" i="73"/>
  <c r="EJ54" i="73"/>
  <c r="EL53" i="73"/>
  <c r="EJ53" i="73"/>
  <c r="EL52" i="73"/>
  <c r="EJ52" i="73"/>
  <c r="EL51" i="73"/>
  <c r="EJ51" i="73"/>
  <c r="EL50" i="73"/>
  <c r="EJ50" i="73"/>
  <c r="EL49" i="73"/>
  <c r="EJ49" i="73"/>
  <c r="EL48" i="73"/>
  <c r="EJ48" i="73"/>
  <c r="EL42" i="73"/>
  <c r="EJ42" i="73"/>
  <c r="EL41" i="73"/>
  <c r="EJ41" i="73"/>
  <c r="EL40" i="73"/>
  <c r="EJ40" i="73"/>
  <c r="EL39" i="73"/>
  <c r="EJ39" i="73"/>
  <c r="EL38" i="73"/>
  <c r="EJ38" i="73"/>
  <c r="EL37" i="73"/>
  <c r="EJ37" i="73"/>
  <c r="EL36" i="73"/>
  <c r="EJ36" i="73"/>
  <c r="EL35" i="73"/>
  <c r="EJ35" i="73"/>
  <c r="EL32" i="73"/>
  <c r="EJ32" i="73"/>
  <c r="EL31" i="73"/>
  <c r="EJ31" i="73"/>
  <c r="EL30" i="73"/>
  <c r="EJ30" i="73"/>
  <c r="EL29" i="73"/>
  <c r="EJ29" i="73"/>
  <c r="EL28" i="73"/>
  <c r="EJ28" i="73"/>
  <c r="EL27" i="73"/>
  <c r="EJ27" i="73"/>
  <c r="EL26" i="73"/>
  <c r="EJ26" i="73"/>
  <c r="EL23" i="73"/>
  <c r="EJ23" i="73"/>
  <c r="EL22" i="73"/>
  <c r="EJ22" i="73"/>
  <c r="EL20" i="73"/>
  <c r="EJ20" i="73"/>
  <c r="EL17" i="73"/>
  <c r="EJ17" i="73"/>
  <c r="EL14" i="73"/>
  <c r="EJ14" i="73"/>
  <c r="EL13" i="73"/>
  <c r="EJ13" i="73"/>
  <c r="EL12" i="73"/>
  <c r="EJ12" i="73"/>
  <c r="EL11" i="73"/>
  <c r="EJ11" i="73"/>
  <c r="EL10" i="73"/>
  <c r="EJ10" i="73"/>
  <c r="EL9" i="73"/>
  <c r="EJ9" i="73"/>
  <c r="EL8" i="73"/>
  <c r="EJ8" i="73"/>
  <c r="EL7" i="73"/>
  <c r="EJ7" i="73"/>
  <c r="EL5" i="73"/>
  <c r="EK5" i="73"/>
  <c r="D15" i="36"/>
  <c r="D10" i="36"/>
  <c r="H10" i="36"/>
  <c r="N206" i="59"/>
  <c r="M206" i="59"/>
  <c r="L206" i="59"/>
  <c r="K206" i="59"/>
  <c r="J206" i="59"/>
  <c r="I206" i="59"/>
  <c r="H206" i="59"/>
  <c r="G206" i="59"/>
  <c r="G207" i="59" s="1"/>
  <c r="F206" i="59"/>
  <c r="E206" i="59"/>
  <c r="D206" i="59"/>
  <c r="D207" i="59" s="1"/>
  <c r="C206" i="59"/>
  <c r="N205" i="59"/>
  <c r="M205" i="59"/>
  <c r="L205" i="59"/>
  <c r="K205" i="59"/>
  <c r="J205" i="59"/>
  <c r="I205" i="59"/>
  <c r="H205" i="59"/>
  <c r="G205" i="59"/>
  <c r="F205" i="59"/>
  <c r="E205" i="59"/>
  <c r="D205" i="59"/>
  <c r="C205" i="59"/>
  <c r="N202" i="59"/>
  <c r="M202" i="59"/>
  <c r="M203" i="59" s="1"/>
  <c r="L202" i="59"/>
  <c r="L203" i="59" s="1"/>
  <c r="K202" i="59"/>
  <c r="J202" i="59"/>
  <c r="J203" i="59" s="1"/>
  <c r="I202" i="59"/>
  <c r="H202" i="59"/>
  <c r="G202" i="59"/>
  <c r="G203" i="59" s="1"/>
  <c r="F202" i="59"/>
  <c r="E202" i="59"/>
  <c r="E203" i="59" s="1"/>
  <c r="D202" i="59"/>
  <c r="D203" i="59" s="1"/>
  <c r="C202" i="59"/>
  <c r="N201" i="59"/>
  <c r="M201" i="59"/>
  <c r="L201" i="59"/>
  <c r="K201" i="59"/>
  <c r="J201" i="59"/>
  <c r="I201" i="59"/>
  <c r="H201" i="59"/>
  <c r="G201" i="59"/>
  <c r="F201" i="59"/>
  <c r="E201" i="59"/>
  <c r="D201" i="59"/>
  <c r="C201" i="59"/>
  <c r="J195"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E190" i="59"/>
  <c r="D190" i="59"/>
  <c r="C190" i="59"/>
  <c r="P189" i="59"/>
  <c r="O189" i="59"/>
  <c r="O194" i="59" s="1"/>
  <c r="P188" i="59"/>
  <c r="O188" i="59"/>
  <c r="P187" i="59"/>
  <c r="O187" i="59"/>
  <c r="O193" i="59" s="1"/>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N195" i="59" s="1"/>
  <c r="M178" i="59"/>
  <c r="L178" i="59"/>
  <c r="K178" i="59"/>
  <c r="J178" i="59"/>
  <c r="J183" i="59"/>
  <c r="I178" i="59"/>
  <c r="H178" i="59"/>
  <c r="G178" i="59"/>
  <c r="F178" i="59"/>
  <c r="F195" i="59" s="1"/>
  <c r="F183" i="59"/>
  <c r="E178" i="59"/>
  <c r="D178" i="59"/>
  <c r="D183" i="59" s="1"/>
  <c r="C178" i="59"/>
  <c r="P177" i="59"/>
  <c r="P182" i="59"/>
  <c r="O177" i="59"/>
  <c r="P176" i="59"/>
  <c r="O176" i="59"/>
  <c r="P175" i="59"/>
  <c r="O175" i="59"/>
  <c r="K171"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L171" i="59" s="1"/>
  <c r="K166" i="59"/>
  <c r="J166" i="59"/>
  <c r="J171" i="59"/>
  <c r="I166" i="59"/>
  <c r="I171" i="59" s="1"/>
  <c r="H166" i="59"/>
  <c r="G166" i="59"/>
  <c r="F166" i="59"/>
  <c r="F171" i="59"/>
  <c r="E166" i="59"/>
  <c r="E171" i="59" s="1"/>
  <c r="D166" i="59"/>
  <c r="C166" i="59"/>
  <c r="C171" i="59" s="1"/>
  <c r="P165" i="59"/>
  <c r="P170" i="59"/>
  <c r="O165" i="59"/>
  <c r="P164" i="59"/>
  <c r="O164" i="59"/>
  <c r="P163" i="59"/>
  <c r="O163" i="59"/>
  <c r="J159" i="59"/>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N159" i="59"/>
  <c r="M154" i="59"/>
  <c r="L154" i="59"/>
  <c r="L159" i="59"/>
  <c r="K154" i="59"/>
  <c r="J154" i="59"/>
  <c r="I154" i="59"/>
  <c r="H154" i="59"/>
  <c r="H171" i="59" s="1"/>
  <c r="G154" i="59"/>
  <c r="G159" i="59" s="1"/>
  <c r="F154" i="59"/>
  <c r="F159" i="59"/>
  <c r="E154" i="59"/>
  <c r="E159" i="59"/>
  <c r="D154" i="59"/>
  <c r="D171" i="59" s="1"/>
  <c r="D159" i="59"/>
  <c r="C154" i="59"/>
  <c r="C159" i="59" s="1"/>
  <c r="P153" i="59"/>
  <c r="P158" i="59" s="1"/>
  <c r="O153" i="59"/>
  <c r="P152" i="59"/>
  <c r="Z54" i="59" s="1"/>
  <c r="O152" i="59"/>
  <c r="P151" i="59"/>
  <c r="P154" i="59"/>
  <c r="P159" i="59" s="1"/>
  <c r="O151" i="59"/>
  <c r="O154" i="59" s="1"/>
  <c r="N146" i="59"/>
  <c r="M146" i="59"/>
  <c r="L146" i="59"/>
  <c r="K146" i="59"/>
  <c r="J146" i="59"/>
  <c r="I146" i="59"/>
  <c r="H146" i="59"/>
  <c r="G146" i="59"/>
  <c r="F146" i="59"/>
  <c r="E146" i="59"/>
  <c r="D146" i="59"/>
  <c r="C146" i="59"/>
  <c r="P145" i="59"/>
  <c r="N145" i="59"/>
  <c r="M145" i="59"/>
  <c r="L145" i="59"/>
  <c r="K145" i="59"/>
  <c r="J145" i="59"/>
  <c r="I145" i="59"/>
  <c r="H145" i="59"/>
  <c r="G145" i="59"/>
  <c r="F145" i="59"/>
  <c r="E145" i="59"/>
  <c r="D145" i="59"/>
  <c r="C145" i="59"/>
  <c r="P142" i="59"/>
  <c r="N142" i="59"/>
  <c r="N147" i="59"/>
  <c r="M142" i="59"/>
  <c r="M147" i="59" s="1"/>
  <c r="L142" i="59"/>
  <c r="K142" i="59"/>
  <c r="K159" i="59" s="1"/>
  <c r="J142" i="59"/>
  <c r="J147" i="59"/>
  <c r="I142" i="59"/>
  <c r="I159" i="59"/>
  <c r="H142" i="59"/>
  <c r="H147" i="59" s="1"/>
  <c r="G142" i="59"/>
  <c r="G147" i="59" s="1"/>
  <c r="F142" i="59"/>
  <c r="E142" i="59"/>
  <c r="E147" i="59"/>
  <c r="D142" i="59"/>
  <c r="C142" i="59"/>
  <c r="P141" i="59"/>
  <c r="Y55" i="59" s="1"/>
  <c r="Z58" i="59" s="1"/>
  <c r="P146" i="59"/>
  <c r="O141" i="59"/>
  <c r="P140" i="59"/>
  <c r="O140" i="59"/>
  <c r="P139" i="59"/>
  <c r="O139" i="59"/>
  <c r="O142" i="59" s="1"/>
  <c r="N134" i="59"/>
  <c r="M134" i="59"/>
  <c r="L134" i="59"/>
  <c r="K134" i="59"/>
  <c r="J134" i="59"/>
  <c r="I134" i="59"/>
  <c r="H134" i="59"/>
  <c r="G134" i="59"/>
  <c r="F134" i="59"/>
  <c r="E134" i="59"/>
  <c r="D134" i="59"/>
  <c r="C134" i="59"/>
  <c r="G133" i="59"/>
  <c r="O130" i="59"/>
  <c r="N130" i="59"/>
  <c r="M130" i="59"/>
  <c r="M135" i="59"/>
  <c r="L130" i="59"/>
  <c r="K130" i="59"/>
  <c r="J130" i="59"/>
  <c r="I130" i="59"/>
  <c r="I135" i="59"/>
  <c r="H130" i="59"/>
  <c r="G130" i="59"/>
  <c r="G135" i="59"/>
  <c r="F130" i="59"/>
  <c r="F147" i="59" s="1"/>
  <c r="E130" i="59"/>
  <c r="D130" i="59"/>
  <c r="C130" i="59"/>
  <c r="P129" i="59"/>
  <c r="P134" i="59" s="1"/>
  <c r="O129" i="59"/>
  <c r="P128" i="59"/>
  <c r="X54" i="59" s="1"/>
  <c r="O128" i="59"/>
  <c r="P127" i="59"/>
  <c r="P130" i="59" s="1"/>
  <c r="O127" i="59"/>
  <c r="P122" i="59"/>
  <c r="N122" i="59"/>
  <c r="M122" i="59"/>
  <c r="L122" i="59"/>
  <c r="K122" i="59"/>
  <c r="J122" i="59"/>
  <c r="I122" i="59"/>
  <c r="H122" i="59"/>
  <c r="G122" i="59"/>
  <c r="F122" i="59"/>
  <c r="E122" i="59"/>
  <c r="D122" i="59"/>
  <c r="C122" i="59"/>
  <c r="K118" i="59"/>
  <c r="K135" i="59" s="1"/>
  <c r="J118" i="59"/>
  <c r="G118" i="59"/>
  <c r="C118" i="59"/>
  <c r="P117" i="59"/>
  <c r="O117" i="59"/>
  <c r="P116" i="59"/>
  <c r="O116" i="59"/>
  <c r="N115" i="59"/>
  <c r="N121" i="59" s="1"/>
  <c r="M115" i="59"/>
  <c r="M118" i="59" s="1"/>
  <c r="L115" i="59"/>
  <c r="L133" i="59"/>
  <c r="K115" i="59"/>
  <c r="K121" i="59" s="1"/>
  <c r="J115" i="59"/>
  <c r="I115" i="59"/>
  <c r="I133" i="59" s="1"/>
  <c r="I118" i="59"/>
  <c r="H115" i="59"/>
  <c r="G115" i="59"/>
  <c r="F115" i="59"/>
  <c r="F133" i="59"/>
  <c r="E115" i="59"/>
  <c r="E133" i="59" s="1"/>
  <c r="D115" i="59"/>
  <c r="D121" i="59"/>
  <c r="C115" i="59"/>
  <c r="C133" i="59" s="1"/>
  <c r="N110" i="59"/>
  <c r="M110" i="59"/>
  <c r="L110" i="59"/>
  <c r="K110" i="59"/>
  <c r="J110" i="59"/>
  <c r="I110" i="59"/>
  <c r="H110" i="59"/>
  <c r="G110" i="59"/>
  <c r="F110" i="59"/>
  <c r="E110" i="59"/>
  <c r="D110" i="59"/>
  <c r="C110" i="59"/>
  <c r="K109" i="59"/>
  <c r="N106" i="59"/>
  <c r="N111" i="59"/>
  <c r="F106" i="59"/>
  <c r="F111" i="59"/>
  <c r="P105" i="59"/>
  <c r="P110" i="59" s="1"/>
  <c r="O105" i="59"/>
  <c r="P104" i="59"/>
  <c r="V54" i="59" s="1"/>
  <c r="O104" i="59"/>
  <c r="N103" i="59"/>
  <c r="M103" i="59"/>
  <c r="M106" i="59" s="1"/>
  <c r="L103" i="59"/>
  <c r="L106" i="59"/>
  <c r="K103" i="59"/>
  <c r="K106" i="59"/>
  <c r="J103" i="59"/>
  <c r="J106" i="59" s="1"/>
  <c r="I103" i="59"/>
  <c r="H103" i="59"/>
  <c r="H106" i="59" s="1"/>
  <c r="G103" i="59"/>
  <c r="G109" i="59" s="1"/>
  <c r="G106" i="59"/>
  <c r="G111" i="59" s="1"/>
  <c r="F103" i="59"/>
  <c r="E103" i="59"/>
  <c r="E106" i="59"/>
  <c r="D103" i="59"/>
  <c r="D106" i="59"/>
  <c r="C103" i="59"/>
  <c r="C106" i="59" s="1"/>
  <c r="C111" i="59" s="1"/>
  <c r="N98" i="59"/>
  <c r="M98" i="59"/>
  <c r="L98" i="59"/>
  <c r="K98" i="59"/>
  <c r="J98" i="59"/>
  <c r="I98" i="59"/>
  <c r="H98" i="59"/>
  <c r="G98" i="59"/>
  <c r="F98" i="59"/>
  <c r="E98" i="59"/>
  <c r="D98" i="59"/>
  <c r="C98" i="59"/>
  <c r="K97" i="59"/>
  <c r="G97" i="59"/>
  <c r="N94" i="59"/>
  <c r="N99" i="59"/>
  <c r="P93" i="59"/>
  <c r="O93" i="59"/>
  <c r="P92" i="59"/>
  <c r="O92" i="59"/>
  <c r="N91" i="59"/>
  <c r="N97" i="59"/>
  <c r="M91" i="59"/>
  <c r="M94" i="59" s="1"/>
  <c r="M99" i="59" s="1"/>
  <c r="M97" i="59"/>
  <c r="L91" i="59"/>
  <c r="K91" i="59"/>
  <c r="K94" i="59" s="1"/>
  <c r="J91" i="59"/>
  <c r="J94" i="59" s="1"/>
  <c r="J99" i="59" s="1"/>
  <c r="I91" i="59"/>
  <c r="I94" i="59" s="1"/>
  <c r="I99" i="59" s="1"/>
  <c r="H91" i="59"/>
  <c r="H97" i="59" s="1"/>
  <c r="H94" i="59"/>
  <c r="H111" i="59" s="1"/>
  <c r="G91" i="59"/>
  <c r="G94" i="59" s="1"/>
  <c r="F91" i="59"/>
  <c r="F97" i="59" s="1"/>
  <c r="F94" i="59"/>
  <c r="F99" i="59"/>
  <c r="E91" i="59"/>
  <c r="E94" i="59" s="1"/>
  <c r="E99" i="59" s="1"/>
  <c r="E97" i="59"/>
  <c r="D91" i="59"/>
  <c r="D109" i="59" s="1"/>
  <c r="C91" i="59"/>
  <c r="C94" i="59"/>
  <c r="N85" i="59"/>
  <c r="M85" i="59"/>
  <c r="L85" i="59"/>
  <c r="K85" i="59"/>
  <c r="J85" i="59"/>
  <c r="I85" i="59"/>
  <c r="I84" i="59"/>
  <c r="C84" i="59"/>
  <c r="P81" i="59"/>
  <c r="N81" i="59"/>
  <c r="M81" i="59"/>
  <c r="L81" i="59"/>
  <c r="K81" i="59"/>
  <c r="K99" i="59" s="1"/>
  <c r="J81" i="59"/>
  <c r="I81" i="59"/>
  <c r="I86" i="59"/>
  <c r="H81" i="59"/>
  <c r="G81" i="59"/>
  <c r="F81" i="59"/>
  <c r="E81" i="59"/>
  <c r="E86" i="59"/>
  <c r="D81" i="59"/>
  <c r="C81" i="59"/>
  <c r="P80" i="59"/>
  <c r="O80" i="59"/>
  <c r="P79" i="59"/>
  <c r="O79" i="59"/>
  <c r="P78" i="59"/>
  <c r="O78" i="59"/>
  <c r="O81" i="59" s="1"/>
  <c r="I72" i="59"/>
  <c r="H72" i="59"/>
  <c r="H67" i="59"/>
  <c r="H85" i="59" s="1"/>
  <c r="G67" i="59"/>
  <c r="G85" i="59"/>
  <c r="F67" i="59"/>
  <c r="E67" i="59"/>
  <c r="E85" i="59" s="1"/>
  <c r="D67" i="59"/>
  <c r="D72" i="59" s="1"/>
  <c r="D85" i="59"/>
  <c r="C67" i="59"/>
  <c r="P66" i="59"/>
  <c r="O66" i="59"/>
  <c r="N65" i="59"/>
  <c r="M65" i="59"/>
  <c r="M84" i="59" s="1"/>
  <c r="M68" i="59"/>
  <c r="L65" i="59"/>
  <c r="L68" i="59" s="1"/>
  <c r="L84" i="59"/>
  <c r="K65" i="59"/>
  <c r="K71" i="59" s="1"/>
  <c r="J65" i="59"/>
  <c r="J68" i="59" s="1"/>
  <c r="I65" i="59"/>
  <c r="I68" i="59"/>
  <c r="H65" i="59"/>
  <c r="H84" i="59"/>
  <c r="G65" i="59"/>
  <c r="F65" i="59"/>
  <c r="E65" i="59"/>
  <c r="E68" i="59" s="1"/>
  <c r="D65" i="59"/>
  <c r="D68" i="59" s="1"/>
  <c r="D86" i="59" s="1"/>
  <c r="D84" i="59"/>
  <c r="C65" i="59"/>
  <c r="C71" i="59"/>
  <c r="K60" i="59"/>
  <c r="C56" i="59"/>
  <c r="Z55" i="59"/>
  <c r="X55" i="59"/>
  <c r="X58" i="59" s="1"/>
  <c r="Y58" i="59"/>
  <c r="W55" i="59"/>
  <c r="V55" i="59"/>
  <c r="T55" i="59"/>
  <c r="N55" i="59"/>
  <c r="N56" i="59" s="1"/>
  <c r="M55" i="59"/>
  <c r="L55" i="59"/>
  <c r="L60" i="59" s="1"/>
  <c r="K55" i="59"/>
  <c r="K72" i="59"/>
  <c r="J55" i="59"/>
  <c r="J72" i="59" s="1"/>
  <c r="I55" i="59"/>
  <c r="H55" i="59"/>
  <c r="H60" i="59"/>
  <c r="G55" i="59"/>
  <c r="G56" i="59" s="1"/>
  <c r="G61" i="59" s="1"/>
  <c r="F55" i="59"/>
  <c r="F60" i="59"/>
  <c r="E55" i="59"/>
  <c r="E72" i="59"/>
  <c r="D55" i="59"/>
  <c r="C55" i="59"/>
  <c r="C60" i="59" s="1"/>
  <c r="Y54" i="59"/>
  <c r="W54" i="59"/>
  <c r="U54" i="59"/>
  <c r="T54" i="59"/>
  <c r="S54" i="59"/>
  <c r="P54" i="59"/>
  <c r="R54" i="59" s="1"/>
  <c r="O54" i="59"/>
  <c r="Y53" i="59"/>
  <c r="Y59" i="59" s="1"/>
  <c r="X53" i="59"/>
  <c r="T53" i="59"/>
  <c r="N53" i="59"/>
  <c r="M53" i="59"/>
  <c r="M56" i="59" s="1"/>
  <c r="M61" i="59" s="1"/>
  <c r="L53" i="59"/>
  <c r="L56" i="59" s="1"/>
  <c r="K53" i="59"/>
  <c r="K56" i="59" s="1"/>
  <c r="K59" i="59"/>
  <c r="J53" i="59"/>
  <c r="O53" i="59" s="1"/>
  <c r="I53" i="59"/>
  <c r="H53" i="59"/>
  <c r="H56" i="59"/>
  <c r="H61" i="59" s="1"/>
  <c r="G53" i="59"/>
  <c r="G59" i="59"/>
  <c r="F53" i="59"/>
  <c r="E53" i="59"/>
  <c r="D53" i="59"/>
  <c r="D56" i="59"/>
  <c r="D61" i="59"/>
  <c r="C53" i="59"/>
  <c r="C59" i="59"/>
  <c r="K46" i="59"/>
  <c r="D46" i="59"/>
  <c r="L43" i="59"/>
  <c r="K43" i="59"/>
  <c r="J43" i="59"/>
  <c r="H43" i="59"/>
  <c r="G43" i="59"/>
  <c r="F43" i="59"/>
  <c r="F48" i="59" s="1"/>
  <c r="D43" i="59"/>
  <c r="C43" i="59"/>
  <c r="N42" i="59"/>
  <c r="N47" i="59" s="1"/>
  <c r="M42" i="59"/>
  <c r="M43" i="59" s="1"/>
  <c r="I42" i="59"/>
  <c r="P41" i="59"/>
  <c r="O41" i="59"/>
  <c r="N40" i="59"/>
  <c r="N46" i="59" s="1"/>
  <c r="M40" i="59"/>
  <c r="E40" i="59"/>
  <c r="N29" i="59"/>
  <c r="L29" i="59"/>
  <c r="L34" i="59"/>
  <c r="K29" i="59"/>
  <c r="K47" i="59"/>
  <c r="J29" i="59"/>
  <c r="J47" i="59"/>
  <c r="I29" i="59"/>
  <c r="H29" i="59"/>
  <c r="G29" i="59"/>
  <c r="F29" i="59"/>
  <c r="F30" i="59" s="1"/>
  <c r="E29" i="59"/>
  <c r="E47" i="59"/>
  <c r="D29" i="59"/>
  <c r="D47" i="59"/>
  <c r="C29" i="59"/>
  <c r="P28" i="59"/>
  <c r="O28" i="59"/>
  <c r="M27" i="59"/>
  <c r="M46" i="59" s="1"/>
  <c r="M30" i="59"/>
  <c r="M35" i="59" s="1"/>
  <c r="L27" i="59"/>
  <c r="J27" i="59"/>
  <c r="J46" i="59"/>
  <c r="I27" i="59"/>
  <c r="H27" i="59"/>
  <c r="H46" i="59"/>
  <c r="G27" i="59"/>
  <c r="F27" i="59"/>
  <c r="F46" i="59"/>
  <c r="E27" i="59"/>
  <c r="D27" i="59"/>
  <c r="D30" i="59" s="1"/>
  <c r="C27" i="59"/>
  <c r="C30" i="59"/>
  <c r="C48" i="59" s="1"/>
  <c r="N16" i="59"/>
  <c r="M16" i="59"/>
  <c r="M34" i="59" s="1"/>
  <c r="L16" i="59"/>
  <c r="K16" i="59"/>
  <c r="J16" i="59"/>
  <c r="I16" i="59"/>
  <c r="I34" i="59"/>
  <c r="H16" i="59"/>
  <c r="G16" i="59"/>
  <c r="F16" i="59"/>
  <c r="F17" i="59" s="1"/>
  <c r="E16" i="59"/>
  <c r="E21" i="59"/>
  <c r="D16" i="59"/>
  <c r="D34" i="59" s="1"/>
  <c r="C16" i="59"/>
  <c r="N15" i="59"/>
  <c r="N20" i="59"/>
  <c r="M15" i="59"/>
  <c r="M17" i="59"/>
  <c r="M22" i="59" s="1"/>
  <c r="L15" i="59"/>
  <c r="K15" i="59"/>
  <c r="J15" i="59"/>
  <c r="J20" i="59"/>
  <c r="I15" i="59"/>
  <c r="I17" i="59"/>
  <c r="H15" i="59"/>
  <c r="H33" i="59" s="1"/>
  <c r="H17" i="59"/>
  <c r="H22" i="59" s="1"/>
  <c r="G15" i="59"/>
  <c r="F15" i="59"/>
  <c r="F33" i="59"/>
  <c r="E15" i="59"/>
  <c r="D15" i="59"/>
  <c r="D17" i="59"/>
  <c r="D35" i="59" s="1"/>
  <c r="C15" i="59"/>
  <c r="N8" i="59"/>
  <c r="M8" i="59"/>
  <c r="M21" i="59" s="1"/>
  <c r="L8" i="59"/>
  <c r="L21" i="59" s="1"/>
  <c r="K8" i="59"/>
  <c r="J8" i="59"/>
  <c r="J21" i="59"/>
  <c r="I8" i="59"/>
  <c r="H8" i="59"/>
  <c r="G8" i="59"/>
  <c r="G21" i="59" s="1"/>
  <c r="F8" i="59"/>
  <c r="F21" i="59"/>
  <c r="E8" i="59"/>
  <c r="D8" i="59"/>
  <c r="C8" i="59"/>
  <c r="N7" i="59"/>
  <c r="N9" i="59"/>
  <c r="M7" i="59"/>
  <c r="M9" i="59"/>
  <c r="L7" i="59"/>
  <c r="K7" i="59"/>
  <c r="J7" i="59"/>
  <c r="J9" i="59"/>
  <c r="I7" i="59"/>
  <c r="I9" i="59" s="1"/>
  <c r="H7" i="59"/>
  <c r="H9" i="59" s="1"/>
  <c r="H20" i="59"/>
  <c r="G7" i="59"/>
  <c r="F7" i="59"/>
  <c r="F9" i="59"/>
  <c r="E7" i="59"/>
  <c r="E9" i="59" s="1"/>
  <c r="D7" i="59"/>
  <c r="D20" i="59"/>
  <c r="C7" i="59"/>
  <c r="M36" i="71"/>
  <c r="L36" i="71"/>
  <c r="K36" i="71"/>
  <c r="J36" i="71"/>
  <c r="M35" i="71"/>
  <c r="L35" i="71"/>
  <c r="K35" i="71"/>
  <c r="J35" i="71"/>
  <c r="M34" i="71"/>
  <c r="L34" i="71"/>
  <c r="K34" i="71"/>
  <c r="J34" i="71"/>
  <c r="M33" i="71"/>
  <c r="L33" i="71"/>
  <c r="K33" i="71"/>
  <c r="J33" i="71"/>
  <c r="M32" i="71"/>
  <c r="L32" i="71"/>
  <c r="K32" i="71"/>
  <c r="J32" i="71"/>
  <c r="M31" i="71"/>
  <c r="L31" i="71"/>
  <c r="K31" i="71"/>
  <c r="J31" i="71"/>
  <c r="M30" i="71"/>
  <c r="L30" i="71"/>
  <c r="K30" i="71"/>
  <c r="J30" i="71"/>
  <c r="M29" i="71"/>
  <c r="L29" i="71"/>
  <c r="K29" i="71"/>
  <c r="J29" i="71"/>
  <c r="M28" i="71"/>
  <c r="L28" i="71"/>
  <c r="K28" i="71"/>
  <c r="J28" i="71"/>
  <c r="M27" i="71"/>
  <c r="L27" i="71"/>
  <c r="K27" i="71"/>
  <c r="J27" i="71"/>
  <c r="BM23" i="62"/>
  <c r="AD53" i="62"/>
  <c r="AC53" i="62"/>
  <c r="AB53" i="62"/>
  <c r="AA53" i="62"/>
  <c r="Z53" i="62"/>
  <c r="Y53" i="62"/>
  <c r="X53" i="62"/>
  <c r="W53" i="62"/>
  <c r="V53" i="62"/>
  <c r="U53" i="62"/>
  <c r="T53" i="62"/>
  <c r="S53" i="62"/>
  <c r="BD18" i="62"/>
  <c r="BC18" i="62"/>
  <c r="BE18" i="62" s="1"/>
  <c r="BD16" i="62"/>
  <c r="BC16" i="62"/>
  <c r="BE16" i="62" s="1"/>
  <c r="BD15" i="62"/>
  <c r="BC15" i="62"/>
  <c r="BE15" i="62" s="1"/>
  <c r="BD14" i="62"/>
  <c r="BC14" i="62"/>
  <c r="BE14" i="62" s="1"/>
  <c r="BD13" i="62"/>
  <c r="BC13" i="62"/>
  <c r="BE13" i="62" s="1"/>
  <c r="BD12" i="62"/>
  <c r="BC12" i="62"/>
  <c r="BE12" i="62" s="1"/>
  <c r="BD11" i="62"/>
  <c r="BC11" i="62"/>
  <c r="BE11" i="62" s="1"/>
  <c r="AS11" i="62"/>
  <c r="AR11" i="62"/>
  <c r="AQ11" i="62"/>
  <c r="AP11" i="62"/>
  <c r="AO11" i="62"/>
  <c r="AN11" i="62"/>
  <c r="AM11" i="62"/>
  <c r="AL11" i="62"/>
  <c r="AK11" i="62"/>
  <c r="AJ11" i="62"/>
  <c r="AI11" i="62"/>
  <c r="BD9" i="62"/>
  <c r="BC9" i="62"/>
  <c r="BE9" i="62" s="1"/>
  <c r="T44" i="62"/>
  <c r="S44" i="62"/>
  <c r="I9" i="62"/>
  <c r="H9" i="62"/>
  <c r="G9" i="62"/>
  <c r="F9" i="62"/>
  <c r="E9" i="62"/>
  <c r="D9" i="62"/>
  <c r="C9" i="62"/>
  <c r="BD8" i="62"/>
  <c r="BC8" i="62"/>
  <c r="BE8" i="62" s="1"/>
  <c r="L8" i="62"/>
  <c r="F59" i="28" s="1"/>
  <c r="K8" i="62"/>
  <c r="E59" i="28" s="1"/>
  <c r="J8" i="62"/>
  <c r="D59" i="28" s="1"/>
  <c r="BD7" i="62"/>
  <c r="BC7" i="62"/>
  <c r="BE7" i="62" s="1"/>
  <c r="L7" i="62"/>
  <c r="F57" i="28" s="1"/>
  <c r="K7" i="62"/>
  <c r="E57" i="28" s="1"/>
  <c r="J7" i="62"/>
  <c r="D57" i="28" s="1"/>
  <c r="BD6" i="62"/>
  <c r="BC6" i="62"/>
  <c r="BE6" i="62" s="1"/>
  <c r="M6" i="62"/>
  <c r="G55" i="28" s="1"/>
  <c r="L6" i="62"/>
  <c r="F55" i="28" s="1"/>
  <c r="K6" i="62"/>
  <c r="E55" i="28" s="1"/>
  <c r="J6" i="62"/>
  <c r="D55" i="28" s="1"/>
  <c r="BD5" i="62"/>
  <c r="BC5" i="62"/>
  <c r="BE5" i="62" s="1"/>
  <c r="AA30" i="62"/>
  <c r="M5" i="62"/>
  <c r="L5" i="62"/>
  <c r="C16" i="75" s="1"/>
  <c r="K5" i="62"/>
  <c r="E53" i="28" s="1"/>
  <c r="J5" i="62"/>
  <c r="J9" i="62" s="1"/>
  <c r="L3" i="62"/>
  <c r="C15" i="75" s="1"/>
  <c r="L6" i="83"/>
  <c r="L7" i="83" s="1"/>
  <c r="F5" i="84"/>
  <c r="G5" i="84" s="1"/>
  <c r="E5" i="84"/>
  <c r="G4" i="84"/>
  <c r="F17" i="85"/>
  <c r="E17" i="85"/>
  <c r="G16" i="85"/>
  <c r="F5" i="85"/>
  <c r="G4" i="85"/>
  <c r="E4" i="85"/>
  <c r="E5" i="85" s="1"/>
  <c r="HK90" i="70"/>
  <c r="HJ90" i="70"/>
  <c r="HI90" i="70"/>
  <c r="HG90" i="70"/>
  <c r="GK90" i="70"/>
  <c r="GG90" i="70"/>
  <c r="GJ90" i="70"/>
  <c r="GF90" i="70"/>
  <c r="GE90" i="70"/>
  <c r="GD90" i="70"/>
  <c r="GC90" i="70"/>
  <c r="GB90" i="70"/>
  <c r="GA90" i="70"/>
  <c r="FY90" i="70"/>
  <c r="FS90" i="70"/>
  <c r="FR90" i="70"/>
  <c r="FU90" i="70"/>
  <c r="FO90" i="70"/>
  <c r="FQ90" i="70"/>
  <c r="FK90" i="70"/>
  <c r="FJ90" i="70"/>
  <c r="FM90" i="70"/>
  <c r="FI90" i="70"/>
  <c r="ED90" i="70"/>
  <c r="DZ90" i="70"/>
  <c r="DV90" i="70"/>
  <c r="DL90" i="70"/>
  <c r="DD90" i="70"/>
  <c r="DB90" i="70"/>
  <c r="CL90" i="70"/>
  <c r="CF90" i="70"/>
  <c r="CD90" i="70"/>
  <c r="HL87" i="70"/>
  <c r="HK87" i="70"/>
  <c r="HJ87" i="70"/>
  <c r="HI87" i="70"/>
  <c r="HH87" i="70"/>
  <c r="HG87" i="70"/>
  <c r="HF87" i="70"/>
  <c r="HM85" i="70"/>
  <c r="HL85" i="70"/>
  <c r="HK85" i="70"/>
  <c r="HJ85" i="70"/>
  <c r="HI85" i="70"/>
  <c r="HH85" i="70"/>
  <c r="HG85" i="70"/>
  <c r="GV83" i="70"/>
  <c r="GU83" i="70"/>
  <c r="GT83" i="70"/>
  <c r="GS83" i="70"/>
  <c r="GR83" i="70"/>
  <c r="GQ83" i="70"/>
  <c r="GP83" i="70"/>
  <c r="GO83" i="70"/>
  <c r="GN83" i="70"/>
  <c r="GM83" i="70"/>
  <c r="GL83" i="70"/>
  <c r="GI83" i="70"/>
  <c r="GV80" i="70"/>
  <c r="GU80" i="70"/>
  <c r="GT80" i="70"/>
  <c r="GS80" i="70"/>
  <c r="GR80" i="70"/>
  <c r="GQ80" i="70"/>
  <c r="GP80" i="70"/>
  <c r="GO80" i="70"/>
  <c r="GN80" i="70"/>
  <c r="GM80" i="70"/>
  <c r="GL80" i="70"/>
  <c r="GI80" i="70"/>
  <c r="GV79" i="70"/>
  <c r="GU79" i="70"/>
  <c r="GT79" i="70"/>
  <c r="GS79" i="70"/>
  <c r="GR79" i="70"/>
  <c r="GQ79" i="70"/>
  <c r="GP79" i="70"/>
  <c r="GO79" i="70"/>
  <c r="GN79" i="70"/>
  <c r="GM79" i="70"/>
  <c r="GL79" i="70"/>
  <c r="GI79" i="70"/>
  <c r="GV77" i="70"/>
  <c r="GU77" i="70"/>
  <c r="GT77" i="70"/>
  <c r="GS77" i="70"/>
  <c r="GR77" i="70"/>
  <c r="GQ77" i="70"/>
  <c r="GP77" i="70"/>
  <c r="GO77" i="70"/>
  <c r="GN77" i="70"/>
  <c r="GM77" i="70"/>
  <c r="GL77" i="70"/>
  <c r="GI77" i="70"/>
  <c r="GV78" i="70"/>
  <c r="GU78" i="70"/>
  <c r="GT78" i="70"/>
  <c r="GS78" i="70"/>
  <c r="GR78" i="70"/>
  <c r="GQ78" i="70"/>
  <c r="GP78" i="70"/>
  <c r="GO78" i="70"/>
  <c r="GN78" i="70"/>
  <c r="GM78" i="70"/>
  <c r="GL78" i="70"/>
  <c r="GI78" i="70"/>
  <c r="GV76" i="70"/>
  <c r="GU76" i="70"/>
  <c r="GT76" i="70"/>
  <c r="GS76" i="70"/>
  <c r="GR76" i="70"/>
  <c r="GQ76" i="70"/>
  <c r="GP76" i="70"/>
  <c r="GO76" i="70"/>
  <c r="GN76" i="70"/>
  <c r="GM76" i="70"/>
  <c r="GL76" i="70"/>
  <c r="GI76" i="70"/>
  <c r="GV82" i="70"/>
  <c r="GU82" i="70"/>
  <c r="GT82" i="70"/>
  <c r="GS82" i="70"/>
  <c r="GR82" i="70"/>
  <c r="GQ82" i="70"/>
  <c r="GP82" i="70"/>
  <c r="GO82" i="70"/>
  <c r="GN82" i="70"/>
  <c r="GM82" i="70"/>
  <c r="GL82" i="70"/>
  <c r="GI82" i="70"/>
  <c r="GV74" i="70"/>
  <c r="GU74" i="70"/>
  <c r="GT74" i="70"/>
  <c r="GS74" i="70"/>
  <c r="GR74" i="70"/>
  <c r="GQ74" i="70"/>
  <c r="GP74" i="70"/>
  <c r="GO74" i="70"/>
  <c r="GN74" i="70"/>
  <c r="GM74" i="70"/>
  <c r="GL74" i="70"/>
  <c r="GI74" i="70"/>
  <c r="HZ68" i="70"/>
  <c r="GV68" i="70"/>
  <c r="GU68" i="70"/>
  <c r="GT68" i="70"/>
  <c r="GS68" i="70"/>
  <c r="GR68" i="70"/>
  <c r="GQ68" i="70"/>
  <c r="GP68" i="70"/>
  <c r="GO68" i="70"/>
  <c r="GN68" i="70"/>
  <c r="GM68" i="70"/>
  <c r="GL68" i="70"/>
  <c r="GI68" i="70"/>
  <c r="GV66" i="70"/>
  <c r="GU66" i="70"/>
  <c r="GT66" i="70"/>
  <c r="GS66" i="70"/>
  <c r="GR66" i="70"/>
  <c r="GQ66" i="70"/>
  <c r="GP66" i="70"/>
  <c r="GO66" i="70"/>
  <c r="GN66" i="70"/>
  <c r="GM66" i="70"/>
  <c r="GL66" i="70"/>
  <c r="GI66" i="70"/>
  <c r="GV70" i="70"/>
  <c r="GU70" i="70"/>
  <c r="GT70" i="70"/>
  <c r="GS70" i="70"/>
  <c r="GR70" i="70"/>
  <c r="GQ70" i="70"/>
  <c r="GP70" i="70"/>
  <c r="GO70" i="70"/>
  <c r="GN70" i="70"/>
  <c r="GM70" i="70"/>
  <c r="GL70" i="70"/>
  <c r="GI70" i="70"/>
  <c r="GV71" i="70"/>
  <c r="GU71" i="70"/>
  <c r="GT71" i="70"/>
  <c r="GS71" i="70"/>
  <c r="GR71" i="70"/>
  <c r="GQ71" i="70"/>
  <c r="GP71" i="70"/>
  <c r="GO71" i="70"/>
  <c r="GN71" i="70"/>
  <c r="GM71" i="70"/>
  <c r="GL71" i="70"/>
  <c r="GI71" i="70"/>
  <c r="GV64" i="70"/>
  <c r="GU64" i="70"/>
  <c r="GT64" i="70"/>
  <c r="GS64" i="70"/>
  <c r="GR64" i="70"/>
  <c r="GQ64" i="70"/>
  <c r="GP64" i="70"/>
  <c r="GO64" i="70"/>
  <c r="GN64" i="70"/>
  <c r="GM64" i="70"/>
  <c r="GL64" i="70"/>
  <c r="GI64" i="70"/>
  <c r="GV60" i="70"/>
  <c r="GU60" i="70"/>
  <c r="GT60" i="70"/>
  <c r="GS60" i="70"/>
  <c r="GR60" i="70"/>
  <c r="GQ60" i="70"/>
  <c r="GP60" i="70"/>
  <c r="GO60" i="70"/>
  <c r="GN60" i="70"/>
  <c r="GM60" i="70"/>
  <c r="GL60" i="70"/>
  <c r="GI60" i="70"/>
  <c r="GV55" i="70"/>
  <c r="GU55" i="70"/>
  <c r="GT55" i="70"/>
  <c r="GS55" i="70"/>
  <c r="GR55" i="70"/>
  <c r="GQ55" i="70"/>
  <c r="GP55" i="70"/>
  <c r="GO55" i="70"/>
  <c r="GN55" i="70"/>
  <c r="GM55" i="70"/>
  <c r="GL55" i="70"/>
  <c r="GI55" i="70"/>
  <c r="GV52" i="70"/>
  <c r="GU52" i="70"/>
  <c r="GT52" i="70"/>
  <c r="GS52" i="70"/>
  <c r="GR52" i="70"/>
  <c r="GQ52" i="70"/>
  <c r="GP52" i="70"/>
  <c r="GO52" i="70"/>
  <c r="GN52" i="70"/>
  <c r="GM52" i="70"/>
  <c r="GL52" i="70"/>
  <c r="GI52" i="70"/>
  <c r="GV54" i="70"/>
  <c r="GU54" i="70"/>
  <c r="GT54" i="70"/>
  <c r="GS54" i="70"/>
  <c r="GR54" i="70"/>
  <c r="GQ54" i="70"/>
  <c r="GP54" i="70"/>
  <c r="GO54" i="70"/>
  <c r="GN54" i="70"/>
  <c r="GM54" i="70"/>
  <c r="GL54" i="70"/>
  <c r="GI54" i="70"/>
  <c r="GV53" i="70"/>
  <c r="GU53" i="70"/>
  <c r="GT53" i="70"/>
  <c r="GS53" i="70"/>
  <c r="GR53" i="70"/>
  <c r="GQ53" i="70"/>
  <c r="GP53" i="70"/>
  <c r="GO53" i="70"/>
  <c r="GN53" i="70"/>
  <c r="GM53" i="70"/>
  <c r="GI53" i="70"/>
  <c r="GL53" i="70"/>
  <c r="DF51" i="70"/>
  <c r="HO46" i="70"/>
  <c r="HN46" i="70"/>
  <c r="GT46" i="70"/>
  <c r="GS46" i="70"/>
  <c r="GR46" i="70"/>
  <c r="GQ46" i="70"/>
  <c r="GP46" i="70"/>
  <c r="GO46" i="70"/>
  <c r="HO45" i="70"/>
  <c r="HN45" i="70"/>
  <c r="GT45" i="70"/>
  <c r="GS45" i="70"/>
  <c r="GR45" i="70"/>
  <c r="GQ45" i="70"/>
  <c r="GP45" i="70"/>
  <c r="GO45" i="70"/>
  <c r="GT44" i="70"/>
  <c r="GS44" i="70"/>
  <c r="GQ44" i="70"/>
  <c r="GP44" i="70"/>
  <c r="GO44" i="70"/>
  <c r="DQ44" i="70"/>
  <c r="HN44" i="70" s="1"/>
  <c r="HO43" i="70"/>
  <c r="HN43" i="70"/>
  <c r="GT43" i="70"/>
  <c r="GS43" i="70"/>
  <c r="GR43" i="70"/>
  <c r="GQ43" i="70"/>
  <c r="GP43" i="70"/>
  <c r="GO43" i="70"/>
  <c r="HO42" i="70"/>
  <c r="HN42" i="70"/>
  <c r="GT42" i="70"/>
  <c r="GS42" i="70"/>
  <c r="GR42" i="70"/>
  <c r="GQ42" i="70"/>
  <c r="GP42" i="70"/>
  <c r="GO42" i="70"/>
  <c r="HO41" i="70"/>
  <c r="HN41" i="70"/>
  <c r="GT41" i="70"/>
  <c r="GS41" i="70"/>
  <c r="GR41" i="70"/>
  <c r="GQ41" i="70"/>
  <c r="GP41" i="70"/>
  <c r="GO41" i="70"/>
  <c r="HO40" i="70"/>
  <c r="HN40" i="70"/>
  <c r="GT40" i="70"/>
  <c r="GS40" i="70"/>
  <c r="GR40" i="70"/>
  <c r="GQ40" i="70"/>
  <c r="GP40" i="70"/>
  <c r="GO40" i="70"/>
  <c r="HO34" i="70"/>
  <c r="HN34" i="70"/>
  <c r="GT34" i="70"/>
  <c r="GS34" i="70"/>
  <c r="GR34" i="70"/>
  <c r="GQ34" i="70"/>
  <c r="GP34" i="70"/>
  <c r="GO34" i="70"/>
  <c r="HO33" i="70"/>
  <c r="HN33" i="70"/>
  <c r="HO32" i="70"/>
  <c r="HN32" i="70"/>
  <c r="GT32" i="70"/>
  <c r="GS32" i="70"/>
  <c r="GR32" i="70"/>
  <c r="GQ32" i="70"/>
  <c r="GP32" i="70"/>
  <c r="GO32" i="70"/>
  <c r="HO31" i="70"/>
  <c r="HN31" i="70"/>
  <c r="GT31" i="70"/>
  <c r="GS31" i="70"/>
  <c r="GR31" i="70"/>
  <c r="GQ31" i="70"/>
  <c r="GP31" i="70"/>
  <c r="GO31" i="70"/>
  <c r="HO30" i="70"/>
  <c r="HN30" i="70"/>
  <c r="GT30" i="70"/>
  <c r="GS30" i="70"/>
  <c r="GR30" i="70"/>
  <c r="GQ30" i="70"/>
  <c r="GP30" i="70"/>
  <c r="GO30" i="70"/>
  <c r="HO29" i="70"/>
  <c r="HN29" i="70"/>
  <c r="GT29" i="70"/>
  <c r="GS29" i="70"/>
  <c r="GR29" i="70"/>
  <c r="GQ29" i="70"/>
  <c r="GP29" i="70"/>
  <c r="GO29" i="70"/>
  <c r="HO28" i="70"/>
  <c r="HN28" i="70"/>
  <c r="GT28" i="70"/>
  <c r="GS28" i="70"/>
  <c r="GR28" i="70"/>
  <c r="GQ28" i="70"/>
  <c r="GP28" i="70"/>
  <c r="GO28" i="70"/>
  <c r="HO27" i="70"/>
  <c r="HN27" i="70"/>
  <c r="GT27" i="70"/>
  <c r="GS27" i="70"/>
  <c r="GR27" i="70"/>
  <c r="GQ27" i="70"/>
  <c r="GP27" i="70"/>
  <c r="GO27" i="70"/>
  <c r="HO26" i="70"/>
  <c r="HN26" i="70"/>
  <c r="GT26" i="70"/>
  <c r="GS26" i="70"/>
  <c r="GR26" i="70"/>
  <c r="GQ26" i="70"/>
  <c r="GP26" i="70"/>
  <c r="GO26" i="70"/>
  <c r="HO15" i="70"/>
  <c r="HO23" i="70" s="1"/>
  <c r="HO20" i="70"/>
  <c r="HN20" i="70"/>
  <c r="HN21" i="70" s="1"/>
  <c r="GT20" i="70"/>
  <c r="GS20" i="70"/>
  <c r="GR20" i="70"/>
  <c r="GQ20" i="70"/>
  <c r="GP20" i="70"/>
  <c r="GO20" i="70"/>
  <c r="HO19" i="70"/>
  <c r="HN19" i="70"/>
  <c r="GT19" i="70"/>
  <c r="GS19" i="70"/>
  <c r="GR19" i="70"/>
  <c r="GQ19" i="70"/>
  <c r="GP19" i="70"/>
  <c r="GO19" i="70"/>
  <c r="HO18" i="70"/>
  <c r="HN18" i="70"/>
  <c r="GT18" i="70"/>
  <c r="GS18" i="70"/>
  <c r="GR18" i="70"/>
  <c r="GQ18" i="70"/>
  <c r="GP18" i="70"/>
  <c r="GO18" i="70"/>
  <c r="HN12" i="70"/>
  <c r="HN13" i="70" s="1"/>
  <c r="GS12" i="70"/>
  <c r="GO12" i="70"/>
  <c r="GO13" i="70" s="1"/>
  <c r="GR12" i="70"/>
  <c r="GR13" i="70" s="1"/>
  <c r="GQ12" i="70"/>
  <c r="GQ13" i="70" s="1"/>
  <c r="GP12" i="70"/>
  <c r="GP13" i="70" s="1"/>
  <c r="DW12" i="70"/>
  <c r="GT12" i="70" s="1"/>
  <c r="HN11" i="70"/>
  <c r="GS11" i="70"/>
  <c r="GR11" i="70"/>
  <c r="GQ11" i="70"/>
  <c r="GP11" i="70"/>
  <c r="GO11" i="70"/>
  <c r="DX11" i="70"/>
  <c r="HO11" i="70" s="1"/>
  <c r="HO10" i="70"/>
  <c r="HN10" i="70"/>
  <c r="GT10" i="70"/>
  <c r="GS10" i="70"/>
  <c r="GR10" i="70"/>
  <c r="GQ10" i="70"/>
  <c r="GP10" i="70"/>
  <c r="GO10" i="70"/>
  <c r="D79" i="21"/>
  <c r="D67" i="21" s="1"/>
  <c r="I78" i="21" s="1"/>
  <c r="D78" i="21"/>
  <c r="D77" i="21"/>
  <c r="D76" i="21"/>
  <c r="E75" i="21"/>
  <c r="D75" i="21"/>
  <c r="E74" i="21"/>
  <c r="D74" i="21"/>
  <c r="E73" i="21"/>
  <c r="D73" i="21"/>
  <c r="E72" i="21"/>
  <c r="D72" i="21"/>
  <c r="E71" i="21"/>
  <c r="D71" i="21"/>
  <c r="E70" i="21"/>
  <c r="D70" i="21"/>
  <c r="E69" i="21"/>
  <c r="D69" i="21"/>
  <c r="E68" i="21"/>
  <c r="D68" i="21"/>
  <c r="I37" i="21"/>
  <c r="G37" i="21"/>
  <c r="F37" i="21"/>
  <c r="I35" i="21"/>
  <c r="G35" i="21"/>
  <c r="F35" i="21"/>
  <c r="E35" i="21"/>
  <c r="D35" i="21"/>
  <c r="C35" i="21"/>
  <c r="I33" i="21"/>
  <c r="G33" i="21"/>
  <c r="F33" i="21"/>
  <c r="E33" i="21"/>
  <c r="D33" i="21"/>
  <c r="C33" i="21"/>
  <c r="A21" i="21"/>
  <c r="A25" i="21" s="1"/>
  <c r="G20" i="21"/>
  <c r="F20" i="21"/>
  <c r="E20" i="21"/>
  <c r="D20" i="21"/>
  <c r="C20" i="21"/>
  <c r="A20" i="21"/>
  <c r="M25" i="21"/>
  <c r="L25" i="21"/>
  <c r="K21" i="21"/>
  <c r="J21" i="21"/>
  <c r="I25" i="21"/>
  <c r="H21" i="21"/>
  <c r="G21" i="21"/>
  <c r="F21" i="21"/>
  <c r="E21" i="21"/>
  <c r="D21" i="21"/>
  <c r="C21" i="21"/>
  <c r="V16" i="21"/>
  <c r="L16" i="21"/>
  <c r="I25" i="9"/>
  <c r="I27" i="9" s="1"/>
  <c r="H16" i="21"/>
  <c r="C36" i="28" s="1"/>
  <c r="AM15" i="21"/>
  <c r="AL15" i="21"/>
  <c r="Z15" i="21"/>
  <c r="O15" i="21"/>
  <c r="P15" i="21" s="1"/>
  <c r="Q15" i="21" s="1"/>
  <c r="R15" i="21" s="1"/>
  <c r="S15" i="21" s="1"/>
  <c r="T15" i="21" s="1"/>
  <c r="L8" i="89"/>
  <c r="N12" i="21"/>
  <c r="W11" i="21"/>
  <c r="N11" i="21"/>
  <c r="AL11" i="21"/>
  <c r="AL10" i="21"/>
  <c r="AN8" i="21"/>
  <c r="AM8" i="21"/>
  <c r="AL8" i="21"/>
  <c r="Z8" i="21"/>
  <c r="N8" i="21"/>
  <c r="AN7" i="21"/>
  <c r="AM7" i="21"/>
  <c r="AL7" i="21"/>
  <c r="Z7" i="21"/>
  <c r="O7" i="21"/>
  <c r="P7" i="21" s="1"/>
  <c r="Q7" i="21" s="1"/>
  <c r="R7" i="21" s="1"/>
  <c r="S7" i="21" s="1"/>
  <c r="T7" i="21" s="1"/>
  <c r="AN6" i="21"/>
  <c r="AM6" i="21"/>
  <c r="AL6" i="21"/>
  <c r="AI6" i="21"/>
  <c r="Z6" i="21"/>
  <c r="N6" i="21"/>
  <c r="AN5" i="21"/>
  <c r="AM5" i="21"/>
  <c r="AL5" i="21"/>
  <c r="Z5" i="21"/>
  <c r="N5" i="21"/>
  <c r="AM4" i="21"/>
  <c r="AL4" i="21"/>
  <c r="Z4" i="21"/>
  <c r="K10" i="72"/>
  <c r="J10" i="72"/>
  <c r="I10" i="72"/>
  <c r="H10" i="72"/>
  <c r="G10" i="72"/>
  <c r="K9" i="72"/>
  <c r="J9" i="72"/>
  <c r="I9" i="72"/>
  <c r="H9" i="72"/>
  <c r="G9" i="72"/>
  <c r="K8" i="72"/>
  <c r="J8" i="72"/>
  <c r="I8" i="72"/>
  <c r="H8" i="72"/>
  <c r="G8" i="72"/>
  <c r="C6" i="72"/>
  <c r="B6" i="72"/>
  <c r="G8" i="74"/>
  <c r="E8" i="74"/>
  <c r="C8" i="74"/>
  <c r="G7" i="74"/>
  <c r="E7" i="74"/>
  <c r="C7" i="74"/>
  <c r="G6" i="74"/>
  <c r="E6" i="74"/>
  <c r="C6" i="74"/>
  <c r="L19" i="75"/>
  <c r="K19" i="75"/>
  <c r="J19" i="75"/>
  <c r="E19" i="75"/>
  <c r="L18" i="75"/>
  <c r="J18" i="75"/>
  <c r="K18" i="75" s="1"/>
  <c r="E18" i="75"/>
  <c r="C18" i="75"/>
  <c r="B18" i="75"/>
  <c r="L16" i="75"/>
  <c r="K16" i="75"/>
  <c r="J16" i="75"/>
  <c r="E16" i="75"/>
  <c r="L15" i="75"/>
  <c r="J15" i="75"/>
  <c r="K15" i="75" s="1"/>
  <c r="E15" i="75"/>
  <c r="B15" i="75"/>
  <c r="L13" i="75"/>
  <c r="K13" i="75"/>
  <c r="J13" i="75"/>
  <c r="E13" i="75"/>
  <c r="B13" i="75"/>
  <c r="L12" i="75"/>
  <c r="K12" i="75"/>
  <c r="J12" i="75"/>
  <c r="E12" i="75"/>
  <c r="C12" i="75"/>
  <c r="B12" i="75"/>
  <c r="L11" i="75"/>
  <c r="K11" i="75"/>
  <c r="J11" i="75"/>
  <c r="J10" i="75"/>
  <c r="E11" i="75"/>
  <c r="C11" i="75"/>
  <c r="B10" i="75"/>
  <c r="G68" i="28"/>
  <c r="F68" i="28"/>
  <c r="E68" i="28"/>
  <c r="D68" i="28"/>
  <c r="G67" i="28"/>
  <c r="F67" i="28"/>
  <c r="E67" i="28"/>
  <c r="D67" i="28"/>
  <c r="G66" i="28"/>
  <c r="F66" i="28"/>
  <c r="E66" i="28"/>
  <c r="D66" i="28"/>
  <c r="G65" i="28"/>
  <c r="F65" i="28"/>
  <c r="E65" i="28"/>
  <c r="D65" i="28"/>
  <c r="C59" i="28"/>
  <c r="C57" i="28"/>
  <c r="C55" i="28"/>
  <c r="C53" i="28"/>
  <c r="F51" i="28"/>
  <c r="E51" i="28"/>
  <c r="F46" i="28"/>
  <c r="E46" i="28"/>
  <c r="D46" i="28"/>
  <c r="C46" i="28"/>
  <c r="F45" i="28"/>
  <c r="E45" i="28"/>
  <c r="D45" i="28"/>
  <c r="C45" i="28"/>
  <c r="F44" i="28"/>
  <c r="E44" i="28"/>
  <c r="D44" i="28"/>
  <c r="C44" i="28"/>
  <c r="G43" i="28"/>
  <c r="F43" i="28"/>
  <c r="E43" i="28"/>
  <c r="D43" i="28"/>
  <c r="C43" i="28"/>
  <c r="E36" i="28"/>
  <c r="D36" i="28"/>
  <c r="F207" i="59"/>
  <c r="J207" i="59"/>
  <c r="C211" i="59"/>
  <c r="J210" i="59"/>
  <c r="N203" i="59"/>
  <c r="L207" i="59"/>
  <c r="P178" i="59"/>
  <c r="E207" i="59"/>
  <c r="I207" i="59"/>
  <c r="M207" i="59"/>
  <c r="AL9" i="21"/>
  <c r="N10" i="21"/>
  <c r="AM10" i="21"/>
  <c r="AM11" i="21"/>
  <c r="Z14" i="21"/>
  <c r="AL14" i="21"/>
  <c r="L21" i="21"/>
  <c r="J25" i="21"/>
  <c r="L9" i="83"/>
  <c r="N9" i="21"/>
  <c r="AM9" i="21"/>
  <c r="AN10" i="21"/>
  <c r="AN11" i="21"/>
  <c r="AL13" i="21"/>
  <c r="N14" i="21"/>
  <c r="I21" i="21"/>
  <c r="M21" i="21"/>
  <c r="K25" i="21"/>
  <c r="J26" i="21"/>
  <c r="J35" i="21"/>
  <c r="AC35" i="21"/>
  <c r="GH90" i="70"/>
  <c r="I22" i="59"/>
  <c r="AN9" i="21"/>
  <c r="J20" i="21"/>
  <c r="J37" i="21"/>
  <c r="AC37" i="21"/>
  <c r="AC39" i="21"/>
  <c r="Z10" i="21"/>
  <c r="Z11" i="21"/>
  <c r="C76" i="21"/>
  <c r="E76" i="21" s="1"/>
  <c r="HH90" i="70"/>
  <c r="HM90" i="70"/>
  <c r="L9" i="59"/>
  <c r="F22" i="59"/>
  <c r="J17" i="59"/>
  <c r="J22" i="59" s="1"/>
  <c r="K30" i="59"/>
  <c r="K35" i="59"/>
  <c r="G47" i="59"/>
  <c r="L71" i="59"/>
  <c r="L61" i="59"/>
  <c r="D59" i="59"/>
  <c r="F71" i="59"/>
  <c r="F84" i="59"/>
  <c r="F68" i="59"/>
  <c r="J84" i="59"/>
  <c r="N84" i="59"/>
  <c r="N71" i="59"/>
  <c r="N68" i="59"/>
  <c r="N73" i="59"/>
  <c r="K17" i="59"/>
  <c r="K22" i="59" s="1"/>
  <c r="I20" i="59"/>
  <c r="M20" i="59"/>
  <c r="D21" i="59"/>
  <c r="D33" i="59"/>
  <c r="I33" i="59"/>
  <c r="N33" i="59"/>
  <c r="I47" i="59"/>
  <c r="N43" i="59"/>
  <c r="N48" i="59" s="1"/>
  <c r="C47" i="59"/>
  <c r="H47" i="59"/>
  <c r="E59" i="59"/>
  <c r="I59" i="59"/>
  <c r="I71" i="59"/>
  <c r="I56" i="59"/>
  <c r="M59" i="59"/>
  <c r="N72" i="59"/>
  <c r="H59" i="59"/>
  <c r="E71" i="59"/>
  <c r="F20" i="59"/>
  <c r="I21" i="59"/>
  <c r="G33" i="59"/>
  <c r="N34" i="59"/>
  <c r="H30" i="59"/>
  <c r="N30" i="59"/>
  <c r="J33" i="59"/>
  <c r="C34" i="59"/>
  <c r="M47" i="59"/>
  <c r="G46" i="59"/>
  <c r="L46" i="59"/>
  <c r="C61" i="59"/>
  <c r="L59" i="59"/>
  <c r="F72" i="59"/>
  <c r="F85" i="59"/>
  <c r="G9" i="59"/>
  <c r="K9" i="59"/>
  <c r="F34" i="59"/>
  <c r="D48" i="59"/>
  <c r="H48" i="59"/>
  <c r="C46" i="59"/>
  <c r="F47" i="59"/>
  <c r="K123" i="59"/>
  <c r="K111" i="59"/>
  <c r="J59" i="59"/>
  <c r="N59" i="59"/>
  <c r="K68" i="59"/>
  <c r="K73" i="59"/>
  <c r="H71" i="59"/>
  <c r="K84" i="59"/>
  <c r="C99" i="59"/>
  <c r="G99" i="59"/>
  <c r="C97" i="59"/>
  <c r="C109" i="59"/>
  <c r="M109" i="59"/>
  <c r="J111" i="59"/>
  <c r="F118" i="59"/>
  <c r="F123" i="59"/>
  <c r="H121" i="59"/>
  <c r="M121" i="59"/>
  <c r="K147" i="59"/>
  <c r="D195" i="59"/>
  <c r="I73" i="59"/>
  <c r="G68" i="59"/>
  <c r="L73" i="59"/>
  <c r="D71" i="59"/>
  <c r="L72" i="59"/>
  <c r="D73" i="59"/>
  <c r="G84" i="59"/>
  <c r="J97" i="59"/>
  <c r="C121" i="59"/>
  <c r="G121" i="59"/>
  <c r="P115" i="59"/>
  <c r="P118" i="59" s="1"/>
  <c r="L118" i="59"/>
  <c r="L123" i="59" s="1"/>
  <c r="M133" i="59"/>
  <c r="I147" i="59"/>
  <c r="M86" i="59"/>
  <c r="E109" i="59"/>
  <c r="D133" i="59"/>
  <c r="P133" i="59"/>
  <c r="E121" i="59"/>
  <c r="D60" i="59"/>
  <c r="O65" i="59"/>
  <c r="O68" i="59" s="1"/>
  <c r="C85" i="59"/>
  <c r="O67" i="59"/>
  <c r="P85" i="59"/>
  <c r="F86" i="59"/>
  <c r="J86" i="59"/>
  <c r="N86" i="59"/>
  <c r="P84" i="59"/>
  <c r="F109" i="59"/>
  <c r="J109" i="59"/>
  <c r="N109" i="59"/>
  <c r="M123" i="59"/>
  <c r="D118" i="59"/>
  <c r="L121" i="59"/>
  <c r="F135" i="59"/>
  <c r="J135" i="59"/>
  <c r="P169" i="59"/>
  <c r="P181" i="59"/>
  <c r="P166" i="59"/>
  <c r="P183" i="59" s="1"/>
  <c r="I210" i="59"/>
  <c r="E210" i="59"/>
  <c r="L210" i="59"/>
  <c r="K210" i="59"/>
  <c r="G210" i="59"/>
  <c r="N210" i="59"/>
  <c r="L41" i="60"/>
  <c r="L6" i="49"/>
  <c r="F76" i="28" s="1"/>
  <c r="K69" i="77"/>
  <c r="K58" i="77"/>
  <c r="K52" i="77"/>
  <c r="K46" i="77"/>
  <c r="K39" i="77"/>
  <c r="K37" i="77"/>
  <c r="K36" i="77"/>
  <c r="K35" i="77"/>
  <c r="K34" i="77"/>
  <c r="K32" i="77"/>
  <c r="K26" i="77"/>
  <c r="K25" i="77"/>
  <c r="K24" i="77"/>
  <c r="K23" i="77"/>
  <c r="K22" i="77"/>
  <c r="K21" i="77"/>
  <c r="K20" i="77"/>
  <c r="K19" i="77"/>
  <c r="K18" i="77"/>
  <c r="K17" i="77"/>
  <c r="K67" i="77"/>
  <c r="K66" i="77"/>
  <c r="K63" i="77"/>
  <c r="K59" i="77"/>
  <c r="K57" i="77"/>
  <c r="K29" i="77"/>
  <c r="K28" i="77"/>
  <c r="K64" i="77"/>
  <c r="K60" i="77"/>
  <c r="K38" i="77"/>
  <c r="K30" i="77"/>
  <c r="K16" i="77"/>
  <c r="K49" i="77"/>
  <c r="K43" i="77"/>
  <c r="K15" i="77"/>
  <c r="K14" i="77"/>
  <c r="K48" i="77"/>
  <c r="K42" i="77"/>
  <c r="K31" i="77"/>
  <c r="K13" i="77"/>
  <c r="K65" i="77"/>
  <c r="K61" i="77"/>
  <c r="K51" i="77"/>
  <c r="K45" i="77"/>
  <c r="K41" i="77"/>
  <c r="K12" i="77"/>
  <c r="K53" i="77"/>
  <c r="K50" i="77"/>
  <c r="K44" i="77"/>
  <c r="Q67" i="77"/>
  <c r="R67" i="77"/>
  <c r="Q63" i="77"/>
  <c r="R63" i="77" s="1"/>
  <c r="Q62" i="77"/>
  <c r="R62" i="77" s="1"/>
  <c r="Q59" i="77"/>
  <c r="R59" i="77" s="1"/>
  <c r="Q55" i="77"/>
  <c r="R55" i="77"/>
  <c r="Q28" i="77"/>
  <c r="R28" i="77" s="1"/>
  <c r="Q27" i="77"/>
  <c r="R27" i="77"/>
  <c r="Q71" i="77"/>
  <c r="R71" i="77" s="1"/>
  <c r="Q70" i="77"/>
  <c r="R70" i="77"/>
  <c r="Q64" i="77"/>
  <c r="R64" i="77" s="1"/>
  <c r="Q60" i="77"/>
  <c r="R60" i="77"/>
  <c r="Q68" i="77"/>
  <c r="R68" i="77" s="1"/>
  <c r="Q61" i="77"/>
  <c r="R61" i="77"/>
  <c r="Q53" i="77"/>
  <c r="R53" i="77" s="1"/>
  <c r="Q50" i="77"/>
  <c r="R50" i="77"/>
  <c r="Q49" i="77"/>
  <c r="R49" i="77" s="1"/>
  <c r="Q48" i="77"/>
  <c r="R48" i="77"/>
  <c r="Q44" i="77"/>
  <c r="R44" i="77" s="1"/>
  <c r="Q43" i="77"/>
  <c r="R43" i="77" s="1"/>
  <c r="Q42" i="77"/>
  <c r="R42" i="77" s="1"/>
  <c r="Q41" i="77"/>
  <c r="R41" i="77"/>
  <c r="Q15" i="77"/>
  <c r="R15" i="77" s="1"/>
  <c r="Q14" i="77"/>
  <c r="R14" i="77"/>
  <c r="Q18" i="77"/>
  <c r="R18" i="77" s="1"/>
  <c r="Q22" i="77"/>
  <c r="R22" i="77"/>
  <c r="Q26" i="77"/>
  <c r="R26" i="77" s="1"/>
  <c r="Q32" i="77"/>
  <c r="V9" i="77" s="1"/>
  <c r="Q36" i="77"/>
  <c r="R36" i="77" s="1"/>
  <c r="Q47" i="77"/>
  <c r="R47" i="77"/>
  <c r="Q66" i="77"/>
  <c r="Q8" i="77"/>
  <c r="Q10" i="77"/>
  <c r="Q11" i="77"/>
  <c r="R11" i="77"/>
  <c r="Q19" i="77"/>
  <c r="R19" i="77" s="1"/>
  <c r="Q23" i="77"/>
  <c r="R23" i="77" s="1"/>
  <c r="Q33" i="77"/>
  <c r="R33" i="77" s="1"/>
  <c r="Q54" i="77"/>
  <c r="R54" i="77"/>
  <c r="N36" i="64"/>
  <c r="N35" i="64"/>
  <c r="N33" i="64"/>
  <c r="N29" i="64"/>
  <c r="N25" i="64"/>
  <c r="N21" i="64"/>
  <c r="N17" i="64"/>
  <c r="N13" i="64"/>
  <c r="N32" i="64"/>
  <c r="N28" i="64"/>
  <c r="N24" i="64"/>
  <c r="N20" i="64"/>
  <c r="N16" i="64"/>
  <c r="N12" i="64"/>
  <c r="V15" i="77"/>
  <c r="W15" i="77"/>
  <c r="N31" i="64"/>
  <c r="N27" i="64"/>
  <c r="N23" i="64"/>
  <c r="N19" i="64"/>
  <c r="N15" i="64"/>
  <c r="F11" i="68"/>
  <c r="F15" i="68"/>
  <c r="F19" i="68"/>
  <c r="F23" i="68"/>
  <c r="F27" i="68"/>
  <c r="F31" i="68"/>
  <c r="F35" i="68"/>
  <c r="F39" i="68"/>
  <c r="F43" i="68"/>
  <c r="F47" i="68"/>
  <c r="F51" i="68"/>
  <c r="K9" i="77"/>
  <c r="Q12" i="77"/>
  <c r="R12" i="77"/>
  <c r="AB13" i="77"/>
  <c r="AB14" i="77"/>
  <c r="Q20" i="77"/>
  <c r="R20" i="77"/>
  <c r="Q24" i="77"/>
  <c r="R24" i="77"/>
  <c r="Q34" i="77"/>
  <c r="R34" i="77"/>
  <c r="Q39" i="77"/>
  <c r="R39" i="77" s="1"/>
  <c r="Q57" i="77"/>
  <c r="Q69" i="77"/>
  <c r="R69" i="77"/>
  <c r="L31" i="14"/>
  <c r="F8" i="68"/>
  <c r="F12" i="68"/>
  <c r="F16" i="68"/>
  <c r="F20" i="68"/>
  <c r="F24" i="68"/>
  <c r="F28" i="68"/>
  <c r="F32" i="68"/>
  <c r="F36" i="68"/>
  <c r="F40" i="68"/>
  <c r="F44" i="68"/>
  <c r="F48" i="68"/>
  <c r="AB53" i="77"/>
  <c r="AB52" i="77"/>
  <c r="AB50" i="77"/>
  <c r="AB49" i="77"/>
  <c r="AB48" i="77"/>
  <c r="AB46" i="77"/>
  <c r="AB44" i="77"/>
  <c r="AB43" i="77"/>
  <c r="AB42" i="77"/>
  <c r="AB41" i="77"/>
  <c r="AB39" i="77"/>
  <c r="AB32" i="77"/>
  <c r="AB30" i="77"/>
  <c r="AB57" i="77"/>
  <c r="AB54" i="77"/>
  <c r="AB51" i="77"/>
  <c r="AB47" i="77"/>
  <c r="AB45" i="77"/>
  <c r="AB40" i="77"/>
  <c r="AB38" i="77"/>
  <c r="AB36" i="77"/>
  <c r="AB35" i="77"/>
  <c r="AB34" i="77"/>
  <c r="AB33" i="77"/>
  <c r="AB31" i="77"/>
  <c r="AB26" i="77"/>
  <c r="AB25" i="77"/>
  <c r="AB24" i="77"/>
  <c r="AB23" i="77"/>
  <c r="AB22" i="77"/>
  <c r="AB21" i="77"/>
  <c r="AB20" i="77"/>
  <c r="AB19" i="77"/>
  <c r="AB18" i="77"/>
  <c r="AB17" i="77"/>
  <c r="AB16" i="77"/>
  <c r="AB56" i="77"/>
  <c r="AB55" i="77"/>
  <c r="AB28" i="77"/>
  <c r="AB27" i="77"/>
  <c r="Q13" i="77"/>
  <c r="R13" i="77" s="1"/>
  <c r="Q17" i="77"/>
  <c r="R17" i="77"/>
  <c r="Q21" i="77"/>
  <c r="R21" i="77"/>
  <c r="Q25" i="77"/>
  <c r="R25" i="77"/>
  <c r="Q35" i="77"/>
  <c r="R35" i="77" s="1"/>
  <c r="Q40" i="77"/>
  <c r="R40" i="77"/>
  <c r="Q46" i="77"/>
  <c r="V11" i="77" s="1"/>
  <c r="Q52" i="77"/>
  <c r="V12" i="77" s="1"/>
  <c r="W12" i="77" s="1"/>
  <c r="K56" i="77"/>
  <c r="Q58" i="77"/>
  <c r="R58" i="77"/>
  <c r="N18" i="64"/>
  <c r="N26" i="64"/>
  <c r="N34" i="64"/>
  <c r="L16" i="23"/>
  <c r="K16" i="23"/>
  <c r="E82" i="77"/>
  <c r="E84" i="77"/>
  <c r="E86" i="77"/>
  <c r="E88" i="77"/>
  <c r="E90" i="77"/>
  <c r="E92" i="77"/>
  <c r="E94" i="77"/>
  <c r="E96" i="77"/>
  <c r="E98" i="77"/>
  <c r="K100" i="77"/>
  <c r="L4" i="15"/>
  <c r="L10" i="22"/>
  <c r="M11" i="22"/>
  <c r="K94" i="77"/>
  <c r="K96" i="77"/>
  <c r="K98" i="77"/>
  <c r="L4" i="22"/>
  <c r="L6" i="22"/>
  <c r="E83" i="77"/>
  <c r="E85" i="77"/>
  <c r="E87" i="77"/>
  <c r="E89" i="77"/>
  <c r="E91" i="77"/>
  <c r="E93" i="77"/>
  <c r="E95" i="77"/>
  <c r="E97" i="77"/>
  <c r="W9" i="77"/>
  <c r="X9" i="77"/>
  <c r="W53" i="59"/>
  <c r="X59" i="59" s="1"/>
  <c r="R57" i="77"/>
  <c r="V13" i="77"/>
  <c r="W13" i="77"/>
  <c r="X13" i="77" s="1"/>
  <c r="R10" i="77"/>
  <c r="V8" i="77"/>
  <c r="W8" i="77" s="1"/>
  <c r="X8" i="77" s="1"/>
  <c r="R66" i="77"/>
  <c r="V14" i="77"/>
  <c r="W14" i="77" s="1"/>
  <c r="X14" i="77" s="1"/>
  <c r="D123" i="59"/>
  <c r="L86" i="59"/>
  <c r="V10" i="77"/>
  <c r="W10" i="77" s="1"/>
  <c r="X10" i="77" s="1"/>
  <c r="X15" i="77"/>
  <c r="H12" i="64"/>
  <c r="T12" i="64" s="1"/>
  <c r="R52" i="77"/>
  <c r="X12" i="77"/>
  <c r="R46" i="77"/>
  <c r="W11" i="77"/>
  <c r="X11" i="77" s="1"/>
  <c r="K71" i="77"/>
  <c r="F35" i="59"/>
  <c r="C19" i="75" l="1"/>
  <c r="O9" i="62"/>
  <c r="V6" i="49"/>
  <c r="E76" i="28"/>
  <c r="X8" i="49"/>
  <c r="F78" i="28"/>
  <c r="V5" i="49"/>
  <c r="E74" i="28"/>
  <c r="V9" i="49"/>
  <c r="E80" i="28"/>
  <c r="X4" i="49"/>
  <c r="F72" i="28"/>
  <c r="V8" i="49"/>
  <c r="V4" i="49"/>
  <c r="E72" i="28"/>
  <c r="X5" i="49"/>
  <c r="F74" i="28"/>
  <c r="X9" i="49"/>
  <c r="F80" i="28"/>
  <c r="HO84" i="70"/>
  <c r="HU70" i="70" s="1"/>
  <c r="HN84" i="70"/>
  <c r="HN85" i="70" s="1"/>
  <c r="HP84" i="70"/>
  <c r="HV54" i="70" s="1"/>
  <c r="S35" i="71"/>
  <c r="U35" i="71" s="1"/>
  <c r="S27" i="71"/>
  <c r="U27" i="71" s="1"/>
  <c r="S30" i="71"/>
  <c r="U30" i="71" s="1"/>
  <c r="S34" i="71"/>
  <c r="U34" i="71" s="1"/>
  <c r="S36" i="71"/>
  <c r="S29" i="71"/>
  <c r="U29" i="71" s="1"/>
  <c r="S31" i="71"/>
  <c r="U31" i="71" s="1"/>
  <c r="S28" i="71"/>
  <c r="U28" i="71" s="1"/>
  <c r="S33" i="71"/>
  <c r="U33" i="71" s="1"/>
  <c r="K9" i="62"/>
  <c r="C13" i="75"/>
  <c r="W5" i="49"/>
  <c r="W8" i="49"/>
  <c r="S6" i="49"/>
  <c r="S8" i="49"/>
  <c r="W4" i="49"/>
  <c r="W6" i="49"/>
  <c r="K41" i="60"/>
  <c r="F5" i="48"/>
  <c r="K10" i="49"/>
  <c r="W9" i="49"/>
  <c r="C21" i="48"/>
  <c r="F6" i="48"/>
  <c r="F10" i="48"/>
  <c r="W56" i="59"/>
  <c r="L135" i="59"/>
  <c r="Y56" i="59"/>
  <c r="Y57" i="59" s="1"/>
  <c r="K21" i="59"/>
  <c r="K34" i="59"/>
  <c r="P27" i="59"/>
  <c r="E33" i="59"/>
  <c r="E30" i="59"/>
  <c r="O27" i="59"/>
  <c r="M33" i="59"/>
  <c r="O55" i="59"/>
  <c r="O56" i="59" s="1"/>
  <c r="N61" i="59"/>
  <c r="M159" i="59"/>
  <c r="M171" i="59"/>
  <c r="N183" i="59"/>
  <c r="N171" i="59"/>
  <c r="I183" i="59"/>
  <c r="I195" i="59"/>
  <c r="M71" i="59"/>
  <c r="L33" i="59"/>
  <c r="L17" i="59"/>
  <c r="L22" i="59" s="1"/>
  <c r="L20" i="59"/>
  <c r="P16" i="59"/>
  <c r="J34" i="59"/>
  <c r="J30" i="59"/>
  <c r="E43" i="59"/>
  <c r="E48" i="59" s="1"/>
  <c r="P40" i="59"/>
  <c r="E46" i="59"/>
  <c r="O40" i="59"/>
  <c r="F56" i="59"/>
  <c r="P53" i="59"/>
  <c r="F59" i="59"/>
  <c r="K61" i="59"/>
  <c r="T56" i="59"/>
  <c r="G71" i="59"/>
  <c r="P65" i="59"/>
  <c r="D97" i="59"/>
  <c r="H99" i="59"/>
  <c r="H159" i="59"/>
  <c r="C183" i="59"/>
  <c r="H210" i="59"/>
  <c r="F210" i="59"/>
  <c r="D210" i="59"/>
  <c r="M210" i="59"/>
  <c r="C210" i="59"/>
  <c r="W58" i="59"/>
  <c r="I106" i="59"/>
  <c r="I121" i="59"/>
  <c r="O7" i="59"/>
  <c r="P7" i="59"/>
  <c r="P15" i="59"/>
  <c r="C20" i="59"/>
  <c r="C17" i="59"/>
  <c r="O15" i="59"/>
  <c r="C33" i="59"/>
  <c r="E34" i="59"/>
  <c r="P29" i="59"/>
  <c r="P34" i="59" s="1"/>
  <c r="C135" i="59"/>
  <c r="C147" i="59"/>
  <c r="R32" i="77"/>
  <c r="P147" i="59"/>
  <c r="H35" i="59"/>
  <c r="C212" i="59"/>
  <c r="S32" i="71"/>
  <c r="U32" i="71" s="1"/>
  <c r="H21" i="59"/>
  <c r="H34" i="59"/>
  <c r="N21" i="59"/>
  <c r="N17" i="59"/>
  <c r="E56" i="59"/>
  <c r="E60" i="59"/>
  <c r="P55" i="59"/>
  <c r="D135" i="59"/>
  <c r="P157" i="59"/>
  <c r="Z53" i="59"/>
  <c r="I109" i="59"/>
  <c r="G73" i="59"/>
  <c r="G86" i="59"/>
  <c r="O103" i="59"/>
  <c r="O106" i="59" s="1"/>
  <c r="HU72" i="70"/>
  <c r="HU57" i="70"/>
  <c r="DH90" i="70"/>
  <c r="DP90" i="70"/>
  <c r="P8" i="59"/>
  <c r="O8" i="59"/>
  <c r="G30" i="59"/>
  <c r="G34" i="59"/>
  <c r="O91" i="59"/>
  <c r="O94" i="59" s="1"/>
  <c r="P91" i="59"/>
  <c r="D94" i="59"/>
  <c r="M73" i="59"/>
  <c r="J60" i="59"/>
  <c r="HV65" i="70"/>
  <c r="HV82" i="70"/>
  <c r="HV64" i="70"/>
  <c r="E17" i="59"/>
  <c r="E22" i="59" s="1"/>
  <c r="E20" i="59"/>
  <c r="I46" i="59"/>
  <c r="I30" i="59"/>
  <c r="I35" i="59" s="1"/>
  <c r="O29" i="59"/>
  <c r="I43" i="59"/>
  <c r="I48" i="59" s="1"/>
  <c r="O42" i="59"/>
  <c r="P42" i="59"/>
  <c r="X56" i="59"/>
  <c r="X57" i="59" s="1"/>
  <c r="H133" i="59"/>
  <c r="H118" i="59"/>
  <c r="J123" i="59"/>
  <c r="K86" i="59"/>
  <c r="I61" i="59"/>
  <c r="P121" i="59"/>
  <c r="X6" i="49"/>
  <c r="L10" i="49"/>
  <c r="P171" i="59"/>
  <c r="C9" i="59"/>
  <c r="O9" i="59" s="1"/>
  <c r="M48" i="59"/>
  <c r="K48" i="59"/>
  <c r="J56" i="59"/>
  <c r="J71" i="59"/>
  <c r="G60" i="59"/>
  <c r="G72" i="59"/>
  <c r="M72" i="59"/>
  <c r="M60" i="59"/>
  <c r="P67" i="59"/>
  <c r="C72" i="59"/>
  <c r="C68" i="59"/>
  <c r="L94" i="59"/>
  <c r="L99" i="59" s="1"/>
  <c r="L97" i="59"/>
  <c r="U55" i="59"/>
  <c r="U58" i="59" s="1"/>
  <c r="P98" i="59"/>
  <c r="L109" i="59"/>
  <c r="I123" i="59"/>
  <c r="N133" i="59"/>
  <c r="N118" i="59"/>
  <c r="G123" i="59"/>
  <c r="H68" i="59"/>
  <c r="H73" i="59" s="1"/>
  <c r="O181" i="59"/>
  <c r="C123" i="59"/>
  <c r="I97" i="59"/>
  <c r="P103" i="59"/>
  <c r="E118" i="59"/>
  <c r="J121" i="59"/>
  <c r="J133" i="59"/>
  <c r="G171" i="59"/>
  <c r="E183" i="59"/>
  <c r="K183" i="59"/>
  <c r="K195" i="59"/>
  <c r="K133" i="59"/>
  <c r="D147" i="59"/>
  <c r="L195" i="59"/>
  <c r="L183" i="59"/>
  <c r="O16" i="59"/>
  <c r="C21" i="59"/>
  <c r="L47" i="59"/>
  <c r="L30" i="59"/>
  <c r="O166" i="59"/>
  <c r="M195" i="59"/>
  <c r="M183" i="59"/>
  <c r="G5" i="85"/>
  <c r="D9" i="59"/>
  <c r="D22" i="59" s="1"/>
  <c r="K33" i="59"/>
  <c r="K20" i="59"/>
  <c r="E84" i="59"/>
  <c r="M111" i="59"/>
  <c r="F121" i="59"/>
  <c r="O182" i="59"/>
  <c r="G183" i="59"/>
  <c r="O115" i="59"/>
  <c r="O118" i="59" s="1"/>
  <c r="N60" i="59"/>
  <c r="G17" i="59"/>
  <c r="G22" i="59" s="1"/>
  <c r="G20" i="59"/>
  <c r="I60" i="59"/>
  <c r="E111" i="59"/>
  <c r="H109" i="59"/>
  <c r="L147" i="59"/>
  <c r="H183" i="59"/>
  <c r="H203" i="59"/>
  <c r="H207" i="59"/>
  <c r="H195" i="59"/>
  <c r="HV61" i="70"/>
  <c r="I203" i="59"/>
  <c r="F17" i="68"/>
  <c r="F33" i="68"/>
  <c r="F49" i="68"/>
  <c r="AB15" i="77"/>
  <c r="K88" i="77"/>
  <c r="K99" i="77"/>
  <c r="L5" i="10"/>
  <c r="L6" i="11"/>
  <c r="M22" i="14"/>
  <c r="M26" i="14"/>
  <c r="M31" i="14"/>
  <c r="K5" i="19"/>
  <c r="AB12" i="77"/>
  <c r="AB29" i="77"/>
  <c r="HU71" i="70"/>
  <c r="C203" i="59"/>
  <c r="K203" i="59"/>
  <c r="C207" i="59"/>
  <c r="K207" i="59"/>
  <c r="F21" i="68"/>
  <c r="F37" i="68"/>
  <c r="F53" i="68"/>
  <c r="AB8" i="77"/>
  <c r="K82" i="77"/>
  <c r="K90" i="77"/>
  <c r="L7" i="10"/>
  <c r="M23" i="14"/>
  <c r="M27" i="14"/>
  <c r="L7" i="22"/>
  <c r="F22" i="68"/>
  <c r="F38" i="68"/>
  <c r="F52" i="68"/>
  <c r="AB10" i="77"/>
  <c r="K83" i="77"/>
  <c r="K91" i="77"/>
  <c r="HV66" i="70"/>
  <c r="HV67" i="70"/>
  <c r="M24" i="14"/>
  <c r="M28" i="14"/>
  <c r="O178" i="59"/>
  <c r="F203" i="59"/>
  <c r="N207" i="59"/>
  <c r="F10" i="68"/>
  <c r="F26" i="68"/>
  <c r="K85" i="77"/>
  <c r="L3" i="11"/>
  <c r="HZ83" i="70"/>
  <c r="HU56" i="70"/>
  <c r="E195" i="59"/>
  <c r="M21" i="14"/>
  <c r="M25" i="14"/>
  <c r="G195" i="59"/>
  <c r="AD9" i="21"/>
  <c r="AP9" i="21"/>
  <c r="AO9" i="21"/>
  <c r="AD6" i="21"/>
  <c r="AP6" i="21"/>
  <c r="AO6" i="21"/>
  <c r="AD12" i="21"/>
  <c r="AO12" i="21"/>
  <c r="AP12" i="21"/>
  <c r="AD10" i="21"/>
  <c r="AP10" i="21"/>
  <c r="AO10" i="21"/>
  <c r="AD11" i="21"/>
  <c r="AO11" i="21"/>
  <c r="AP11" i="21"/>
  <c r="J38" i="21"/>
  <c r="AD14" i="21"/>
  <c r="AP14" i="21"/>
  <c r="AO14" i="21"/>
  <c r="AD4" i="21"/>
  <c r="AE4" i="21" s="1"/>
  <c r="AQ12" i="21"/>
  <c r="AP4" i="21"/>
  <c r="AQ5" i="21"/>
  <c r="AQ11" i="21"/>
  <c r="AQ7" i="21"/>
  <c r="AO4" i="21"/>
  <c r="AQ9" i="21"/>
  <c r="AQ10" i="21"/>
  <c r="AQ6" i="21"/>
  <c r="AD5" i="21"/>
  <c r="AP5" i="21"/>
  <c r="AO5" i="21"/>
  <c r="AD8" i="21"/>
  <c r="AO8" i="21"/>
  <c r="AP8" i="21"/>
  <c r="HP85" i="70"/>
  <c r="HT59" i="70"/>
  <c r="IA59" i="70" s="1"/>
  <c r="IB79" i="70"/>
  <c r="IB82" i="70"/>
  <c r="IB68" i="70"/>
  <c r="IB65" i="70"/>
  <c r="IB56" i="70"/>
  <c r="IB60" i="70"/>
  <c r="IB63" i="70"/>
  <c r="IB76" i="70"/>
  <c r="IB71" i="70"/>
  <c r="IB58" i="70"/>
  <c r="HZ72" i="70"/>
  <c r="IB81" i="70"/>
  <c r="IB73" i="70"/>
  <c r="IB64" i="70"/>
  <c r="IB62" i="70"/>
  <c r="IB54" i="70"/>
  <c r="HZ66" i="70"/>
  <c r="GT11" i="70"/>
  <c r="HO21" i="70"/>
  <c r="HZ77" i="70"/>
  <c r="HU68" i="70"/>
  <c r="HT76" i="70"/>
  <c r="HU55" i="70"/>
  <c r="HT56" i="70"/>
  <c r="IA56" i="70" s="1"/>
  <c r="HT58" i="70"/>
  <c r="HZ67" i="70"/>
  <c r="HT66" i="70"/>
  <c r="HZ61" i="70"/>
  <c r="IB53" i="70"/>
  <c r="IC53" i="70"/>
  <c r="IB77" i="70"/>
  <c r="IB72" i="70"/>
  <c r="IB66" i="70"/>
  <c r="IB69" i="70"/>
  <c r="IB67" i="70"/>
  <c r="IB61" i="70"/>
  <c r="IB55" i="70"/>
  <c r="GT13" i="70"/>
  <c r="IB80" i="70"/>
  <c r="IB78" i="70"/>
  <c r="IB74" i="70"/>
  <c r="IB70" i="70"/>
  <c r="IB75" i="70"/>
  <c r="IB59" i="70"/>
  <c r="IB57" i="70"/>
  <c r="IB52" i="70"/>
  <c r="HZ59" i="70"/>
  <c r="HZ75" i="70"/>
  <c r="HT81" i="70"/>
  <c r="IA81" i="70" s="1"/>
  <c r="HT72" i="70"/>
  <c r="HT70" i="70"/>
  <c r="HT62" i="70"/>
  <c r="IA62" i="70" s="1"/>
  <c r="HT52" i="70"/>
  <c r="HU54" i="70"/>
  <c r="HT60" i="70"/>
  <c r="IA60" i="70" s="1"/>
  <c r="HT55" i="70"/>
  <c r="IA55" i="70" s="1"/>
  <c r="EF84" i="70"/>
  <c r="GW83" i="70"/>
  <c r="HT80" i="70"/>
  <c r="IA80" i="70" s="1"/>
  <c r="HT82" i="70"/>
  <c r="IA82" i="70" s="1"/>
  <c r="HT68" i="70"/>
  <c r="HT75" i="70"/>
  <c r="HV75" i="70"/>
  <c r="GR44" i="70"/>
  <c r="GS13" i="70"/>
  <c r="GN90" i="70"/>
  <c r="HV59" i="70"/>
  <c r="GL90" i="70"/>
  <c r="GO90" i="70"/>
  <c r="HZ55" i="70"/>
  <c r="HZ57" i="70"/>
  <c r="HZ70" i="70"/>
  <c r="HZ74" i="70"/>
  <c r="HV83" i="70"/>
  <c r="HT77" i="70"/>
  <c r="IA77" i="70" s="1"/>
  <c r="HT74" i="70"/>
  <c r="IA74" i="70" s="1"/>
  <c r="HT65" i="70"/>
  <c r="IA65" i="70" s="1"/>
  <c r="HT63" i="70"/>
  <c r="HU66" i="70"/>
  <c r="HT71" i="70"/>
  <c r="HT61" i="70"/>
  <c r="IA61" i="70" s="1"/>
  <c r="HT54" i="70"/>
  <c r="EI84" i="70"/>
  <c r="EI85" i="70" s="1"/>
  <c r="GX83" i="70"/>
  <c r="GI90" i="70"/>
  <c r="HZ52" i="70"/>
  <c r="HZ80" i="70"/>
  <c r="HZ78" i="70"/>
  <c r="HU69" i="70"/>
  <c r="HT78" i="70"/>
  <c r="IA78" i="70" s="1"/>
  <c r="HT73" i="70"/>
  <c r="HT69" i="70"/>
  <c r="HT79" i="70"/>
  <c r="IA79" i="70" s="1"/>
  <c r="HT67" i="70"/>
  <c r="IA67" i="70" s="1"/>
  <c r="HT64" i="70"/>
  <c r="HT57" i="70"/>
  <c r="HT53" i="70"/>
  <c r="IA53" i="70" s="1"/>
  <c r="FA85" i="70"/>
  <c r="GZ84" i="70"/>
  <c r="DX90" i="70"/>
  <c r="EB90" i="70"/>
  <c r="EQ85" i="70"/>
  <c r="EM85" i="70"/>
  <c r="DA90" i="70"/>
  <c r="DT90" i="70"/>
  <c r="CR90" i="70"/>
  <c r="CV90" i="70"/>
  <c r="CZ90" i="70"/>
  <c r="EK85" i="70"/>
  <c r="EH85" i="70"/>
  <c r="CK90" i="70"/>
  <c r="DR90" i="70"/>
  <c r="EN85" i="70"/>
  <c r="CT90" i="70"/>
  <c r="DJ90" i="70"/>
  <c r="CJ90" i="70"/>
  <c r="CN90" i="70"/>
  <c r="CS90" i="70"/>
  <c r="HS90" i="70"/>
  <c r="D211" i="59"/>
  <c r="D212" i="59" s="1"/>
  <c r="K211" i="59"/>
  <c r="K212" i="59" s="1"/>
  <c r="P194" i="59"/>
  <c r="AH11" i="21"/>
  <c r="AH4" i="21"/>
  <c r="O4" i="21"/>
  <c r="O8" i="21"/>
  <c r="P8" i="21" s="1"/>
  <c r="Q8" i="21" s="1"/>
  <c r="R8" i="21" s="1"/>
  <c r="S8" i="21" s="1"/>
  <c r="T8" i="21" s="1"/>
  <c r="O9" i="21"/>
  <c r="P9" i="21" s="1"/>
  <c r="Q9" i="21" s="1"/>
  <c r="R9" i="21" s="1"/>
  <c r="S9" i="21" s="1"/>
  <c r="T9" i="21" s="1"/>
  <c r="O11" i="21"/>
  <c r="P11" i="21" s="1"/>
  <c r="Q11" i="21" s="1"/>
  <c r="R11" i="21" s="1"/>
  <c r="S11" i="21" s="1"/>
  <c r="T11" i="21" s="1"/>
  <c r="O6" i="21"/>
  <c r="P6" i="21" s="1"/>
  <c r="Q6" i="21" s="1"/>
  <c r="R6" i="21" s="1"/>
  <c r="S6" i="21" s="1"/>
  <c r="T6" i="21" s="1"/>
  <c r="O12" i="21"/>
  <c r="P12" i="21" s="1"/>
  <c r="Q12" i="21" s="1"/>
  <c r="R12" i="21" s="1"/>
  <c r="S12" i="21" s="1"/>
  <c r="T12" i="21" s="1"/>
  <c r="O14" i="21"/>
  <c r="P14" i="21" s="1"/>
  <c r="Q14" i="21" s="1"/>
  <c r="R14" i="21" s="1"/>
  <c r="S14" i="21" s="1"/>
  <c r="T14" i="21" s="1"/>
  <c r="O10" i="21"/>
  <c r="P10" i="21" s="1"/>
  <c r="Q10" i="21" s="1"/>
  <c r="R10" i="21" s="1"/>
  <c r="S10" i="21" s="1"/>
  <c r="T10" i="21" s="1"/>
  <c r="T90" i="70"/>
  <c r="AF90" i="70"/>
  <c r="AN90" i="70"/>
  <c r="AZ90" i="70"/>
  <c r="BL90" i="70"/>
  <c r="HZ58" i="70"/>
  <c r="HV62" i="70"/>
  <c r="HZ69" i="70"/>
  <c r="HZ71" i="70"/>
  <c r="HZ73" i="70"/>
  <c r="HV76" i="70"/>
  <c r="CX90" i="70"/>
  <c r="DF90" i="70"/>
  <c r="DN90" i="70"/>
  <c r="FW90" i="70"/>
  <c r="HZ63" i="70"/>
  <c r="EM90" i="70"/>
  <c r="EJ90" i="70"/>
  <c r="AB90" i="70"/>
  <c r="AR90" i="70"/>
  <c r="BD90" i="70"/>
  <c r="BP90" i="70"/>
  <c r="HZ54" i="70"/>
  <c r="HZ64" i="70"/>
  <c r="R90" i="70"/>
  <c r="V90" i="70"/>
  <c r="Z90" i="70"/>
  <c r="AD90" i="70"/>
  <c r="AH90" i="70"/>
  <c r="AL90" i="70"/>
  <c r="AP90" i="70"/>
  <c r="AT90" i="70"/>
  <c r="AX90" i="70"/>
  <c r="BB90" i="70"/>
  <c r="BF90" i="70"/>
  <c r="BJ90" i="70"/>
  <c r="BN90" i="70"/>
  <c r="CH90" i="70"/>
  <c r="CP90" i="70"/>
  <c r="IA70" i="70"/>
  <c r="P90" i="70"/>
  <c r="X90" i="70"/>
  <c r="AJ90" i="70"/>
  <c r="AV90" i="70"/>
  <c r="BH90" i="70"/>
  <c r="HV58" i="70"/>
  <c r="HZ62" i="70"/>
  <c r="HZ76" i="70"/>
  <c r="HV81" i="70"/>
  <c r="CU90" i="70"/>
  <c r="DC90" i="70"/>
  <c r="FL90" i="70"/>
  <c r="FT90" i="70"/>
  <c r="FZ90" i="70"/>
  <c r="EP90" i="70"/>
  <c r="EI90" i="70"/>
  <c r="EP85" i="70"/>
  <c r="H35" i="21"/>
  <c r="H20" i="21"/>
  <c r="C37" i="28" s="1"/>
  <c r="AH8" i="21"/>
  <c r="AH9" i="21"/>
  <c r="J36" i="21"/>
  <c r="I81" i="21"/>
  <c r="AH12" i="21"/>
  <c r="K35" i="21"/>
  <c r="K36" i="21" s="1"/>
  <c r="K26" i="21"/>
  <c r="B16" i="75"/>
  <c r="AH5" i="21"/>
  <c r="F36" i="28"/>
  <c r="F37" i="28" s="1"/>
  <c r="K39" i="21"/>
  <c r="AH7" i="21"/>
  <c r="AH10" i="21"/>
  <c r="AM14" i="21"/>
  <c r="G25" i="9"/>
  <c r="G27" i="9" s="1"/>
  <c r="K33" i="21"/>
  <c r="J25" i="9"/>
  <c r="J17" i="9" s="1"/>
  <c r="J27" i="9" s="1"/>
  <c r="AH13" i="21"/>
  <c r="K37" i="21"/>
  <c r="K38" i="21" s="1"/>
  <c r="C77" i="21"/>
  <c r="E77" i="21" s="1"/>
  <c r="AH6" i="21"/>
  <c r="AH15" i="21"/>
  <c r="J43" i="21"/>
  <c r="O5" i="21"/>
  <c r="P190" i="59"/>
  <c r="P193" i="59"/>
  <c r="DU90" i="70"/>
  <c r="DI90" i="70"/>
  <c r="HP87" i="70"/>
  <c r="HZ82" i="70"/>
  <c r="HO37" i="70"/>
  <c r="HZ56" i="70"/>
  <c r="HZ79" i="70"/>
  <c r="Q90" i="70"/>
  <c r="U90" i="70"/>
  <c r="Y90" i="70"/>
  <c r="AC90" i="70"/>
  <c r="AG90" i="70"/>
  <c r="AK90" i="70"/>
  <c r="AO90" i="70"/>
  <c r="AS90" i="70"/>
  <c r="AW90" i="70"/>
  <c r="BA90" i="70"/>
  <c r="BE90" i="70"/>
  <c r="BI90" i="70"/>
  <c r="BM90" i="70"/>
  <c r="BQ90" i="70"/>
  <c r="BU90" i="70"/>
  <c r="BY90" i="70"/>
  <c r="CC90" i="70"/>
  <c r="CI90" i="70"/>
  <c r="CQ90" i="70"/>
  <c r="CY90" i="70"/>
  <c r="DG90" i="70"/>
  <c r="EA90" i="70"/>
  <c r="DO90" i="70"/>
  <c r="FP90" i="70"/>
  <c r="EC90" i="70"/>
  <c r="DQ90" i="70"/>
  <c r="HZ65" i="70"/>
  <c r="HZ60" i="70"/>
  <c r="HV79" i="70"/>
  <c r="HV63" i="70"/>
  <c r="HO12" i="70"/>
  <c r="HO13" i="70" s="1"/>
  <c r="CG90" i="70"/>
  <c r="CO90" i="70"/>
  <c r="CW90" i="70"/>
  <c r="DE90" i="70"/>
  <c r="DY90" i="70"/>
  <c r="DM90" i="70"/>
  <c r="FN90" i="70"/>
  <c r="FV90" i="70"/>
  <c r="FX90" i="70"/>
  <c r="EJ84" i="70"/>
  <c r="EV85" i="70" s="1"/>
  <c r="HQ83" i="70"/>
  <c r="HQ84" i="70" s="1"/>
  <c r="EG85" i="70"/>
  <c r="HZ53" i="70"/>
  <c r="HO44" i="70"/>
  <c r="S90" i="70"/>
  <c r="W90" i="70"/>
  <c r="AA90" i="70"/>
  <c r="AE90" i="70"/>
  <c r="AI90" i="70"/>
  <c r="AM90" i="70"/>
  <c r="AQ90" i="70"/>
  <c r="AU90" i="70"/>
  <c r="AY90" i="70"/>
  <c r="BC90" i="70"/>
  <c r="BG90" i="70"/>
  <c r="BK90" i="70"/>
  <c r="BO90" i="70"/>
  <c r="BS90" i="70"/>
  <c r="BW90" i="70"/>
  <c r="CA90" i="70"/>
  <c r="CE90" i="70"/>
  <c r="CM90" i="70"/>
  <c r="DW90" i="70"/>
  <c r="DK90" i="70"/>
  <c r="EE90" i="70"/>
  <c r="DS90" i="70"/>
  <c r="BR90" i="70"/>
  <c r="BT90" i="70"/>
  <c r="BV90" i="70"/>
  <c r="BX90" i="70"/>
  <c r="BZ90" i="70"/>
  <c r="CB90" i="70"/>
  <c r="HN87" i="70"/>
  <c r="EO85" i="70"/>
  <c r="HV73" i="70"/>
  <c r="HU79" i="70"/>
  <c r="HO87" i="70"/>
  <c r="IA54" i="70"/>
  <c r="EN90" i="70"/>
  <c r="EL84" i="70"/>
  <c r="EF85" i="70"/>
  <c r="IA76" i="70"/>
  <c r="IA58" i="70"/>
  <c r="EO90" i="70"/>
  <c r="N13" i="21"/>
  <c r="AQ14" i="21" s="1"/>
  <c r="K8" i="89"/>
  <c r="N8" i="89" s="1"/>
  <c r="C78" i="21"/>
  <c r="E78" i="21" s="1"/>
  <c r="K25" i="9"/>
  <c r="K17" i="9" s="1"/>
  <c r="F53" i="28"/>
  <c r="AB30" i="62"/>
  <c r="Y30" i="62"/>
  <c r="Z30" i="62"/>
  <c r="M9" i="62"/>
  <c r="X30" i="62"/>
  <c r="BM22" i="62"/>
  <c r="BM25" i="62"/>
  <c r="BN25" i="62" s="1"/>
  <c r="G53" i="28"/>
  <c r="L9" i="62"/>
  <c r="BM24" i="62"/>
  <c r="D53" i="28"/>
  <c r="L211" i="59"/>
  <c r="L212" i="59" s="1"/>
  <c r="E211" i="59"/>
  <c r="E212" i="59" s="1"/>
  <c r="C195" i="59"/>
  <c r="M211" i="59"/>
  <c r="M212" i="59" s="1"/>
  <c r="F211" i="59"/>
  <c r="J211" i="59"/>
  <c r="J212" i="59" s="1"/>
  <c r="H211" i="59"/>
  <c r="H212" i="59" s="1"/>
  <c r="G211" i="59"/>
  <c r="G212" i="59" s="1"/>
  <c r="O190" i="59"/>
  <c r="O195" i="59" s="1"/>
  <c r="N211" i="59"/>
  <c r="N212" i="59" s="1"/>
  <c r="I211" i="59"/>
  <c r="I212" i="59" s="1"/>
  <c r="C17" i="9"/>
  <c r="C18" i="9" s="1"/>
  <c r="F7" i="48"/>
  <c r="E37" i="28"/>
  <c r="I17" i="9"/>
  <c r="I18" i="9" s="1"/>
  <c r="E17" i="9"/>
  <c r="E18" i="9" s="1"/>
  <c r="H17" i="9"/>
  <c r="H18" i="9" s="1"/>
  <c r="F17" i="9"/>
  <c r="F18" i="9" s="1"/>
  <c r="D37" i="28"/>
  <c r="B17" i="9"/>
  <c r="B18" i="9" s="1"/>
  <c r="C19" i="9" s="1"/>
  <c r="D17" i="9"/>
  <c r="D18" i="9" s="1"/>
  <c r="AN12" i="21"/>
  <c r="AM13" i="21"/>
  <c r="Z12" i="21"/>
  <c r="AN14" i="21"/>
  <c r="L39" i="21"/>
  <c r="AM12" i="21"/>
  <c r="AL12" i="21"/>
  <c r="AN15" i="21"/>
  <c r="J34" i="21"/>
  <c r="K34" i="21"/>
  <c r="K20" i="21"/>
  <c r="L33" i="21"/>
  <c r="L37" i="21"/>
  <c r="AI7" i="21"/>
  <c r="H33" i="21"/>
  <c r="I20" i="21"/>
  <c r="H37" i="21"/>
  <c r="L20" i="21"/>
  <c r="B19" i="75"/>
  <c r="AI8" i="21"/>
  <c r="AN16" i="21"/>
  <c r="Z13" i="21"/>
  <c r="L35" i="21"/>
  <c r="L26" i="21"/>
  <c r="AN13" i="21"/>
  <c r="M16" i="21"/>
  <c r="W15" i="21"/>
  <c r="W16" i="21" s="1"/>
  <c r="I26" i="21"/>
  <c r="G36" i="28"/>
  <c r="AI4" i="21"/>
  <c r="AI5" i="21"/>
  <c r="AI10" i="21"/>
  <c r="AI13" i="21"/>
  <c r="AI14" i="21"/>
  <c r="AI12" i="21"/>
  <c r="AI9" i="21"/>
  <c r="AI11" i="21"/>
  <c r="AI15" i="21"/>
  <c r="R6" i="49" l="1"/>
  <c r="F82" i="28"/>
  <c r="Q6" i="49"/>
  <c r="E82" i="28"/>
  <c r="AE17" i="21"/>
  <c r="AE16" i="21"/>
  <c r="IA52" i="70"/>
  <c r="HT89" i="70"/>
  <c r="GR90" i="70"/>
  <c r="HU78" i="70"/>
  <c r="HZ84" i="70"/>
  <c r="HU64" i="70"/>
  <c r="HU81" i="70"/>
  <c r="HV57" i="70"/>
  <c r="HV56" i="70"/>
  <c r="HU83" i="70"/>
  <c r="HV74" i="70"/>
  <c r="HU80" i="70"/>
  <c r="HV77" i="70"/>
  <c r="HV69" i="70"/>
  <c r="HU74" i="70"/>
  <c r="HU59" i="70"/>
  <c r="HU77" i="70"/>
  <c r="HU61" i="70"/>
  <c r="HU75" i="70"/>
  <c r="HU62" i="70"/>
  <c r="HU76" i="70"/>
  <c r="HO85" i="70"/>
  <c r="HU73" i="70"/>
  <c r="HU60" i="70"/>
  <c r="HU82" i="70"/>
  <c r="HU63" i="70"/>
  <c r="HV60" i="70"/>
  <c r="HV80" i="70"/>
  <c r="HV68" i="70"/>
  <c r="HV71" i="70"/>
  <c r="HU52" i="70"/>
  <c r="HV52" i="70"/>
  <c r="HU67" i="70"/>
  <c r="HV55" i="70"/>
  <c r="HU58" i="70"/>
  <c r="HV72" i="70"/>
  <c r="HV53" i="70"/>
  <c r="HV70" i="70"/>
  <c r="HU53" i="70"/>
  <c r="HU65" i="70"/>
  <c r="HV78" i="70"/>
  <c r="U36" i="71"/>
  <c r="U39" i="71"/>
  <c r="U38" i="71"/>
  <c r="BH26" i="62"/>
  <c r="Q9" i="49"/>
  <c r="Q7" i="49"/>
  <c r="V10" i="49"/>
  <c r="Q8" i="49"/>
  <c r="K11" i="49"/>
  <c r="Q4" i="49"/>
  <c r="Q5" i="49"/>
  <c r="E135" i="59"/>
  <c r="P135" i="59"/>
  <c r="E123" i="59"/>
  <c r="P47" i="59"/>
  <c r="D111" i="59"/>
  <c r="D99" i="59"/>
  <c r="V53" i="59"/>
  <c r="P109" i="59"/>
  <c r="P106" i="59"/>
  <c r="P111" i="59" s="1"/>
  <c r="O183" i="59"/>
  <c r="S55" i="59"/>
  <c r="P72" i="59"/>
  <c r="L35" i="59"/>
  <c r="L48" i="59"/>
  <c r="H123" i="59"/>
  <c r="H135" i="59"/>
  <c r="I111" i="59"/>
  <c r="P123" i="59"/>
  <c r="J48" i="59"/>
  <c r="J35" i="59"/>
  <c r="O30" i="59"/>
  <c r="F212" i="59"/>
  <c r="E61" i="59"/>
  <c r="E73" i="59"/>
  <c r="E35" i="59"/>
  <c r="IC83" i="70"/>
  <c r="X10" i="49"/>
  <c r="M11" i="49"/>
  <c r="W10" i="49"/>
  <c r="R5" i="49"/>
  <c r="R7" i="49"/>
  <c r="L11" i="49"/>
  <c r="R9" i="49"/>
  <c r="R8" i="49"/>
  <c r="R4" i="49"/>
  <c r="L111" i="59"/>
  <c r="G35" i="59"/>
  <c r="G48" i="59"/>
  <c r="P17" i="59"/>
  <c r="O17" i="59"/>
  <c r="C22" i="59"/>
  <c r="C35" i="59"/>
  <c r="V58" i="59"/>
  <c r="P59" i="59"/>
  <c r="R53" i="59"/>
  <c r="P56" i="59"/>
  <c r="P61" i="59" s="1"/>
  <c r="P21" i="59"/>
  <c r="P46" i="59"/>
  <c r="P43" i="59"/>
  <c r="F54" i="68"/>
  <c r="H86" i="59"/>
  <c r="N35" i="59"/>
  <c r="N22" i="59"/>
  <c r="F61" i="59"/>
  <c r="F73" i="59"/>
  <c r="P30" i="59"/>
  <c r="P33" i="59"/>
  <c r="P97" i="59"/>
  <c r="U53" i="59"/>
  <c r="P94" i="59"/>
  <c r="P99" i="59" s="1"/>
  <c r="P60" i="59"/>
  <c r="R55" i="59"/>
  <c r="GP90" i="70"/>
  <c r="N123" i="59"/>
  <c r="N135" i="59"/>
  <c r="C86" i="59"/>
  <c r="P86" i="59"/>
  <c r="C73" i="59"/>
  <c r="J61" i="59"/>
  <c r="J73" i="59"/>
  <c r="P9" i="59"/>
  <c r="Z59" i="59"/>
  <c r="Z56" i="59"/>
  <c r="Z57" i="59" s="1"/>
  <c r="P20" i="59"/>
  <c r="S53" i="59"/>
  <c r="P71" i="59"/>
  <c r="P68" i="59"/>
  <c r="P73" i="59" s="1"/>
  <c r="O43" i="59"/>
  <c r="Z17" i="21"/>
  <c r="AQ15" i="21"/>
  <c r="AQ16" i="21"/>
  <c r="W17" i="21"/>
  <c r="P4" i="21"/>
  <c r="AD13" i="21"/>
  <c r="AD16" i="21" s="1"/>
  <c r="AP13" i="21"/>
  <c r="AO13" i="21"/>
  <c r="AQ13" i="21"/>
  <c r="GM90" i="70"/>
  <c r="IA64" i="70"/>
  <c r="IA71" i="70"/>
  <c r="IA72" i="70"/>
  <c r="IA68" i="70"/>
  <c r="IA73" i="70"/>
  <c r="IB83" i="70"/>
  <c r="GS90" i="70"/>
  <c r="IA57" i="70"/>
  <c r="IA69" i="70"/>
  <c r="IA63" i="70"/>
  <c r="IA75" i="70"/>
  <c r="IA66" i="70"/>
  <c r="GU90" i="70"/>
  <c r="GT90" i="70"/>
  <c r="HQ87" i="70"/>
  <c r="EU85" i="70"/>
  <c r="GX84" i="70"/>
  <c r="EX85" i="70"/>
  <c r="GY84" i="70"/>
  <c r="HT83" i="70"/>
  <c r="IA83" i="70" s="1"/>
  <c r="GW84" i="70"/>
  <c r="HQ90" i="70"/>
  <c r="P195" i="59"/>
  <c r="J18" i="9"/>
  <c r="O13" i="21"/>
  <c r="P13" i="21" s="1"/>
  <c r="Q13" i="21" s="1"/>
  <c r="R13" i="21" s="1"/>
  <c r="S13" i="21" s="1"/>
  <c r="T13" i="21" s="1"/>
  <c r="N16" i="21"/>
  <c r="I36" i="28" s="1"/>
  <c r="AC16" i="21"/>
  <c r="GV90" i="70"/>
  <c r="L36" i="21"/>
  <c r="L34" i="21"/>
  <c r="L40" i="21"/>
  <c r="G37" i="28"/>
  <c r="L38" i="21"/>
  <c r="M26" i="21"/>
  <c r="P35" i="21"/>
  <c r="T35" i="21"/>
  <c r="O37" i="21"/>
  <c r="S37" i="21"/>
  <c r="Q39" i="21"/>
  <c r="S35" i="21"/>
  <c r="P39" i="21"/>
  <c r="Q35" i="21"/>
  <c r="P37" i="21"/>
  <c r="T37" i="21"/>
  <c r="R39" i="21"/>
  <c r="R40" i="21" s="1"/>
  <c r="O35" i="21"/>
  <c r="R37" i="21"/>
  <c r="M35" i="21"/>
  <c r="M36" i="21" s="1"/>
  <c r="R35" i="21"/>
  <c r="Q37" i="21"/>
  <c r="O39" i="21"/>
  <c r="S39" i="21"/>
  <c r="T39" i="21"/>
  <c r="G17" i="9"/>
  <c r="G18" i="9" s="1"/>
  <c r="C47" i="28" s="1"/>
  <c r="L43" i="21"/>
  <c r="K43" i="21"/>
  <c r="D19" i="9"/>
  <c r="P5" i="21"/>
  <c r="HO90" i="70"/>
  <c r="HS87" i="70"/>
  <c r="EJ85" i="70"/>
  <c r="EL85" i="70"/>
  <c r="HN90" i="70"/>
  <c r="HP90" i="70"/>
  <c r="GQ90" i="70"/>
  <c r="I20" i="9"/>
  <c r="K18" i="9"/>
  <c r="K27" i="9"/>
  <c r="Z16" i="21"/>
  <c r="L25" i="9"/>
  <c r="L17" i="9" s="1"/>
  <c r="W30" i="62"/>
  <c r="E47" i="28"/>
  <c r="F19" i="9"/>
  <c r="I19" i="9"/>
  <c r="E19" i="9"/>
  <c r="D47" i="28"/>
  <c r="H20" i="9"/>
  <c r="B23" i="75"/>
  <c r="C79" i="21"/>
  <c r="E79" i="21" s="1"/>
  <c r="E67" i="21" s="1"/>
  <c r="M20" i="21"/>
  <c r="AJ15" i="21"/>
  <c r="AJ5" i="21"/>
  <c r="H36" i="28"/>
  <c r="AJ10" i="21"/>
  <c r="AL16" i="21"/>
  <c r="AM16" i="21"/>
  <c r="AJ11" i="21"/>
  <c r="AJ8" i="21"/>
  <c r="AJ14" i="21"/>
  <c r="AJ7" i="21"/>
  <c r="M37" i="21"/>
  <c r="M38" i="21" s="1"/>
  <c r="AJ12" i="21"/>
  <c r="AJ4" i="21"/>
  <c r="AJ13" i="21"/>
  <c r="AJ9" i="21"/>
  <c r="AJ6" i="21"/>
  <c r="M39" i="21"/>
  <c r="M40" i="21" s="1"/>
  <c r="M33" i="21"/>
  <c r="H37" i="28" l="1"/>
  <c r="I37" i="28"/>
  <c r="AT8" i="62"/>
  <c r="N8" i="62" s="1"/>
  <c r="H58" i="28" s="1"/>
  <c r="AS8" i="62"/>
  <c r="M8" i="62" s="1"/>
  <c r="G59" i="28" s="1"/>
  <c r="Q10" i="49"/>
  <c r="T59" i="59"/>
  <c r="S59" i="59"/>
  <c r="S56" i="59"/>
  <c r="P22" i="59"/>
  <c r="V56" i="59"/>
  <c r="W59" i="59"/>
  <c r="V59" i="59"/>
  <c r="U56" i="59"/>
  <c r="U57" i="59" s="1"/>
  <c r="U59" i="59"/>
  <c r="HW53" i="70"/>
  <c r="IB84" i="70"/>
  <c r="R56" i="59"/>
  <c r="HX78" i="70"/>
  <c r="IC84" i="70"/>
  <c r="R10" i="49"/>
  <c r="S58" i="59"/>
  <c r="T58" i="59"/>
  <c r="P35" i="59"/>
  <c r="P48" i="59"/>
  <c r="J19" i="9"/>
  <c r="K19" i="9"/>
  <c r="N26" i="21"/>
  <c r="N20" i="21"/>
  <c r="N25" i="21"/>
  <c r="N21" i="21"/>
  <c r="P38" i="21"/>
  <c r="Q36" i="21"/>
  <c r="O17" i="21"/>
  <c r="AK7" i="21"/>
  <c r="AK15" i="21"/>
  <c r="AO16" i="21"/>
  <c r="AP16" i="21"/>
  <c r="AK14" i="21"/>
  <c r="AK8" i="21"/>
  <c r="AK5" i="21"/>
  <c r="AK6" i="21"/>
  <c r="AK12" i="21"/>
  <c r="AK11" i="21"/>
  <c r="AK9" i="21"/>
  <c r="AK10" i="21"/>
  <c r="AK4" i="21"/>
  <c r="Q4" i="21"/>
  <c r="P17" i="21"/>
  <c r="AD17" i="21"/>
  <c r="AK13" i="21"/>
  <c r="HX54" i="70"/>
  <c r="HX62" i="70"/>
  <c r="HX59" i="70"/>
  <c r="HX57" i="70"/>
  <c r="HX72" i="70"/>
  <c r="HX77" i="70"/>
  <c r="HX63" i="70"/>
  <c r="HX56" i="70"/>
  <c r="HX71" i="70"/>
  <c r="HX83" i="70"/>
  <c r="HX55" i="70"/>
  <c r="HX60" i="70"/>
  <c r="HX81" i="70"/>
  <c r="HX61" i="70"/>
  <c r="HX65" i="70"/>
  <c r="HT84" i="70"/>
  <c r="IA84" i="70" s="1"/>
  <c r="HX53" i="70"/>
  <c r="HW82" i="70"/>
  <c r="HW65" i="70"/>
  <c r="HW60" i="70"/>
  <c r="HW76" i="70"/>
  <c r="HW58" i="70"/>
  <c r="HW72" i="70"/>
  <c r="HW61" i="70"/>
  <c r="HW70" i="70"/>
  <c r="HW52" i="70"/>
  <c r="HW54" i="70"/>
  <c r="HW66" i="70"/>
  <c r="HW55" i="70"/>
  <c r="HW73" i="70"/>
  <c r="HW62" i="70"/>
  <c r="HW80" i="70"/>
  <c r="HW75" i="70"/>
  <c r="HW79" i="70"/>
  <c r="HW68" i="70"/>
  <c r="HW56" i="70"/>
  <c r="HW63" i="70"/>
  <c r="HW71" i="70"/>
  <c r="HW69" i="70"/>
  <c r="HW78" i="70"/>
  <c r="HW59" i="70"/>
  <c r="HW77" i="70"/>
  <c r="HW67" i="70"/>
  <c r="HW81" i="70"/>
  <c r="HW64" i="70"/>
  <c r="HW74" i="70"/>
  <c r="HW57" i="70"/>
  <c r="HX66" i="70"/>
  <c r="HX75" i="70"/>
  <c r="HX69" i="70"/>
  <c r="HX73" i="70"/>
  <c r="HX52" i="70"/>
  <c r="HX79" i="70"/>
  <c r="HX76" i="70"/>
  <c r="HX82" i="70"/>
  <c r="HX67" i="70"/>
  <c r="HX64" i="70"/>
  <c r="HW83" i="70"/>
  <c r="HX80" i="70"/>
  <c r="HX68" i="70"/>
  <c r="HX58" i="70"/>
  <c r="HX74" i="70"/>
  <c r="HX70" i="70"/>
  <c r="HQ85" i="70"/>
  <c r="K44" i="21"/>
  <c r="K45" i="21"/>
  <c r="L45" i="21"/>
  <c r="G19" i="9"/>
  <c r="P40" i="21"/>
  <c r="H19" i="9"/>
  <c r="T40" i="21"/>
  <c r="Q38" i="21"/>
  <c r="Q40" i="21"/>
  <c r="P36" i="21"/>
  <c r="L44" i="21"/>
  <c r="R38" i="21"/>
  <c r="T38" i="21"/>
  <c r="S38" i="21"/>
  <c r="R36" i="21"/>
  <c r="S36" i="21"/>
  <c r="S40" i="21"/>
  <c r="M34" i="21"/>
  <c r="M43" i="21"/>
  <c r="M44" i="21" s="1"/>
  <c r="O16" i="21"/>
  <c r="N37" i="21"/>
  <c r="N38" i="21" s="1"/>
  <c r="N39" i="21"/>
  <c r="N40" i="21" s="1"/>
  <c r="N33" i="21"/>
  <c r="N35" i="21"/>
  <c r="N36" i="21" s="1"/>
  <c r="T36" i="21"/>
  <c r="Q5" i="21"/>
  <c r="L27" i="9"/>
  <c r="L18" i="9"/>
  <c r="L19" i="9" s="1"/>
  <c r="AC30" i="62" l="1"/>
  <c r="AS7" i="62"/>
  <c r="M7" i="62" s="1"/>
  <c r="G57" i="28" s="1"/>
  <c r="V57" i="59"/>
  <c r="W57" i="59"/>
  <c r="S57" i="59"/>
  <c r="T57" i="59"/>
  <c r="R4" i="21"/>
  <c r="Q17" i="21"/>
  <c r="M45" i="21"/>
  <c r="P16" i="21"/>
  <c r="O33" i="21"/>
  <c r="O43" i="21" s="1"/>
  <c r="O38" i="21"/>
  <c r="O40" i="21"/>
  <c r="N43" i="21"/>
  <c r="N44" i="21" s="1"/>
  <c r="N34" i="21"/>
  <c r="O36" i="21"/>
  <c r="R5" i="21"/>
  <c r="AT7" i="62" l="1"/>
  <c r="N7" i="62" s="1"/>
  <c r="H56" i="28" s="1"/>
  <c r="S4" i="21"/>
  <c r="R17" i="21"/>
  <c r="N45" i="21"/>
  <c r="O44" i="21"/>
  <c r="Q16" i="21"/>
  <c r="P33" i="21"/>
  <c r="P43" i="21" s="1"/>
  <c r="P44" i="21" s="1"/>
  <c r="S5" i="21"/>
  <c r="AD30" i="62" l="1"/>
  <c r="AT5" i="62"/>
  <c r="T4" i="21"/>
  <c r="S17" i="21"/>
  <c r="R16" i="21"/>
  <c r="Q33" i="21"/>
  <c r="Q43" i="21" s="1"/>
  <c r="Q44" i="21" s="1"/>
  <c r="T5" i="21"/>
  <c r="BE19" i="62" l="1"/>
  <c r="AT11" i="62"/>
  <c r="N5" i="62"/>
  <c r="T17" i="21"/>
  <c r="S16" i="21"/>
  <c r="R33" i="21"/>
  <c r="H52" i="28" l="1"/>
  <c r="C23" i="75"/>
  <c r="R43" i="21"/>
  <c r="R44" i="21" s="1"/>
  <c r="T16" i="21"/>
  <c r="T33" i="21" s="1"/>
  <c r="S33" i="21"/>
  <c r="S43" i="21" s="1"/>
  <c r="S44" i="21" l="1"/>
  <c r="T43" i="21"/>
  <c r="T44" i="21" l="1"/>
  <c r="HA83" i="70"/>
  <c r="ER84" i="70"/>
  <c r="HA84" i="70" s="1"/>
  <c r="HR83" i="70"/>
  <c r="HR84" i="70" s="1"/>
  <c r="ER85" i="70" l="1"/>
  <c r="BH22" i="62" l="1"/>
  <c r="BI22" i="62" s="1"/>
  <c r="BH25" i="62"/>
  <c r="BI25" i="62" s="1"/>
  <c r="BC21" i="62" l="1"/>
  <c r="BC30" i="62"/>
  <c r="BC29" i="62"/>
  <c r="BE20" i="62"/>
  <c r="BC27" i="62"/>
  <c r="BC23" i="62"/>
  <c r="BC24" i="62"/>
  <c r="BC26" i="62"/>
  <c r="BC28" i="62"/>
  <c r="BC22" i="62"/>
  <c r="BC25" i="62"/>
  <c r="I77" i="21"/>
  <c r="J77" i="21" s="1"/>
  <c r="I80" i="21"/>
  <c r="J80" i="21" s="1"/>
  <c r="C82" i="21" l="1"/>
  <c r="C90" i="21"/>
  <c r="C92" i="21"/>
  <c r="C86" i="21"/>
  <c r="C88" i="21"/>
  <c r="C89" i="21"/>
  <c r="C84" i="21"/>
  <c r="C87" i="21"/>
  <c r="I84" i="21"/>
  <c r="C83" i="21"/>
  <c r="C38" i="28" s="1"/>
  <c r="C91" i="21"/>
  <c r="C85" i="21"/>
</calcChain>
</file>

<file path=xl/comments1.xml><?xml version="1.0" encoding="utf-8"?>
<comments xmlns="http://schemas.openxmlformats.org/spreadsheetml/2006/main">
  <authors>
    <author>Rubén Banda</author>
  </authors>
  <commentList>
    <comment ref="H6" authorId="0" shapeId="0">
      <text>
        <r>
          <rPr>
            <b/>
            <sz val="9"/>
            <color indexed="81"/>
            <rFont val="Tahoma"/>
            <family val="2"/>
          </rPr>
          <t>Rubén Banda:</t>
        </r>
        <r>
          <rPr>
            <sz val="9"/>
            <color indexed="81"/>
            <rFont val="Tahoma"/>
            <family val="2"/>
          </rPr>
          <t xml:space="preserve">
https://www.cia.gov/library/publications/the-world-factbook/geos/ec.html</t>
        </r>
      </text>
    </comment>
    <comment ref="I6" authorId="0" shapeId="0">
      <text>
        <r>
          <rPr>
            <b/>
            <sz val="9"/>
            <color indexed="81"/>
            <rFont val="Tahoma"/>
            <family val="2"/>
          </rPr>
          <t>Rubén Banda:</t>
        </r>
        <r>
          <rPr>
            <sz val="9"/>
            <color indexed="81"/>
            <rFont val="Tahoma"/>
            <family val="2"/>
          </rPr>
          <t xml:space="preserve">
Atlas Ambiental 2016 - Sec. Ambiente Alcaldía DMQ
</t>
        </r>
      </text>
    </comment>
    <comment ref="I7" authorId="0" shapeId="0">
      <text>
        <r>
          <rPr>
            <b/>
            <sz val="9"/>
            <color indexed="81"/>
            <rFont val="Tahoma"/>
            <family val="2"/>
          </rPr>
          <t>Rubén Banda:</t>
        </r>
        <r>
          <rPr>
            <sz val="9"/>
            <color indexed="81"/>
            <rFont val="Tahoma"/>
            <family val="2"/>
          </rPr>
          <t xml:space="preserve">
https://www.flacso.edu.ec/flax15/_upload/etnohistoria/pdfs/QUITO_IG.pdf</t>
        </r>
      </text>
    </comment>
    <comment ref="H9" authorId="0" shapeId="0">
      <text>
        <r>
          <rPr>
            <b/>
            <sz val="9"/>
            <color indexed="81"/>
            <rFont val="Tahoma"/>
            <family val="2"/>
          </rPr>
          <t>Rubén Banda:</t>
        </r>
        <r>
          <rPr>
            <sz val="9"/>
            <color indexed="81"/>
            <rFont val="Tahoma"/>
            <family val="2"/>
          </rPr>
          <t xml:space="preserve">
https://www.cia.gov/library/publications/the-world-factbook/geos/ec.html</t>
        </r>
      </text>
    </comment>
    <comment ref="I9" authorId="0" shapeId="0">
      <text>
        <r>
          <rPr>
            <b/>
            <sz val="9"/>
            <color indexed="81"/>
            <rFont val="Tahoma"/>
            <family val="2"/>
          </rPr>
          <t>Rubén Banda:</t>
        </r>
        <r>
          <rPr>
            <sz val="9"/>
            <color indexed="81"/>
            <rFont val="Tahoma"/>
            <family val="2"/>
          </rPr>
          <t xml:space="preserve">
http://www.ecuadorencifras.gob.ec/proyecciones-poblacionales/</t>
        </r>
      </text>
    </comment>
    <comment ref="H18"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I18"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0" authorId="0" shapeId="0">
      <text>
        <r>
          <rPr>
            <b/>
            <sz val="9"/>
            <color indexed="81"/>
            <rFont val="Tahoma"/>
            <family val="2"/>
          </rPr>
          <t>Rubén Banda:</t>
        </r>
        <r>
          <rPr>
            <sz val="9"/>
            <color indexed="81"/>
            <rFont val="Tahoma"/>
            <family val="2"/>
          </rPr>
          <t xml:space="preserve">
http://servicios.turismo.gob.ec/index.php/turismo-cifras/2018-09-19-20-08-01/analisis-macro-economico</t>
        </r>
      </text>
    </comment>
    <comment ref="I20" authorId="0" shapeId="0">
      <text>
        <r>
          <rPr>
            <b/>
            <sz val="9"/>
            <color indexed="81"/>
            <rFont val="Tahoma"/>
            <family val="2"/>
          </rPr>
          <t>Rubén Banda:</t>
        </r>
        <r>
          <rPr>
            <sz val="9"/>
            <color indexed="81"/>
            <rFont val="Tahoma"/>
            <family val="2"/>
          </rPr>
          <t xml:space="preserve">
SIIT EPMGDT</t>
        </r>
      </text>
    </comment>
    <comment ref="H21" authorId="0" shapeId="0">
      <text>
        <r>
          <rPr>
            <b/>
            <sz val="9"/>
            <color indexed="81"/>
            <rFont val="Tahoma"/>
            <family val="2"/>
          </rPr>
          <t>Rubén Banda:</t>
        </r>
        <r>
          <rPr>
            <sz val="9"/>
            <color indexed="81"/>
            <rFont val="Tahoma"/>
            <family val="2"/>
          </rPr>
          <t xml:space="preserve">
2017
http://servicios.turismo.gob.ec/index.php/turismo-cifras</t>
        </r>
      </text>
    </comment>
    <comment ref="H25" authorId="0" shapeId="0">
      <text>
        <r>
          <rPr>
            <b/>
            <sz val="9"/>
            <color indexed="81"/>
            <rFont val="Tahoma"/>
            <family val="2"/>
          </rPr>
          <t>Rubén Banda:</t>
        </r>
        <r>
          <rPr>
            <sz val="9"/>
            <color indexed="81"/>
            <rFont val="Tahoma"/>
            <family val="2"/>
          </rPr>
          <t xml:space="preserve">
http://areasprotegidas.ambiente.gob.ec/en/info-snap</t>
        </r>
      </text>
    </comment>
    <comment ref="I25" authorId="0" shapeId="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authors>
    <author>Rubén Banda</author>
  </authors>
  <commentList>
    <comment ref="O7" authorId="0" shapeId="0">
      <text>
        <r>
          <rPr>
            <b/>
            <sz val="9"/>
            <color indexed="81"/>
            <rFont val="Tahoma"/>
            <family val="2"/>
          </rPr>
          <t>Rubén Banda:</t>
        </r>
        <r>
          <rPr>
            <sz val="9"/>
            <color indexed="81"/>
            <rFont val="Tahoma"/>
            <family val="2"/>
          </rPr>
          <t xml:space="preserve">
ene-ago 2018 promedio</t>
        </r>
      </text>
    </comment>
    <comment ref="B8" authorId="0" shapeId="0">
      <text>
        <r>
          <rPr>
            <b/>
            <sz val="9"/>
            <color indexed="81"/>
            <rFont val="Tahoma"/>
            <family val="2"/>
          </rPr>
          <t>Rubén Banda:</t>
        </r>
        <r>
          <rPr>
            <sz val="9"/>
            <color indexed="81"/>
            <rFont val="Tahoma"/>
            <family val="2"/>
          </rPr>
          <t xml:space="preserve">
Region Metropolitana en CL</t>
        </r>
      </text>
    </comment>
    <comment ref="O9" authorId="0" shapeId="0">
      <text>
        <r>
          <rPr>
            <b/>
            <sz val="9"/>
            <color indexed="81"/>
            <rFont val="Tahoma"/>
            <family val="2"/>
          </rPr>
          <t>Rubén Banda:</t>
        </r>
        <r>
          <rPr>
            <sz val="9"/>
            <color indexed="81"/>
            <rFont val="Tahoma"/>
            <family val="2"/>
          </rPr>
          <t xml:space="preserve">
ene-ago 2018 promedio</t>
        </r>
      </text>
    </comment>
    <comment ref="B10" authorId="0" shapeId="0">
      <text>
        <r>
          <rPr>
            <b/>
            <sz val="9"/>
            <color indexed="81"/>
            <rFont val="Tahoma"/>
            <family val="2"/>
          </rPr>
          <t>Rubén Banda:</t>
        </r>
        <r>
          <rPr>
            <sz val="9"/>
            <color indexed="81"/>
            <rFont val="Tahoma"/>
            <family val="2"/>
          </rPr>
          <t xml:space="preserve">
Todo el país</t>
        </r>
      </text>
    </comment>
  </commentList>
</comments>
</file>

<file path=xl/comments11.xml><?xml version="1.0" encoding="utf-8"?>
<comments xmlns="http://schemas.openxmlformats.org/spreadsheetml/2006/main">
  <authors>
    <author>Rubén Banda</author>
  </authors>
  <commentList>
    <comment ref="R18"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text>
        <r>
          <rPr>
            <b/>
            <sz val="9"/>
            <color indexed="81"/>
            <rFont val="Tahoma"/>
            <family val="2"/>
          </rPr>
          <t>OJO 
verificar formula</t>
        </r>
      </text>
    </comment>
  </commentList>
</comments>
</file>

<file path=xl/comments2.xml><?xml version="1.0" encoding="utf-8"?>
<comments xmlns="http://schemas.openxmlformats.org/spreadsheetml/2006/main">
  <authors>
    <author>preuser</author>
  </authors>
  <commentList>
    <comment ref="BP13" authorId="0" shapeId="0">
      <text>
        <r>
          <rPr>
            <b/>
            <sz val="9"/>
            <color indexed="81"/>
            <rFont val="Tahoma"/>
            <family val="2"/>
          </rPr>
          <t>preuser:</t>
        </r>
        <r>
          <rPr>
            <sz val="9"/>
            <color indexed="81"/>
            <rFont val="Tahoma"/>
            <family val="2"/>
          </rPr>
          <t xml:space="preserve">
promedio de los meses de dic 2007 a 2010</t>
        </r>
      </text>
    </comment>
  </commentList>
</comments>
</file>

<file path=xl/comments3.xml><?xml version="1.0" encoding="utf-8"?>
<comments xmlns="http://schemas.openxmlformats.org/spreadsheetml/2006/main">
  <authors>
    <author>Rubén Banda</author>
  </authors>
  <commentList>
    <comment ref="E3" authorId="0" shapeId="0">
      <text>
        <r>
          <rPr>
            <b/>
            <sz val="9"/>
            <color indexed="81"/>
            <rFont val="Tahoma"/>
            <family val="2"/>
          </rPr>
          <t>Rubén Banda:</t>
        </r>
        <r>
          <rPr>
            <sz val="9"/>
            <color indexed="81"/>
            <rFont val="Tahoma"/>
            <family val="2"/>
          </rPr>
          <t xml:space="preserve">
25-28 feb 2017</t>
        </r>
      </text>
    </comment>
    <comment ref="F3" authorId="0" shapeId="0">
      <text>
        <r>
          <rPr>
            <b/>
            <sz val="9"/>
            <color indexed="81"/>
            <rFont val="Tahoma"/>
            <family val="2"/>
          </rPr>
          <t>Rubén Banda:</t>
        </r>
        <r>
          <rPr>
            <sz val="9"/>
            <color indexed="81"/>
            <rFont val="Tahoma"/>
            <family val="2"/>
          </rPr>
          <t xml:space="preserve">
10-13 FEB 2018
</t>
        </r>
      </text>
    </comment>
  </commentList>
</comments>
</file>

<file path=xl/comments4.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30-31 mar y 1 abr 2018</t>
        </r>
      </text>
    </comment>
    <comment ref="I3" authorId="0" shapeId="0">
      <text>
        <r>
          <rPr>
            <b/>
            <sz val="9"/>
            <color indexed="81"/>
            <rFont val="Tahoma"/>
            <family val="2"/>
          </rPr>
          <t>Rubén Banda:</t>
        </r>
        <r>
          <rPr>
            <sz val="9"/>
            <color indexed="81"/>
            <rFont val="Tahoma"/>
            <family val="2"/>
          </rPr>
          <t xml:space="preserve">
29-31 mar y 1 abr 2018</t>
        </r>
      </text>
    </comment>
    <comment ref="F12" authorId="0" shapeId="0">
      <text>
        <r>
          <rPr>
            <b/>
            <sz val="9"/>
            <color indexed="81"/>
            <rFont val="Tahoma"/>
            <family val="2"/>
          </rPr>
          <t>Rubén Banda:</t>
        </r>
        <r>
          <rPr>
            <sz val="9"/>
            <color indexed="81"/>
            <rFont val="Tahoma"/>
            <family val="2"/>
          </rPr>
          <t xml:space="preserve">
26-31 mar y 01 abr 2018</t>
        </r>
      </text>
    </comment>
  </commentList>
</comments>
</file>

<file path=xl/comments5.xml><?xml version="1.0" encoding="utf-8"?>
<comments xmlns="http://schemas.openxmlformats.org/spreadsheetml/2006/main">
  <authors>
    <author>Rubén Banda</author>
  </authors>
  <commentList>
    <comment ref="E3" authorId="0" shapeId="0">
      <text>
        <r>
          <rPr>
            <b/>
            <sz val="9"/>
            <color indexed="81"/>
            <rFont val="Tahoma"/>
            <family val="2"/>
          </rPr>
          <t>Rubén Banda:</t>
        </r>
        <r>
          <rPr>
            <sz val="9"/>
            <color indexed="81"/>
            <rFont val="Tahoma"/>
            <family val="2"/>
          </rPr>
          <t xml:space="preserve">
28-30ABR + 01 MAY 2017</t>
        </r>
      </text>
    </comment>
    <comment ref="F3" authorId="0" shapeId="0">
      <text>
        <r>
          <rPr>
            <b/>
            <sz val="9"/>
            <color indexed="81"/>
            <rFont val="Tahoma"/>
            <family val="2"/>
          </rPr>
          <t>Rubén Banda:</t>
        </r>
        <r>
          <rPr>
            <sz val="9"/>
            <color indexed="81"/>
            <rFont val="Tahoma"/>
            <family val="2"/>
          </rPr>
          <t xml:space="preserve">
28-30 ABR + 1may 2018 puente
</t>
        </r>
      </text>
    </comment>
    <comment ref="E15" authorId="0" shapeId="0">
      <text>
        <r>
          <rPr>
            <b/>
            <sz val="9"/>
            <color indexed="81"/>
            <rFont val="Tahoma"/>
            <family val="2"/>
          </rPr>
          <t>Rubén Banda:</t>
        </r>
        <r>
          <rPr>
            <sz val="9"/>
            <color indexed="81"/>
            <rFont val="Tahoma"/>
            <family val="2"/>
          </rPr>
          <t xml:space="preserve">
26-27-28 MAY 2017 puente
</t>
        </r>
      </text>
    </comment>
    <comment ref="F15" authorId="0" shapeId="0">
      <text>
        <r>
          <rPr>
            <b/>
            <sz val="9"/>
            <color indexed="81"/>
            <rFont val="Tahoma"/>
            <family val="2"/>
          </rPr>
          <t>Rubén Banda:</t>
        </r>
        <r>
          <rPr>
            <sz val="9"/>
            <color indexed="81"/>
            <rFont val="Tahoma"/>
            <family val="2"/>
          </rPr>
          <t xml:space="preserve">
25-27 may 2018
</t>
        </r>
      </text>
    </comment>
  </commentList>
</comments>
</file>

<file path=xl/comments6.xml><?xml version="1.0" encoding="utf-8"?>
<comments xmlns="http://schemas.openxmlformats.org/spreadsheetml/2006/main">
  <authors>
    <author>Rubén Banda</author>
  </authors>
  <commentList>
    <comment ref="E4" authorId="0" shapeId="0">
      <text>
        <r>
          <rPr>
            <b/>
            <sz val="9"/>
            <color indexed="81"/>
            <rFont val="Tahoma"/>
            <family val="2"/>
          </rPr>
          <t>Rubén Banda:</t>
        </r>
        <r>
          <rPr>
            <sz val="9"/>
            <color indexed="81"/>
            <rFont val="Tahoma"/>
            <family val="2"/>
          </rPr>
          <t xml:space="preserve">
10-13 ago 2017</t>
        </r>
      </text>
    </comment>
    <comment ref="F4" authorId="0" shapeId="0">
      <text>
        <r>
          <rPr>
            <b/>
            <sz val="9"/>
            <color indexed="81"/>
            <rFont val="Tahoma"/>
            <family val="2"/>
          </rPr>
          <t>Rubén Banda:</t>
        </r>
        <r>
          <rPr>
            <sz val="9"/>
            <color indexed="81"/>
            <rFont val="Tahoma"/>
            <family val="2"/>
          </rPr>
          <t xml:space="preserve">
9-12 AGO 2018</t>
        </r>
      </text>
    </comment>
    <comment ref="J4" authorId="0" shapeId="0">
      <text>
        <r>
          <rPr>
            <b/>
            <sz val="9"/>
            <color indexed="81"/>
            <rFont val="Tahoma"/>
            <family val="2"/>
          </rPr>
          <t>Rubén Banda:</t>
        </r>
        <r>
          <rPr>
            <sz val="9"/>
            <color indexed="81"/>
            <rFont val="Tahoma"/>
            <family val="2"/>
          </rPr>
          <t xml:space="preserve">
7-10 AGO 2015</t>
        </r>
      </text>
    </comment>
    <comment ref="K4" authorId="0" shapeId="0">
      <text>
        <r>
          <rPr>
            <b/>
            <sz val="9"/>
            <color indexed="81"/>
            <rFont val="Tahoma"/>
            <family val="2"/>
          </rPr>
          <t>Rubén Banda:</t>
        </r>
        <r>
          <rPr>
            <sz val="9"/>
            <color indexed="81"/>
            <rFont val="Tahoma"/>
            <family val="2"/>
          </rPr>
          <t xml:space="preserve">
11-14 ago 2016</t>
        </r>
      </text>
    </comment>
    <comment ref="L4" authorId="0" shapeId="0">
      <text>
        <r>
          <rPr>
            <b/>
            <sz val="9"/>
            <color indexed="81"/>
            <rFont val="Tahoma"/>
            <family val="2"/>
          </rPr>
          <t>Rubén Banda:</t>
        </r>
        <r>
          <rPr>
            <sz val="9"/>
            <color indexed="81"/>
            <rFont val="Tahoma"/>
            <family val="2"/>
          </rPr>
          <t xml:space="preserve">
10-13 ago 2017</t>
        </r>
      </text>
    </comment>
    <comment ref="M4" authorId="0" shapeId="0">
      <text>
        <r>
          <rPr>
            <b/>
            <sz val="9"/>
            <color indexed="81"/>
            <rFont val="Tahoma"/>
            <family val="2"/>
          </rPr>
          <t>Rubén Banda:</t>
        </r>
        <r>
          <rPr>
            <sz val="9"/>
            <color indexed="81"/>
            <rFont val="Tahoma"/>
            <family val="2"/>
          </rPr>
          <t xml:space="preserve">
9-12 AGO 2018</t>
        </r>
      </text>
    </comment>
  </commentList>
</comments>
</file>

<file path=xl/comments7.xml><?xml version="1.0" encoding="utf-8"?>
<comments xmlns="http://schemas.openxmlformats.org/spreadsheetml/2006/main">
  <authors>
    <author>Rubén Banda</author>
  </authors>
  <commentList>
    <comment ref="D3" authorId="0" shapeId="0">
      <text>
        <r>
          <rPr>
            <b/>
            <sz val="9"/>
            <color indexed="81"/>
            <rFont val="Tahoma"/>
            <family val="2"/>
          </rPr>
          <t>Rubén Banda:</t>
        </r>
        <r>
          <rPr>
            <sz val="9"/>
            <color indexed="81"/>
            <rFont val="Tahoma"/>
            <family val="2"/>
          </rPr>
          <t xml:space="preserve">
2-5 nov 2016</t>
        </r>
      </text>
    </comment>
    <comment ref="E3" authorId="0" shapeId="0">
      <text>
        <r>
          <rPr>
            <b/>
            <sz val="9"/>
            <color indexed="81"/>
            <rFont val="Tahoma"/>
            <family val="2"/>
          </rPr>
          <t>Rubén Banda:</t>
        </r>
        <r>
          <rPr>
            <sz val="9"/>
            <color indexed="81"/>
            <rFont val="Tahoma"/>
            <family val="2"/>
          </rPr>
          <t xml:space="preserve">
2-5 NOV 2017</t>
        </r>
      </text>
    </comment>
    <comment ref="F3" authorId="0" shapeId="0">
      <text>
        <r>
          <rPr>
            <b/>
            <sz val="9"/>
            <color indexed="81"/>
            <rFont val="Tahoma"/>
            <family val="2"/>
          </rPr>
          <t>Rubén Banda:</t>
        </r>
        <r>
          <rPr>
            <sz val="9"/>
            <color indexed="81"/>
            <rFont val="Tahoma"/>
            <family val="2"/>
          </rPr>
          <t xml:space="preserve">
1-4 nov 2018</t>
        </r>
      </text>
    </comment>
    <comment ref="I3" authorId="0" shapeId="0">
      <text>
        <r>
          <rPr>
            <b/>
            <sz val="9"/>
            <color indexed="81"/>
            <rFont val="Tahoma"/>
            <family val="2"/>
          </rPr>
          <t>Rubén Banda:</t>
        </r>
        <r>
          <rPr>
            <sz val="9"/>
            <color indexed="81"/>
            <rFont val="Tahoma"/>
            <family val="2"/>
          </rPr>
          <t xml:space="preserve">
01-04-nov-2015
</t>
        </r>
      </text>
    </comment>
    <comment ref="J3" authorId="0" shapeId="0">
      <text>
        <r>
          <rPr>
            <b/>
            <sz val="9"/>
            <color indexed="81"/>
            <rFont val="Tahoma"/>
            <family val="2"/>
          </rPr>
          <t>Rubén Banda:</t>
        </r>
        <r>
          <rPr>
            <sz val="9"/>
            <color indexed="81"/>
            <rFont val="Tahoma"/>
            <family val="2"/>
          </rPr>
          <t xml:space="preserve">
01-04-nov-2016
</t>
        </r>
      </text>
    </comment>
    <comment ref="K3" authorId="0" shapeId="0">
      <text>
        <r>
          <rPr>
            <b/>
            <sz val="9"/>
            <color indexed="81"/>
            <rFont val="Tahoma"/>
            <family val="2"/>
          </rPr>
          <t>Rubén Banda:</t>
        </r>
        <r>
          <rPr>
            <sz val="9"/>
            <color indexed="81"/>
            <rFont val="Tahoma"/>
            <family val="2"/>
          </rPr>
          <t xml:space="preserve">
01-04-nov-2017
</t>
        </r>
      </text>
    </comment>
    <comment ref="L3" authorId="0" shapeId="0">
      <text>
        <r>
          <rPr>
            <b/>
            <sz val="9"/>
            <color indexed="81"/>
            <rFont val="Tahoma"/>
            <family val="2"/>
          </rPr>
          <t>Rubén Banda:</t>
        </r>
        <r>
          <rPr>
            <sz val="9"/>
            <color indexed="81"/>
            <rFont val="Tahoma"/>
            <family val="2"/>
          </rPr>
          <t xml:space="preserve">
201-04-nov-2018
</t>
        </r>
      </text>
    </comment>
  </commentList>
</comments>
</file>

<file path=xl/comments8.xml><?xml version="1.0" encoding="utf-8"?>
<comments xmlns="http://schemas.openxmlformats.org/spreadsheetml/2006/main">
  <authors>
    <author>Rubén Banda</author>
  </authors>
  <commentList>
    <comment ref="D3" authorId="0" shapeId="0">
      <text>
        <r>
          <rPr>
            <b/>
            <sz val="9"/>
            <color indexed="81"/>
            <rFont val="Tahoma"/>
            <family val="2"/>
          </rPr>
          <t>Rubén Banda:</t>
        </r>
        <r>
          <rPr>
            <sz val="9"/>
            <color indexed="81"/>
            <rFont val="Tahoma"/>
            <family val="2"/>
          </rPr>
          <t xml:space="preserve">
2-5 nov 2016</t>
        </r>
      </text>
    </comment>
    <comment ref="E3" authorId="0" shapeId="0">
      <text>
        <r>
          <rPr>
            <b/>
            <sz val="9"/>
            <color indexed="81"/>
            <rFont val="Tahoma"/>
            <family val="2"/>
          </rPr>
          <t>Rubén Banda:</t>
        </r>
        <r>
          <rPr>
            <sz val="9"/>
            <color indexed="81"/>
            <rFont val="Tahoma"/>
            <family val="2"/>
          </rPr>
          <t xml:space="preserve">
1-6 DIC 2017</t>
        </r>
      </text>
    </comment>
  </commentList>
</comments>
</file>

<file path=xl/comments9.xml><?xml version="1.0" encoding="utf-8"?>
<comments xmlns="http://schemas.openxmlformats.org/spreadsheetml/2006/main">
  <authors>
    <author>Rubén Banda</author>
  </authors>
  <commentList>
    <comment ref="Y4" authorId="0" shapeId="0">
      <text>
        <r>
          <rPr>
            <b/>
            <sz val="9"/>
            <color indexed="81"/>
            <rFont val="Tahoma"/>
            <family val="2"/>
          </rPr>
          <t>Rubén Banda:</t>
        </r>
        <r>
          <rPr>
            <sz val="9"/>
            <color indexed="81"/>
            <rFont val="Tahoma"/>
            <family val="2"/>
          </rPr>
          <t xml:space="preserve">
estimado </t>
        </r>
      </text>
    </comment>
    <comment ref="Y5" authorId="0" shapeId="0">
      <text>
        <r>
          <rPr>
            <b/>
            <sz val="9"/>
            <color indexed="81"/>
            <rFont val="Tahoma"/>
            <family val="2"/>
          </rPr>
          <t>Rubén Banda:</t>
        </r>
        <r>
          <rPr>
            <sz val="9"/>
            <color indexed="81"/>
            <rFont val="Tahoma"/>
            <family val="2"/>
          </rPr>
          <t xml:space="preserve">
estimado </t>
        </r>
      </text>
    </comment>
    <comment ref="Y7" authorId="0" shapeId="0">
      <text>
        <r>
          <rPr>
            <b/>
            <sz val="9"/>
            <color indexed="81"/>
            <rFont val="Tahoma"/>
            <family val="2"/>
          </rPr>
          <t>Rubén Banda:</t>
        </r>
        <r>
          <rPr>
            <sz val="9"/>
            <color indexed="81"/>
            <rFont val="Tahoma"/>
            <family val="2"/>
          </rPr>
          <t xml:space="preserve">
estimado </t>
        </r>
      </text>
    </comment>
    <comment ref="Y20" authorId="0" shapeId="0">
      <text>
        <r>
          <rPr>
            <b/>
            <sz val="9"/>
            <color indexed="81"/>
            <rFont val="Tahoma"/>
            <family val="2"/>
          </rPr>
          <t>Rubén Banda:</t>
        </r>
        <r>
          <rPr>
            <sz val="9"/>
            <color indexed="81"/>
            <rFont val="Tahoma"/>
            <family val="2"/>
          </rPr>
          <t xml:space="preserve">
estimado </t>
        </r>
      </text>
    </comment>
    <comment ref="Y21" authorId="0" shapeId="0">
      <text>
        <r>
          <rPr>
            <b/>
            <sz val="9"/>
            <color indexed="81"/>
            <rFont val="Tahoma"/>
            <family val="2"/>
          </rPr>
          <t>Rubén Banda:</t>
        </r>
        <r>
          <rPr>
            <sz val="9"/>
            <color indexed="81"/>
            <rFont val="Tahoma"/>
            <family val="2"/>
          </rPr>
          <t xml:space="preserve">
estimado </t>
        </r>
      </text>
    </comment>
    <comment ref="Y23" authorId="0" shapeId="0">
      <text>
        <r>
          <rPr>
            <b/>
            <sz val="9"/>
            <color indexed="81"/>
            <rFont val="Tahoma"/>
            <family val="2"/>
          </rPr>
          <t>Rubén Banda:</t>
        </r>
        <r>
          <rPr>
            <sz val="9"/>
            <color indexed="81"/>
            <rFont val="Tahoma"/>
            <family val="2"/>
          </rPr>
          <t xml:space="preserve">
estimado </t>
        </r>
      </text>
    </comment>
    <comment ref="V49" authorId="0" shapeId="0">
      <text>
        <r>
          <rPr>
            <b/>
            <sz val="9"/>
            <color indexed="81"/>
            <rFont val="Tahoma"/>
            <family val="2"/>
          </rPr>
          <t>Rubén Banda:</t>
        </r>
        <r>
          <rPr>
            <sz val="9"/>
            <color indexed="81"/>
            <rFont val="Tahoma"/>
            <family val="2"/>
          </rPr>
          <t xml:space="preserve">
Terremoto</t>
        </r>
      </text>
    </comment>
    <comment ref="AB49" authorId="0" shapeId="0">
      <text>
        <r>
          <rPr>
            <b/>
            <sz val="9"/>
            <color indexed="81"/>
            <rFont val="Tahoma"/>
            <family val="2"/>
          </rPr>
          <t>Rubén Banda:</t>
        </r>
        <r>
          <rPr>
            <sz val="9"/>
            <color indexed="81"/>
            <rFont val="Tahoma"/>
            <family val="2"/>
          </rPr>
          <t xml:space="preserve">
Habitat III</t>
        </r>
      </text>
    </comment>
    <comment ref="Z56" authorId="0" shapeId="0">
      <text>
        <r>
          <rPr>
            <b/>
            <sz val="9"/>
            <color indexed="81"/>
            <rFont val="Tahoma"/>
            <family val="2"/>
          </rPr>
          <t>Rubén Banda:</t>
        </r>
        <r>
          <rPr>
            <sz val="9"/>
            <color indexed="81"/>
            <rFont val="Tahoma"/>
            <family val="2"/>
          </rPr>
          <t xml:space="preserve">
Cotopaxi</t>
        </r>
      </text>
    </comment>
    <comment ref="AA56" authorId="0" shapeId="0">
      <text>
        <r>
          <rPr>
            <b/>
            <sz val="9"/>
            <color indexed="81"/>
            <rFont val="Tahoma"/>
            <family val="2"/>
          </rPr>
          <t>Rubén Banda:</t>
        </r>
        <r>
          <rPr>
            <sz val="9"/>
            <color indexed="81"/>
            <rFont val="Tahoma"/>
            <family val="2"/>
          </rPr>
          <t xml:space="preserve">
Cotopaxi
</t>
        </r>
      </text>
    </comment>
  </commentList>
</comments>
</file>

<file path=xl/sharedStrings.xml><?xml version="1.0" encoding="utf-8"?>
<sst xmlns="http://schemas.openxmlformats.org/spreadsheetml/2006/main" count="6815" uniqueCount="1444">
  <si>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</si>
  <si>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</si>
  <si>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</si>
  <si>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</si>
  <si>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</si>
  <si>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</si>
  <si>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</si>
  <si>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</si>
  <si>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</si>
  <si>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</si>
  <si>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</si>
  <si>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</si>
  <si>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</si>
  <si>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</si>
  <si>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</si>
  <si>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</si>
  <si>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</si>
  <si>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</si>
  <si>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</si>
  <si>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</si>
  <si>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</si>
  <si>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</si>
  <si>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</si>
  <si>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Holanda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</si>
  <si>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</si>
  <si>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</si>
  <si>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</si>
  <si>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</si>
  <si>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</si>
  <si>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</si>
  <si>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</si>
  <si>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</si>
  <si>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</si>
  <si>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</si>
  <si>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</si>
  <si>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</si>
  <si>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</si>
  <si>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</si>
  <si>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</si>
  <si>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</si>
  <si>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</si>
  <si>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</si>
  <si>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</si>
  <si>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</si>
  <si>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</si>
  <si>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</si>
  <si>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</si>
  <si>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</si>
  <si>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</si>
  <si>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</si>
  <si>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</si>
  <si>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República Popular China</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</si>
  <si>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</si>
  <si>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</si>
  <si>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</si>
  <si>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</si>
  <si>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</si>
  <si>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</si>
  <si>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</si>
  <si>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</si>
  <si>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</si>
  <si>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</si>
  <si>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</si>
  <si>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</si>
  <si>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</si>
  <si>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</si>
  <si>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</si>
  <si>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</si>
  <si>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</si>
  <si>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</si>
  <si>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</si>
  <si>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</si>
  <si>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</si>
  <si>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</si>
  <si>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</si>
  <si>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</si>
  <si>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</si>
  <si>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</si>
  <si>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</si>
  <si>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</si>
  <si>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</si>
  <si>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</si>
  <si>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</si>
  <si>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</si>
  <si>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</si>
  <si>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</si>
  <si>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</si>
  <si>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</si>
  <si>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</si>
  <si>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</si>
  <si>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</si>
  <si>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</si>
  <si>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</si>
  <si>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</si>
  <si>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</si>
  <si>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</si>
  <si>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</si>
  <si>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</si>
  <si>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</si>
  <si>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</si>
  <si>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</si>
  <si>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</si>
  <si>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</si>
  <si>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</si>
  <si>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</si>
  <si>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</si>
  <si>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</si>
  <si>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</si>
  <si>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</si>
  <si>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</si>
  <si>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</si>
  <si>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</si>
  <si>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</si>
  <si>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</si>
  <si>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</si>
  <si>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</si>
  <si>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</si>
  <si>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</si>
  <si>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Visitantes (turistas y excursionistas) por actividad realizada y motivo de viaje</t>
  </si>
  <si>
    <t>Actividades realizadas</t>
  </si>
  <si>
    <t>Visitó lugares históricos</t>
  </si>
  <si>
    <t>Visita a lugares históricos y observación de la naturaleza</t>
  </si>
  <si>
    <t>Asistió a eventos privados</t>
  </si>
  <si>
    <t>Observó la naturaleza</t>
  </si>
  <si>
    <t>Realizó a actividades académicas</t>
  </si>
  <si>
    <t>Asisitó a eventos</t>
  </si>
  <si>
    <t>Actividades académicas y visita a lugares históricos</t>
  </si>
  <si>
    <t>Eventos públicos, visita a lugares históricos y observación de la naturaleza</t>
  </si>
  <si>
    <t>Eventos privados y visita a lugares históricos</t>
  </si>
  <si>
    <t>Otras actividades</t>
  </si>
  <si>
    <t>Ninguna actividad</t>
  </si>
  <si>
    <t xml:space="preserve">Estadía y gasto turístico en la ciudad de Quito, </t>
  </si>
  <si>
    <t>Recomendación de visita</t>
  </si>
  <si>
    <t>Si</t>
  </si>
  <si>
    <t>No</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</si>
  <si>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</si>
  <si>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</si>
  <si>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</si>
  <si>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</si>
  <si>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</si>
  <si>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</si>
  <si>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</si>
  <si>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</si>
  <si>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</si>
  <si>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</si>
  <si>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</si>
  <si>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</si>
  <si>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</si>
  <si>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</si>
  <si>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</si>
  <si>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</si>
  <si>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</si>
  <si>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</si>
  <si>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</si>
  <si>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</si>
  <si>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</si>
  <si>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</si>
  <si>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</si>
  <si>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</si>
  <si>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</si>
  <si>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</si>
  <si>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</si>
  <si>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</si>
  <si>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</si>
  <si>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</si>
  <si>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</si>
  <si>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</si>
  <si>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</si>
  <si>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</si>
  <si>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</si>
  <si>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</si>
  <si>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Comparativo </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</si>
  <si>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</si>
  <si>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</si>
  <si>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</si>
  <si>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</si>
  <si>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</si>
  <si>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</si>
  <si>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</si>
  <si>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</si>
  <si>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</si>
  <si>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</si>
  <si>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</si>
  <si>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</si>
  <si>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</si>
  <si>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</si>
  <si>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</si>
  <si>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</si>
  <si>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</si>
  <si>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</si>
  <si>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</si>
  <si>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</si>
  <si>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</si>
  <si>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</si>
  <si>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</si>
  <si>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</si>
  <si>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</si>
  <si>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</si>
  <si>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</si>
  <si>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</si>
  <si>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</si>
  <si>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</si>
  <si>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</si>
  <si>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</si>
  <si>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</si>
  <si>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</si>
  <si>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</si>
  <si>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</si>
  <si>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</si>
  <si>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</si>
  <si>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</si>
  <si>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</si>
  <si>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</si>
  <si>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</si>
  <si>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</si>
  <si>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</si>
  <si>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</si>
  <si>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</si>
  <si>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</si>
  <si>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</si>
  <si>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Residentes</t>
  </si>
  <si>
    <t>Total residentes</t>
  </si>
  <si>
    <t>No residentes</t>
  </si>
  <si>
    <t>Total no residentes</t>
  </si>
  <si>
    <t>Total estancia media</t>
  </si>
  <si>
    <t xml:space="preserve">País </t>
  </si>
  <si>
    <t>de nacionalidad</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</si>
  <si>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</si>
  <si>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</si>
  <si>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</si>
  <si>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</si>
  <si>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</si>
  <si>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</si>
  <si>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</si>
  <si>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</si>
  <si>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</si>
  <si>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</si>
  <si>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</si>
  <si>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</si>
  <si>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</si>
  <si>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</si>
  <si>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</si>
  <si>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</si>
  <si>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</si>
  <si>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</si>
  <si>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</si>
  <si>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</si>
  <si>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</si>
  <si>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</si>
  <si>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</si>
  <si>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</si>
  <si>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</si>
  <si>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</si>
  <si>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</si>
  <si>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</si>
  <si>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</si>
  <si>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</si>
  <si>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</si>
  <si>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</si>
  <si>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</si>
  <si>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</si>
  <si>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</si>
  <si>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</si>
  <si>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</si>
  <si>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</si>
  <si>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</si>
  <si>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</si>
  <si>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</si>
  <si>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</si>
  <si>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</si>
  <si>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</si>
  <si>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</si>
  <si>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</si>
  <si>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</si>
  <si>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</si>
  <si>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</si>
  <si>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</si>
  <si>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</si>
  <si>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</si>
  <si>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</si>
  <si>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</si>
  <si>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</si>
  <si>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</si>
  <si>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</si>
  <si>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</si>
  <si>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Tasa de crecimiento 2012-2013-2014</t>
  </si>
  <si>
    <t>Llegada de Turistas a Quito</t>
  </si>
  <si>
    <t>ARRIVING 2015</t>
  </si>
  <si>
    <t>Total 2015</t>
  </si>
  <si>
    <t>VARIATION 2015-2014</t>
  </si>
  <si>
    <t>CASINOS Y SALAS DE JUEGO</t>
  </si>
  <si>
    <t>RECREACIÓN DIVERSIÓN Y ESPARCIMIENTO</t>
  </si>
  <si>
    <t>TRANSPORTE TURISTICO</t>
  </si>
  <si>
    <t xml:space="preserve">Capacidad Hotelera por habitaciones - totales </t>
  </si>
  <si>
    <t>PRIMERA</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</si>
  <si>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</si>
  <si>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</si>
  <si>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</si>
  <si>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</si>
  <si>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</si>
  <si>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</si>
  <si>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</si>
  <si>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</si>
  <si>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</si>
  <si>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</si>
  <si>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</si>
  <si>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</si>
  <si>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</si>
  <si>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</si>
  <si>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</si>
  <si>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</si>
  <si>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</si>
  <si>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</si>
  <si>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</si>
  <si>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</si>
  <si>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</si>
  <si>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</si>
  <si>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</si>
  <si>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</si>
  <si>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</si>
  <si>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</si>
  <si>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</si>
  <si>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</si>
  <si>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</si>
  <si>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</si>
  <si>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</si>
  <si>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</si>
  <si>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</si>
  <si>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</si>
  <si>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Totales</t>
  </si>
  <si>
    <t>TIPO</t>
  </si>
  <si>
    <t>2008</t>
  </si>
  <si>
    <t>2009</t>
  </si>
  <si>
    <t>2010</t>
  </si>
  <si>
    <t>2011</t>
  </si>
  <si>
    <t>2012</t>
  </si>
  <si>
    <t>2013</t>
  </si>
  <si>
    <t>2014</t>
  </si>
  <si>
    <t>Etiquetas de fila</t>
  </si>
  <si>
    <t xml:space="preserve">ALIMENTOS Y BEBIDAS </t>
  </si>
  <si>
    <t>2014 Global Destination Cities Index</t>
  </si>
  <si>
    <t>MasterCard</t>
  </si>
  <si>
    <t>a mayo</t>
  </si>
  <si>
    <t>a junio</t>
  </si>
  <si>
    <t>a julio</t>
  </si>
  <si>
    <t>a agosto</t>
  </si>
  <si>
    <t>a octubre</t>
  </si>
  <si>
    <t xml:space="preserve">a noviembre </t>
  </si>
  <si>
    <t xml:space="preserve">a diciembre </t>
  </si>
  <si>
    <t>a septiembre</t>
  </si>
  <si>
    <t>a abril</t>
  </si>
  <si>
    <t>a marzo</t>
  </si>
  <si>
    <t>a febrero</t>
  </si>
  <si>
    <t>2015 Global Destination Cities Index</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</si>
  <si>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</si>
  <si>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</si>
  <si>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</si>
  <si>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</si>
  <si>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</si>
  <si>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</si>
  <si>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</si>
  <si>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</si>
  <si>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</si>
  <si>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</si>
  <si>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</si>
  <si>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</si>
  <si>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</si>
  <si>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</si>
  <si>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</si>
  <si>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</si>
  <si>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</si>
  <si>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</si>
  <si>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</si>
  <si>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</si>
  <si>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</si>
  <si>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</si>
  <si>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</si>
  <si>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</si>
  <si>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</si>
  <si>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</si>
  <si>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</si>
  <si>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</si>
  <si>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</si>
  <si>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</si>
  <si>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</si>
  <si>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</si>
  <si>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</si>
  <si>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</si>
  <si>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</si>
  <si>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</si>
  <si>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</si>
  <si>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</si>
  <si>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</si>
  <si>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</si>
  <si>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</si>
  <si>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</si>
  <si>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</si>
  <si>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</si>
  <si>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</si>
  <si>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</si>
  <si>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</si>
  <si>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</si>
  <si>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</si>
  <si>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</si>
  <si>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</si>
  <si>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</si>
  <si>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</si>
  <si>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</si>
  <si>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</si>
  <si>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</si>
  <si>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</si>
  <si>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</si>
  <si>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</si>
  <si>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</si>
  <si>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</si>
  <si>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</si>
  <si>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</si>
  <si>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</si>
  <si>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</si>
  <si>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</si>
  <si>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</si>
  <si>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PARTICIPACIÓN 2014 AGOSTO</t>
  </si>
  <si>
    <t>Eventos internacionales*/</t>
  </si>
  <si>
    <t>participación 2014</t>
  </si>
  <si>
    <t>Con Familia</t>
  </si>
  <si>
    <t>Con amigos</t>
  </si>
  <si>
    <t>Ninguno</t>
  </si>
  <si>
    <t xml:space="preserve">2012 junio </t>
  </si>
  <si>
    <t xml:space="preserve">2014 agosto </t>
  </si>
  <si>
    <t>Vivienda privada "hotel" (vía internet)</t>
  </si>
  <si>
    <t>% de crecimiento
2014-2015</t>
  </si>
  <si>
    <t>Suma de Visitas de turistas</t>
  </si>
  <si>
    <t>1. CENTRO HISTÓRICO</t>
  </si>
  <si>
    <t>2. LA MARISCAL</t>
  </si>
  <si>
    <t>3. LOS MIRADORES</t>
  </si>
  <si>
    <t>4. IGLESIAS, MUSEOS, TEATROS</t>
  </si>
  <si>
    <t>5. PARQUES</t>
  </si>
  <si>
    <t>7. BARRIOS TRADICIONALES</t>
  </si>
  <si>
    <t>8. CENTROS DEPORTIVOS</t>
  </si>
  <si>
    <t>LUGAR GENERAL</t>
  </si>
  <si>
    <t>Lugar visitado en Quito 
ESPECIFICO</t>
  </si>
  <si>
    <t>CASA DE HUESPEDES</t>
  </si>
  <si>
    <t>categoría</t>
  </si>
  <si>
    <t>-</t>
  </si>
  <si>
    <t>2015 agosto</t>
  </si>
  <si>
    <t>Fuente: Sistema Institucional de Indicadores Turísticos - 2015: perfil agosto 2015</t>
  </si>
  <si>
    <t>2014-2015</t>
  </si>
  <si>
    <t>Participación 2015</t>
  </si>
  <si>
    <t>1 La Ronda</t>
  </si>
  <si>
    <t>1 Centro histórico</t>
  </si>
  <si>
    <t>1 Compañía de Jesús</t>
  </si>
  <si>
    <t>1 La Catedral</t>
  </si>
  <si>
    <t>1 San Francisco</t>
  </si>
  <si>
    <t>1 La Basílica</t>
  </si>
  <si>
    <t>1 Museo de la Ciudad</t>
  </si>
  <si>
    <t>1 Plaza de la Independencia / Palacio de Carondelet</t>
  </si>
  <si>
    <t>1 Museo del agua</t>
  </si>
  <si>
    <t>1 Museo de cera</t>
  </si>
  <si>
    <t>1 Museo del Banco Central del Ecuador</t>
  </si>
  <si>
    <t>1 La Merced</t>
  </si>
  <si>
    <t>1 Plaza del Teatro</t>
  </si>
  <si>
    <t>1 Sto. Domingo</t>
  </si>
  <si>
    <t>1 Teatro Sucre</t>
  </si>
  <si>
    <t>1 El Carmen Alto</t>
  </si>
  <si>
    <t>1 Cima de la Libertad</t>
  </si>
  <si>
    <t>Otro lugar</t>
  </si>
  <si>
    <t>2 Plaza Foch - zona rosa</t>
  </si>
  <si>
    <t>2 La Mariscal</t>
  </si>
  <si>
    <t>2 Mercado artesanal</t>
  </si>
  <si>
    <t>2 Otro lugar</t>
  </si>
  <si>
    <t>3 Teleférico</t>
  </si>
  <si>
    <t>3 El Panecillo</t>
  </si>
  <si>
    <t>3 Itchimbia</t>
  </si>
  <si>
    <t>3 Guápulo</t>
  </si>
  <si>
    <t>3 Otro</t>
  </si>
  <si>
    <t>4 Museo Guayasamín / Capilla del Hombre</t>
  </si>
  <si>
    <t>4 Otros museos</t>
  </si>
  <si>
    <t>4 Otras iglesias</t>
  </si>
  <si>
    <t>4 Casa de la Cultura</t>
  </si>
  <si>
    <t>4 Intiñán</t>
  </si>
  <si>
    <t>5 El Ejido</t>
  </si>
  <si>
    <t>5 La Carolina</t>
  </si>
  <si>
    <t>5 Jardín Botánico</t>
  </si>
  <si>
    <t>5 Parque Metropolitano</t>
  </si>
  <si>
    <t>5 Otros parque y plazas</t>
  </si>
  <si>
    <t>6. CENTROS DEPORTIVOS</t>
  </si>
  <si>
    <t>6 Estadio Atahualpa</t>
  </si>
  <si>
    <t>6 Coliseo Rumiñahui</t>
  </si>
  <si>
    <t>6 Estadio de Liga</t>
  </si>
  <si>
    <t>6 Otros centros deportivos</t>
  </si>
  <si>
    <t>6 Cines</t>
  </si>
  <si>
    <t>7 Villaflora</t>
  </si>
  <si>
    <t>7 San Marcos</t>
  </si>
  <si>
    <t>7 La Floresta</t>
  </si>
  <si>
    <t>7 Otros barrios</t>
  </si>
  <si>
    <t>8. OTROS LUGARES NE</t>
  </si>
  <si>
    <t>8 Otros Lugares NE</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</si>
  <si>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</si>
  <si>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</si>
  <si>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</si>
  <si>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</si>
  <si>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</si>
  <si>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</si>
  <si>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</si>
  <si>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</si>
  <si>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</si>
  <si>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</si>
  <si>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</si>
  <si>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</si>
  <si>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</si>
  <si>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</si>
  <si>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</si>
  <si>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</si>
  <si>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</si>
  <si>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</si>
  <si>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</si>
  <si>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</si>
  <si>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</si>
  <si>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</si>
  <si>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</si>
  <si>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</si>
  <si>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</si>
  <si>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</si>
  <si>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</si>
  <si>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</si>
  <si>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</si>
  <si>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</si>
  <si>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</si>
  <si>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</si>
  <si>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</si>
  <si>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</si>
  <si>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</si>
  <si>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</si>
  <si>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</si>
  <si>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</si>
  <si>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</si>
  <si>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</si>
  <si>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</si>
  <si>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</si>
  <si>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</si>
  <si>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</si>
  <si>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</si>
  <si>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</si>
  <si>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</si>
  <si>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</si>
  <si>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</si>
  <si>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</si>
  <si>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</si>
  <si>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</si>
  <si>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</si>
  <si>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</si>
  <si>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</si>
  <si>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</si>
  <si>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</si>
  <si>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</si>
  <si>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</si>
  <si>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</si>
  <si>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</si>
  <si>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</si>
  <si>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</si>
  <si>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</si>
  <si>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</si>
  <si>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</si>
  <si>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</si>
  <si>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</si>
  <si>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</si>
  <si>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</si>
  <si>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</si>
  <si>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</si>
  <si>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</si>
  <si>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</si>
  <si>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</si>
  <si>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</si>
  <si>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</si>
  <si>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</si>
  <si>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</si>
  <si>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</si>
  <si>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</si>
  <si>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</si>
  <si>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</si>
  <si>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</si>
  <si>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</si>
  <si>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</si>
  <si>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</si>
  <si>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</si>
  <si>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</si>
  <si>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</si>
  <si>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</si>
  <si>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</si>
  <si>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</si>
  <si>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</si>
  <si>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</si>
  <si>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</si>
  <si>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r>
      <t xml:space="preserve">Datos sugeridos “estancia y gasto recomendados” (sugeridos).- han sido calculados agregando la estancia corta e intermedia (1 a 15 días) de los turistas que visitan Quito por el motivo </t>
    </r>
    <r>
      <rPr>
        <b/>
        <sz val="11"/>
        <color theme="1"/>
        <rFont val="Calibri"/>
        <family val="2"/>
        <scheme val="minor"/>
      </rPr>
      <t>ocio, recreo y vacaciones</t>
    </r>
    <r>
      <rPr>
        <sz val="11"/>
        <color theme="1"/>
        <rFont val="Calibri"/>
        <family val="2"/>
        <scheme val="minor"/>
      </rPr>
      <t>, que representan mejor, la masa crítica de turistas que visitan la ciudad.</t>
    </r>
  </si>
  <si>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</si>
  <si>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</si>
  <si>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</si>
  <si>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</si>
  <si>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</si>
  <si>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</si>
  <si>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</si>
  <si>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</si>
  <si>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</si>
  <si>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</si>
  <si>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</si>
  <si>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Total Mercados Prioritarios Trade</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</si>
  <si>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</si>
  <si>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</si>
  <si>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</si>
  <si>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</si>
  <si>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</si>
  <si>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</si>
  <si>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</si>
  <si>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</si>
  <si>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</si>
  <si>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</si>
  <si>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</si>
  <si>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</si>
  <si>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</si>
  <si>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</si>
  <si>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</si>
  <si>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</si>
  <si>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</si>
  <si>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</si>
  <si>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</si>
  <si>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</si>
  <si>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</si>
  <si>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</si>
  <si>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</si>
  <si>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</si>
  <si>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</si>
  <si>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</si>
  <si>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</si>
  <si>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</si>
  <si>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</si>
  <si>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</si>
  <si>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</si>
  <si>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</si>
  <si>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</si>
  <si>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</si>
  <si>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</si>
  <si>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</si>
  <si>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</si>
  <si>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</si>
  <si>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</si>
  <si>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</si>
  <si>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</si>
  <si>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</si>
  <si>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</si>
  <si>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y=</t>
  </si>
  <si>
    <t>+</t>
  </si>
  <si>
    <t>Llegadas</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</si>
  <si>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</si>
  <si>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</si>
  <si>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</si>
  <si>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</si>
  <si>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2015</t>
  </si>
  <si>
    <t>2016</t>
  </si>
  <si>
    <t>participacion 2015</t>
  </si>
  <si>
    <t>participacion 2016</t>
  </si>
  <si>
    <t>% de crecimiento
2015-2016</t>
  </si>
  <si>
    <t>Establecimientos Turísticos de Quito - total urbanos y rurales</t>
  </si>
  <si>
    <t>Incremento de HABITACIONES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</si>
  <si>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</si>
  <si>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</si>
  <si>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</si>
  <si>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</si>
  <si>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</si>
  <si>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</si>
  <si>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</si>
  <si>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</si>
  <si>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</si>
  <si>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</si>
  <si>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CATEGORIA</t>
  </si>
  <si>
    <t>8dic2015- base datos CALIDAD</t>
  </si>
  <si>
    <t>TRANSPORTE TERRESTRE Turístico</t>
  </si>
  <si>
    <t>Fuente: Dirección de calidad y asistencia técnica 2015: 8dic2015; 2016.- 07 dic2016</t>
  </si>
  <si>
    <t>7dic2016- base datos CALIDAD</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</si>
  <si>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</si>
  <si>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</si>
  <si>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</si>
  <si>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</si>
  <si>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</si>
  <si>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</si>
  <si>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</si>
  <si>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</si>
  <si>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</si>
  <si>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</si>
  <si>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</si>
  <si>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</si>
  <si>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</si>
  <si>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2016</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</si>
  <si>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</si>
  <si>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</si>
  <si>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</si>
  <si>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</si>
  <si>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</si>
  <si>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</si>
  <si>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</si>
  <si>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</si>
  <si>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</si>
  <si>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</si>
  <si>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</si>
  <si>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</si>
  <si>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geográfico y categoría</t>
  </si>
  <si>
    <t>Ir a "Contenido"</t>
  </si>
  <si>
    <t>ene -dic</t>
  </si>
  <si>
    <t>Centro</t>
  </si>
  <si>
    <t>C</t>
  </si>
  <si>
    <t>Centro histórico</t>
  </si>
  <si>
    <t>CH</t>
  </si>
  <si>
    <t xml:space="preserve">La Mariscal </t>
  </si>
  <si>
    <t>M1</t>
  </si>
  <si>
    <t>Santa Clara</t>
  </si>
  <si>
    <t>M2</t>
  </si>
  <si>
    <t>La Floresta</t>
  </si>
  <si>
    <t>M3</t>
  </si>
  <si>
    <t>Norte</t>
  </si>
  <si>
    <t>N</t>
  </si>
  <si>
    <t>Sur</t>
  </si>
  <si>
    <t>S</t>
  </si>
  <si>
    <t>9 Indicadores por sector geográfico de la ciudad</t>
  </si>
  <si>
    <t xml:space="preserve">9.2 Tarifa promedio por habitación ocupada </t>
  </si>
  <si>
    <t>(US Dólares)</t>
  </si>
  <si>
    <t>por sector y categoría</t>
  </si>
  <si>
    <t xml:space="preserve">A.  por  categoría  </t>
  </si>
  <si>
    <t>Total Lujo</t>
  </si>
  <si>
    <t>Total Primera</t>
  </si>
  <si>
    <t>Total Segunda</t>
  </si>
  <si>
    <t>9.3 Tarifa promedio por habitación disponible "revpar"</t>
  </si>
  <si>
    <t>Por categoría y sector</t>
  </si>
  <si>
    <t>Total sector</t>
  </si>
  <si>
    <t>9  Indicadores por sector geográfico de la ciudad</t>
  </si>
  <si>
    <t>9.4 Estancia media, por origen, noches por llegada</t>
  </si>
  <si>
    <t>y sector geográfico</t>
  </si>
  <si>
    <t>Por sector</t>
  </si>
  <si>
    <t xml:space="preserve">   Total EM residentes</t>
  </si>
  <si>
    <t xml:space="preserve">Centro </t>
  </si>
  <si>
    <t xml:space="preserve"> Total EM no residente</t>
  </si>
  <si>
    <t xml:space="preserve"> Total  estancia media</t>
  </si>
  <si>
    <t>Tasa de Ocupación  Hotelera por sector (%)</t>
  </si>
  <si>
    <t>Fuente</t>
  </si>
  <si>
    <t>Participación 2017</t>
  </si>
  <si>
    <t>Porcentajes de Ocupación DMQ</t>
  </si>
  <si>
    <t>% ocupación mensual</t>
  </si>
  <si>
    <t>Febrero</t>
  </si>
  <si>
    <t>Enero</t>
  </si>
  <si>
    <t xml:space="preserve">% ocupación acumulada </t>
  </si>
  <si>
    <t xml:space="preserve">a Febrero </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</si>
  <si>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</si>
  <si>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</si>
  <si>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</si>
  <si>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</si>
  <si>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</si>
  <si>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</si>
  <si>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</si>
  <si>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</si>
  <si>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</si>
  <si>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</si>
  <si>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</si>
  <si>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</si>
  <si>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9. Indicadores por sector geográfico de la ciudad (1)</t>
  </si>
  <si>
    <t>META MC: 650,000</t>
  </si>
  <si>
    <t>Tasa de Ocupación  Hotelera por Categoría  (%) - Lujo</t>
  </si>
  <si>
    <t>Tasa de Ocupación  Hotelera por Categoría  (%) - Primera</t>
  </si>
  <si>
    <t>Tasa de Ocupación  Hotelera por Categoría  (%) - Segunda</t>
  </si>
  <si>
    <t>ESTADÍSTICAS ICCA 2016</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</si>
  <si>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</si>
  <si>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</si>
  <si>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</si>
  <si>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</si>
  <si>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</si>
  <si>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</si>
  <si>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</si>
  <si>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</si>
  <si>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</si>
  <si>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</si>
  <si>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</si>
  <si>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</si>
  <si>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</si>
  <si>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</si>
  <si>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Nro.</t>
  </si>
  <si>
    <t>Ecuador tiene la posición Nr. 11 como país en América Latina siendo los principales destinos:</t>
  </si>
  <si>
    <t>PAIS</t>
  </si>
  <si>
    <t>Mexico </t>
  </si>
  <si>
    <t>Chile </t>
  </si>
  <si>
    <t>Panama</t>
  </si>
  <si>
    <t>Republica Dominicana</t>
  </si>
  <si>
    <t>Costa Rica </t>
  </si>
  <si>
    <r>
      <t>En</t>
    </r>
    <r>
      <rPr>
        <b/>
        <sz val="11"/>
        <color theme="1"/>
        <rFont val="Calibri"/>
        <family val="2"/>
        <scheme val="minor"/>
      </rPr>
      <t xml:space="preserve"> América del Sur</t>
    </r>
    <r>
      <rPr>
        <sz val="10"/>
        <color theme="1"/>
        <rFont val="Calibri"/>
        <family val="2"/>
        <scheme val="minor"/>
      </rPr>
      <t xml:space="preserve"> se compite con 34 ciudades siendo las principales las siguientes:</t>
    </r>
  </si>
  <si>
    <r>
      <t xml:space="preserve">A Nivel </t>
    </r>
    <r>
      <rPr>
        <b/>
        <sz val="11"/>
        <color theme="1"/>
        <rFont val="Calibri"/>
        <family val="2"/>
        <scheme val="minor"/>
      </rPr>
      <t>América Latina</t>
    </r>
    <r>
      <rPr>
        <sz val="10"/>
        <color theme="1"/>
        <rFont val="Calibri"/>
        <family val="2"/>
        <scheme val="minor"/>
      </rPr>
      <t>, se mantiene también en la posición Nr. 13 compitiendo con 49 ciudades siendo las principales</t>
    </r>
  </si>
  <si>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</si>
  <si>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</si>
  <si>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</si>
  <si>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</si>
  <si>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</si>
  <si>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</si>
  <si>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</si>
  <si>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</si>
  <si>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</si>
  <si>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</si>
  <si>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</si>
  <si>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</si>
  <si>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</si>
  <si>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</si>
  <si>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</si>
  <si>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</si>
  <si>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</si>
  <si>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</si>
  <si>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</si>
  <si>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</si>
  <si>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</si>
  <si>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</si>
  <si>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</si>
  <si>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</si>
  <si>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</si>
  <si>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</si>
  <si>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</si>
  <si>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</si>
  <si>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</si>
  <si>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</si>
  <si>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</si>
  <si>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</si>
  <si>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</si>
  <si>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</si>
  <si>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</si>
  <si>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</si>
  <si>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</si>
  <si>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</si>
  <si>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</si>
  <si>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</si>
  <si>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</si>
  <si>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</si>
  <si>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</si>
  <si>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</si>
  <si>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</si>
  <si>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</si>
  <si>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</si>
  <si>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</si>
  <si>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</si>
  <si>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</si>
  <si>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</si>
  <si>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</si>
  <si>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</si>
  <si>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</si>
  <si>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</si>
  <si>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</si>
  <si>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</si>
  <si>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</si>
  <si>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</si>
  <si>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</si>
  <si>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</si>
  <si>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</si>
  <si>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</si>
  <si>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</si>
  <si>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</si>
  <si>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</si>
  <si>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</si>
  <si>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</si>
  <si>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</si>
  <si>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</si>
  <si>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</si>
  <si>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</si>
  <si>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</si>
  <si>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</si>
  <si>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</si>
  <si>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</si>
  <si>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</si>
  <si>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</si>
  <si>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</si>
  <si>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</si>
  <si>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</si>
  <si>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</si>
  <si>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</si>
  <si>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</si>
  <si>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</si>
  <si>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</si>
  <si>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</si>
  <si>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</si>
  <si>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</si>
  <si>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</si>
  <si>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</si>
  <si>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</si>
  <si>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</si>
  <si>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</si>
  <si>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</si>
  <si>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</si>
  <si>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</si>
  <si>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</si>
  <si>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</si>
  <si>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</si>
  <si>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</si>
  <si>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</si>
  <si>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</si>
  <si>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</si>
  <si>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</si>
  <si>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</si>
  <si>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</si>
  <si>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</si>
  <si>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mar 2016-feb 2017</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</si>
  <si>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</si>
  <si>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</si>
  <si>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</si>
  <si>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</si>
  <si>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</si>
  <si>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</si>
  <si>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</si>
  <si>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</si>
  <si>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</si>
  <si>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2016 Global Destination Cities Index</t>
  </si>
  <si>
    <t>FINAL-Global-Destination-Cities-2016-Index-Report.pdf</t>
  </si>
  <si>
    <t>CHQ</t>
  </si>
  <si>
    <t>Diciembre</t>
  </si>
  <si>
    <t>META MC 2018: 670,000</t>
  </si>
  <si>
    <t xml:space="preserve">Fuente: Migración </t>
  </si>
  <si>
    <t>dato SEP 2017. Dir de Calidad</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</si>
  <si>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</si>
  <si>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</si>
  <si>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</si>
  <si>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</si>
  <si>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</si>
  <si>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</si>
  <si>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</si>
  <si>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</si>
  <si>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</si>
  <si>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</si>
  <si>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</si>
  <si>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</si>
  <si>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</si>
  <si>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</si>
  <si>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</si>
  <si>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</si>
  <si>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</si>
  <si>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31dic2017- base datos CALIDAD</t>
  </si>
  <si>
    <t>LODGE</t>
  </si>
  <si>
    <t>HACIENDA TURISTICA</t>
  </si>
  <si>
    <t>CAMPAMENTO TURISTICO</t>
  </si>
  <si>
    <t>Suma de 2017</t>
  </si>
  <si>
    <t>dato DIC 2017. Dir de Calidad</t>
  </si>
  <si>
    <t>participacion 2017</t>
  </si>
  <si>
    <t>% de crecimiento
2016-2017</t>
  </si>
  <si>
    <t>5 ESTRELLAS</t>
  </si>
  <si>
    <t>4 ESTRELLAS</t>
  </si>
  <si>
    <t>2 ESTRELLAS</t>
  </si>
  <si>
    <t>1 ESTRELLA</t>
  </si>
  <si>
    <t>CATEGORIA ÚNICA</t>
  </si>
  <si>
    <t>3 ESTRELLAS</t>
  </si>
  <si>
    <t>2017</t>
  </si>
  <si>
    <t>OPERACIÓN E INTERMEDIACIÓN TUR (AGENCIA DE VIAJES Y TURISMO)</t>
  </si>
  <si>
    <t>PLAZAS</t>
  </si>
  <si>
    <t>Fuente: Dirección de calidad y asistencia técnica 2015: 8dic2015; 2016.- 07 dic2016; ajustes 2012,2015, 2016 a SEP 2017; datos al 31 dic 2017 (email KP 02ene2018)</t>
  </si>
  <si>
    <t>Actividad</t>
  </si>
  <si>
    <t>Tipo</t>
  </si>
  <si>
    <t>Sector Turístico</t>
  </si>
  <si>
    <t>M1-MARISCAL 1</t>
  </si>
  <si>
    <t>QUITO</t>
  </si>
  <si>
    <t>S1-SUR</t>
  </si>
  <si>
    <t>TERCERA</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</si>
  <si>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</si>
  <si>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</si>
  <si>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</si>
  <si>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</si>
  <si>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</si>
  <si>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</si>
  <si>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</si>
  <si>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</si>
  <si>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</si>
  <si>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</si>
  <si>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</si>
  <si>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</si>
  <si>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</si>
  <si>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</si>
  <si>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</si>
  <si>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PENSIÓN</t>
  </si>
  <si>
    <t>CAMPAMENTO TURÍSTICO</t>
  </si>
  <si>
    <t>HACIENDA TURÍSTICA</t>
  </si>
  <si>
    <t>2018 (e)</t>
  </si>
  <si>
    <t>Metas Mi Ciudad 2018</t>
  </si>
  <si>
    <t>Participación mes 2018</t>
  </si>
  <si>
    <t>Número de establecimientos</t>
  </si>
  <si>
    <t>Incremento de PLAZAS</t>
  </si>
  <si>
    <t>Fuente: Dirección de calidad y asistencia técnica 03ene2018 - reporte catastro 2017.xls</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</si>
  <si>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</si>
  <si>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</si>
  <si>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</si>
  <si>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</si>
  <si>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</si>
  <si>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</si>
  <si>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</si>
  <si>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</si>
  <si>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</si>
  <si>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</si>
  <si>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</si>
  <si>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</si>
  <si>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</si>
  <si>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</si>
  <si>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</si>
  <si>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</si>
  <si>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</si>
  <si>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</si>
  <si>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</si>
  <si>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</si>
  <si>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</si>
  <si>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</si>
  <si>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</si>
  <si>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</si>
  <si>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</si>
  <si>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</si>
  <si>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 ESTABLECIMIENTOS</t>
  </si>
  <si>
    <t>Cumplimiento MC</t>
  </si>
  <si>
    <t xml:space="preserve">Variación </t>
  </si>
  <si>
    <t>% participación anual Mitad del Mundo</t>
  </si>
  <si>
    <t>ARRIVING 2018</t>
  </si>
  <si>
    <t>Total 2018</t>
  </si>
  <si>
    <t>VARIATION 2018-2017</t>
  </si>
  <si>
    <t>2017/2018 Domestic Arriving Data was not provided by DGAC yet so we considered it the same as the Domestic Departing passengers.</t>
  </si>
  <si>
    <t>2017/2018 International Arriving Data was based on a preliminary.</t>
  </si>
  <si>
    <t>Variación arribos internacionales 
2017-2018</t>
  </si>
  <si>
    <t>Variación arribos domésticos
2017-2018</t>
  </si>
  <si>
    <t>Variación arribos internacionales y domésticos
2017-2018</t>
  </si>
  <si>
    <t>COMPARISON 2017 / 2018</t>
  </si>
  <si>
    <t>Participacion 2016</t>
  </si>
  <si>
    <t>Migración ENE 2018</t>
  </si>
  <si>
    <t>2017 ENE</t>
  </si>
  <si>
    <t>Sitios más visitados en el DMQ</t>
  </si>
  <si>
    <t>Migración FEB 2018</t>
  </si>
  <si>
    <t xml:space="preserve">Variación acumulada % 
2017-2018 (e) </t>
  </si>
  <si>
    <t>https://www.google.com/maps/d/viewer?mid=1m6QlLr6r7xJkUbefu-SPxMqY2IzFPcNU&amp;ll=-0.17656373534363062%2C-78.3254002070313&amp;z=11</t>
  </si>
  <si>
    <t>mc 2017</t>
  </si>
  <si>
    <t>Migración MAR 2018</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</si>
  <si>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</si>
  <si>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</si>
  <si>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</si>
  <si>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</si>
  <si>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</si>
  <si>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</si>
  <si>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</si>
  <si>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</si>
  <si>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</si>
  <si>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</si>
  <si>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</si>
  <si>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2020 (e)</t>
  </si>
  <si>
    <t>2021 (e)</t>
  </si>
  <si>
    <t>2022 (e)</t>
  </si>
  <si>
    <t>2023 (e)</t>
  </si>
  <si>
    <t>2024 (e)</t>
  </si>
  <si>
    <t>2025 (e)</t>
  </si>
  <si>
    <t>Migración ABR 2018</t>
  </si>
  <si>
    <r>
      <t xml:space="preserve">2017 </t>
    </r>
    <r>
      <rPr>
        <b/>
        <vertAlign val="superscript"/>
        <sz val="11"/>
        <color rgb="FF000000"/>
        <rFont val="Calibri"/>
        <family val="2"/>
        <scheme val="minor"/>
      </rPr>
      <t>1/</t>
    </r>
  </si>
  <si>
    <t>Promedio diario (3 días)</t>
  </si>
  <si>
    <t>Llegadas (No residentes)</t>
  </si>
  <si>
    <r>
      <t>2017</t>
    </r>
    <r>
      <rPr>
        <sz val="11"/>
        <color rgb="FF000000"/>
        <rFont val="Calibri"/>
        <family val="2"/>
        <scheme val="minor"/>
      </rPr>
      <t xml:space="preserve"> </t>
    </r>
    <r>
      <rPr>
        <vertAlign val="superscript"/>
        <sz val="11"/>
        <color rgb="FF000000"/>
        <rFont val="Calibri"/>
        <family val="2"/>
        <scheme val="minor"/>
      </rPr>
      <t>1/</t>
    </r>
  </si>
  <si>
    <t>Promedio diario (7 días)</t>
  </si>
  <si>
    <t>Promedio diario (4 días)</t>
  </si>
  <si>
    <t>Fuente: EPMMOP 03MAY2018</t>
  </si>
  <si>
    <r>
      <t xml:space="preserve">2018 </t>
    </r>
    <r>
      <rPr>
        <b/>
        <vertAlign val="superscript"/>
        <sz val="11"/>
        <color rgb="FF000000"/>
        <rFont val="Calibri"/>
        <family val="2"/>
        <scheme val="minor"/>
      </rPr>
      <t>1/</t>
    </r>
  </si>
  <si>
    <r>
      <t>2018</t>
    </r>
    <r>
      <rPr>
        <sz val="11"/>
        <color rgb="FF000000"/>
        <rFont val="Calibri"/>
        <family val="2"/>
        <scheme val="minor"/>
      </rPr>
      <t xml:space="preserve"> </t>
    </r>
    <r>
      <rPr>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</si>
  <si>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</si>
  <si>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</si>
  <si>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</si>
  <si>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</si>
  <si>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Semana Santa: número de llegadas INTERNACIONALES a la ciudad de Quito</t>
  </si>
  <si>
    <t>Feriado de CARNAVAL: número de llegadas INTERNACIONALES a la ciudad de Quito</t>
  </si>
  <si>
    <t>Fuente: datos Migración</t>
  </si>
  <si>
    <t>VAR 2017-2018</t>
  </si>
  <si>
    <t>Feriado de CARNAVAL: número de llegadas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</si>
  <si>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</si>
  <si>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</si>
  <si>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</si>
  <si>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</si>
  <si>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</si>
  <si>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Migración MAY 2018</t>
  </si>
  <si>
    <t>Datos recopilados en Migración del puerto de entrada a Quito: Aeropuerto Mariscal Sucre</t>
  </si>
  <si>
    <t>Mes de alta demanda</t>
  </si>
  <si>
    <t>10 meses de muy alta demana histórica</t>
  </si>
  <si>
    <t>Datos estimados</t>
  </si>
  <si>
    <t>ajustado 19JUN2018</t>
  </si>
  <si>
    <t>Migración JUN 2018</t>
  </si>
  <si>
    <t>Migración JULIO 2018</t>
  </si>
  <si>
    <t>Migración AGO 2018</t>
  </si>
  <si>
    <t>Clave</t>
  </si>
  <si>
    <t xml:space="preserve">Variación # turistas mes
2017-2018 (e) </t>
  </si>
  <si>
    <t xml:space="preserve">Variación % mes 
2017-2018 (e) </t>
  </si>
  <si>
    <t>2017 (estimado) total</t>
  </si>
  <si>
    <t>2018 (estimado) total</t>
  </si>
  <si>
    <t>DOMESTICO</t>
  </si>
  <si>
    <t xml:space="preserve">El 83 % llega a la ciudad por ser el destino escogido; para el resto, 17 %, se trata de un “paso obligado”. El 87 % de los viajeros selecciona Quito como destino, frente al 79 % de mujeres.
</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</si>
  <si>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</si>
  <si>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</si>
  <si>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</si>
  <si>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</si>
  <si>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</si>
  <si>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</si>
  <si>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</si>
  <si>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</si>
  <si>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</si>
  <si>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</si>
  <si>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</si>
  <si>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</si>
  <si>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</si>
  <si>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</si>
  <si>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</si>
  <si>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</si>
  <si>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</si>
  <si>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</si>
  <si>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Migración SEP 2018</t>
  </si>
  <si>
    <t>Suma de Plaza Habitaciones</t>
  </si>
  <si>
    <t>Suma de Habitaciones</t>
  </si>
  <si>
    <t>Plazas</t>
  </si>
  <si>
    <t>Hab</t>
  </si>
  <si>
    <t>Estimado</t>
  </si>
  <si>
    <t>FEMENINO</t>
  </si>
  <si>
    <t>INDEFINIDO</t>
  </si>
  <si>
    <t>MASCULINO</t>
  </si>
  <si>
    <t>ajustado: 05oct2018</t>
  </si>
  <si>
    <t>Feriado de Finados: número de llegadas INTERNACIONALES a la ciudad de Quito</t>
  </si>
  <si>
    <t>Feriado de Finados: número de llegadas a TERMINALES INTERPROVINCIALES a la ciudad de Quito</t>
  </si>
  <si>
    <t>Fuente: EPMMOP -----</t>
  </si>
  <si>
    <t>Promedio</t>
  </si>
  <si>
    <t>Feriado de FIESTAS DE QUITO: número de llegadas INTERNACIONALES a la ciudad de Quito</t>
  </si>
  <si>
    <t>Promedio diario (6 días)</t>
  </si>
  <si>
    <t>Feriado de FIESTAS DE QUITO: número de llegadas a TERMINALES INTERPROVINCIALES a la ciudad de Quito</t>
  </si>
  <si>
    <t>Migración OCT 2018</t>
  </si>
  <si>
    <t>Variación (e) 2016-2018</t>
  </si>
  <si>
    <t>2015-2014</t>
  </si>
  <si>
    <t>2016-2015</t>
  </si>
  <si>
    <t>2017-2016</t>
  </si>
  <si>
    <t>2108-2017</t>
  </si>
  <si>
    <t>2108-2019</t>
  </si>
  <si>
    <t>2108-2020</t>
  </si>
  <si>
    <t>2108-2021</t>
  </si>
  <si>
    <t>2108-2022</t>
  </si>
  <si>
    <t>2108-2023</t>
  </si>
  <si>
    <t>2108-2024</t>
  </si>
  <si>
    <t>2109-2018</t>
  </si>
  <si>
    <t xml:space="preserve">2019 (e) </t>
  </si>
  <si>
    <t>Variación al 2015-2014</t>
  </si>
  <si>
    <t>SID - CHQ</t>
  </si>
  <si>
    <t>Migración NOV 2018</t>
  </si>
  <si>
    <t>Fuente: EPMMOP Terminales of. 2640-GTE-DTP   SG4082  23NOV2018</t>
  </si>
  <si>
    <t>Metas Mi Ciudad 2019</t>
  </si>
  <si>
    <t>Fuente datos 2019</t>
  </si>
  <si>
    <t>ajustado el 11ENE2019</t>
  </si>
  <si>
    <t>ajustado el 11ENE2020</t>
  </si>
  <si>
    <t>ajustado el 11ENE2021</t>
  </si>
  <si>
    <t>Estimado anual 2019</t>
  </si>
  <si>
    <t>Variación 
2017-2018</t>
  </si>
  <si>
    <t>Variación  2018-2019</t>
  </si>
  <si>
    <t>ENE-FEB</t>
  </si>
  <si>
    <t>Participación 2018</t>
  </si>
  <si>
    <t xml:space="preserve">Participación 2019 (e) </t>
  </si>
  <si>
    <t xml:space="preserve">Variación # turistas mes
2018-2019 (e) </t>
  </si>
  <si>
    <t xml:space="preserve">Variación % mes 
2018-2019 (e) </t>
  </si>
  <si>
    <t xml:space="preserve">Variación acumulada % 
2018-2019 (e) </t>
  </si>
  <si>
    <t>2018-2019</t>
  </si>
  <si>
    <t>2019-2020</t>
  </si>
  <si>
    <t>2020-2021</t>
  </si>
  <si>
    <t>2021-2022</t>
  </si>
  <si>
    <t>2022-2023</t>
  </si>
  <si>
    <t>2023-2024</t>
  </si>
  <si>
    <t>2024-2025</t>
  </si>
  <si>
    <t>Migración DIC 2018</t>
  </si>
  <si>
    <t>META MC 2019: 715,000</t>
  </si>
  <si>
    <t xml:space="preserve">Participación 
x mes 2019 (e) </t>
  </si>
  <si>
    <t>El dato hace mención a las llegadas de Visitantes internacionales no residentes en EC</t>
  </si>
  <si>
    <t>Fuente: Sistema Institucional de Indicadores Turísticos - 2008-2018</t>
  </si>
  <si>
    <t>Gasto promedio Total</t>
  </si>
  <si>
    <t>Gasto promedio total * # turistas</t>
  </si>
  <si>
    <t>Dato 16ene2019 Dir. Calidad email</t>
  </si>
  <si>
    <t>2018</t>
  </si>
  <si>
    <t>2019</t>
  </si>
  <si>
    <t>Suma de 2018</t>
  </si>
  <si>
    <t>datos 2018 
Dir. CALIDAD
16ene2019</t>
  </si>
  <si>
    <t>Fuente: Dirección de calidad y asistencia técnica datos a 2018: email 16ene2019-base de datos</t>
  </si>
  <si>
    <t>mapas de planta turística:</t>
  </si>
  <si>
    <t>participacion 2018</t>
  </si>
  <si>
    <t>% de crecimiento
2017-2018</t>
  </si>
  <si>
    <t>Internacional No Operante en el País - Oficinas de representación o información</t>
  </si>
  <si>
    <t>Funiculares o Teleféricos por cabinas</t>
  </si>
  <si>
    <t>Tercera</t>
  </si>
  <si>
    <t># de HABITACIONES</t>
  </si>
  <si>
    <t>Capacidad Hotelera por habitaciones y Plazas DMQ</t>
  </si>
  <si>
    <t>Transporte Turístico en el DMQ</t>
  </si>
  <si>
    <t>Actividades Económicas Turísticas en el DMQ</t>
  </si>
  <si>
    <t>Establecimientos Turísticos en el DMQ - totales</t>
  </si>
  <si>
    <t xml:space="preserve">Establecimientos Turísticos en el DMQ distribución </t>
  </si>
  <si>
    <t>Cuenta de Registro Turístico</t>
  </si>
  <si>
    <t>Capacidad Hotelera por categorias</t>
  </si>
  <si>
    <t>Fuente: Dirección de calidad y asistencia técnica; datos a 2018: email MdV 16ene2019-base de datos (CATASTRO al 31 dic 2018,xls)</t>
  </si>
  <si>
    <t>Datos</t>
  </si>
  <si>
    <t>Capacidad Hotelera por Sectores DMQ</t>
  </si>
  <si>
    <t>Cuenta de N° REGISTRO TURÍSTICO</t>
  </si>
  <si>
    <t>Suma de NÚMERO HABITACIONES</t>
  </si>
  <si>
    <t>Suma de NÚMERO DE PLAZAS</t>
  </si>
  <si>
    <t>Capacidad Hotelera que pagan TASA de FACILIDADES TURISTICAS por categorias</t>
  </si>
  <si>
    <t>Capacidad Habitaciones 
5, 4 * y otros</t>
  </si>
  <si>
    <t>Capacidad HABITACIONES
 total en el DMQ</t>
  </si>
  <si>
    <t>Capacidad PLAZAS
 total en el DMQ</t>
  </si>
  <si>
    <t>Datos hoteleros del DMQ</t>
  </si>
  <si>
    <t>Capacidad 
Plazas 
5, 4 * y otros</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</si>
  <si>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</si>
  <si>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</si>
  <si>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</si>
  <si>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</si>
  <si>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</si>
  <si>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</si>
  <si>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</si>
  <si>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</si>
  <si>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</si>
  <si>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</si>
  <si>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</si>
  <si>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</si>
  <si>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</si>
  <si>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</si>
  <si>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</si>
  <si>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</si>
  <si>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</si>
  <si>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</si>
  <si>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Personas</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</si>
  <si>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</si>
  <si>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</si>
  <si>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</si>
  <si>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</si>
  <si>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</si>
  <si>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</si>
  <si>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</si>
  <si>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</si>
  <si>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</si>
  <si>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</si>
  <si>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</si>
  <si>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</si>
  <si>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</si>
  <si>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</si>
  <si>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</si>
  <si>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</si>
  <si>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</si>
  <si>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</si>
  <si>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</si>
  <si>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</si>
  <si>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</si>
  <si>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</si>
  <si>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</si>
  <si>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</si>
  <si>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</si>
  <si>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</si>
  <si>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</si>
  <si>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</si>
  <si>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</si>
  <si>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</si>
  <si>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</si>
  <si>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</si>
  <si>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</si>
  <si>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</si>
  <si>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</si>
  <si>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</si>
  <si>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</si>
  <si>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</si>
  <si>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</si>
  <si>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</si>
  <si>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</si>
  <si>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</si>
  <si>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</si>
  <si>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</si>
  <si>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</si>
  <si>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</si>
  <si>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</si>
  <si>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</si>
  <si>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</si>
  <si>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</si>
  <si>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</si>
  <si>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</si>
  <si>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</si>
  <si>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</si>
  <si>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</si>
  <si>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</si>
  <si>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</si>
  <si>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</si>
  <si>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</si>
  <si>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</si>
  <si>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</si>
  <si>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</si>
  <si>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</si>
  <si>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</si>
  <si>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</si>
  <si>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ACTIVIDAD</t>
  </si>
  <si>
    <t>HOMBRE</t>
  </si>
  <si>
    <t>MUJERES</t>
  </si>
  <si>
    <t>ALIMENTOS Y BEBIDAS</t>
  </si>
  <si>
    <t>CAFETERÍA</t>
  </si>
  <si>
    <t>FUENTE DE SODA</t>
  </si>
  <si>
    <t>OPERACIÓN E INTERMEDIACIÓN TURÍSTICA</t>
  </si>
  <si>
    <t>AGENCIAS DE SERVICIOS TURÍSTICOS</t>
  </si>
  <si>
    <t>RECREACIÓN, DIVERSIÓN Y ESPARCIMIENTO</t>
  </si>
  <si>
    <t>CENTRO DE RECREACIÓN TURÍSTICA</t>
  </si>
  <si>
    <t>DISCOTECA</t>
  </si>
  <si>
    <t>ORGANIZADOR DE EVENTOS</t>
  </si>
  <si>
    <t>PEÑA</t>
  </si>
  <si>
    <t>SALA DE BAILE</t>
  </si>
  <si>
    <t>SALA DE RECEPCIONES Y BANQUETES</t>
  </si>
  <si>
    <t>TRANSPORTE TURÍSTICO</t>
  </si>
  <si>
    <t>TRANSPORTE AÉREO</t>
  </si>
  <si>
    <t>TRANSPORTE TERRESTRE</t>
  </si>
  <si>
    <t>Suma de HOMBRE</t>
  </si>
  <si>
    <t>Suma de MUJERES</t>
  </si>
  <si>
    <t>Empleos Turísticos en el DMQ</t>
  </si>
  <si>
    <t>A</t>
  </si>
  <si>
    <t>B</t>
  </si>
  <si>
    <t>D</t>
  </si>
  <si>
    <t>E</t>
  </si>
  <si>
    <t>F</t>
  </si>
  <si>
    <t>G</t>
  </si>
  <si>
    <t>Areas protegidas</t>
  </si>
  <si>
    <t>Turistas del DMQ</t>
  </si>
  <si>
    <t>Actividades Económicas importantes</t>
  </si>
  <si>
    <t>H</t>
  </si>
  <si>
    <t>Habitantes</t>
  </si>
  <si>
    <t>INFORMACIÓN GENERAL</t>
  </si>
  <si>
    <t>USD (estimado) 2017</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</si>
  <si>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</si>
  <si>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</si>
  <si>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</si>
  <si>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</si>
  <si>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</si>
  <si>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</si>
  <si>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</si>
  <si>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http://servicios.turismo.gob.ec/index.php/turismo-cifras </t>
  </si>
  <si>
    <t>Fuente: Mintur; Turismo en cifras</t>
  </si>
  <si>
    <t xml:space="preserve">http://areasprotegidas.ambiente.gob.ec/en/info-snap </t>
  </si>
  <si>
    <t>Fuente: Min. Ambiente</t>
  </si>
  <si>
    <t>Fuente: Quito Turismo; Dirección de Desarrollo</t>
  </si>
  <si>
    <t>Fuente: Quito Turismo; Dirección de Calidad Catastro 2018</t>
  </si>
  <si>
    <t>Fuente: Mintur; Análisis Macro Económico; Consumo Turístico (% del PIB)</t>
  </si>
  <si>
    <t># días</t>
  </si>
  <si>
    <t>Estadía promedio en ciudad del turismo de recreación en estancia corta y media (1 a 15 días) Visitante no residente ingresado por aeropuerto</t>
  </si>
  <si>
    <t>3. Pachijal
4. Yungilla
5.Cerro Puntas</t>
  </si>
  <si>
    <t xml:space="preserve">6.Corredor Ecológico del Oso </t>
  </si>
  <si>
    <t>kilómetros cuadrados (38% del territorio del DMQ)</t>
  </si>
  <si>
    <t>TOTAL ciudad QT</t>
  </si>
  <si>
    <t>Datos estimados QT</t>
  </si>
  <si>
    <t>MINTUR</t>
  </si>
  <si>
    <t>QT</t>
  </si>
  <si>
    <t>QT estimado</t>
  </si>
  <si>
    <t>9% de superficie total DMQ es zona urbana</t>
  </si>
  <si>
    <t>QUITO</t>
    <phoneticPr fontId="21"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</si>
  <si>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</si>
  <si>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</si>
  <si>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</si>
  <si>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</si>
  <si>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</si>
  <si>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</si>
  <si>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</si>
  <si>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</si>
  <si>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</si>
  <si>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10. Alojamiento y servicios de comida   2,4%</t>
  </si>
  <si>
    <t>11. Agricultura, ganadería, silvicultura y pesca   1,7%</t>
  </si>
  <si>
    <t>12. Suministro de electricidad y de agua   1,4%</t>
  </si>
  <si>
    <t>13. Explotación de minas y canteras   0,5%</t>
  </si>
  <si>
    <t>Principales actividades en orden de importancia en el DMQ. Las actividades económicas prinicipales coinciden para todo el país</t>
  </si>
  <si>
    <t>DATOS TURÍSTICOS DE QUITO</t>
  </si>
  <si>
    <t>Fuente: Datos Sistema Indicadores UIO TUR. 2017</t>
    <phoneticPr fontId="21" type="noConversion"/>
  </si>
  <si>
    <t>Fuente: Datos Sistema Indicadores UIO TUR. 2017</t>
    <phoneticPr fontId="21" type="noConversion"/>
  </si>
  <si>
    <t>Mitad del Mundo, (86%) Centro histórico(67%), Teleférico(12%), La Mariscal(12%), El Panecillo(11%), La Ronda(9%), Iglesias(11%)</t>
    <phoneticPr fontId="21" type="noConversion"/>
  </si>
  <si>
    <t>Dato QT - SIIT 2018 (proyección a Dic 2018)</t>
  </si>
  <si>
    <t>Fuente: Quito Turismo; Dirección de Calidad Catastro 2018. CATASTRO ACTUALIZADO AL 31 DICIEMBRE 2018</t>
    <phoneticPr fontId="21" type="noConversion"/>
  </si>
  <si>
    <t>%</t>
    <phoneticPr fontId="21" type="noConversion"/>
  </si>
  <si>
    <t xml:space="preserve">Porcentaje </t>
  </si>
  <si>
    <t>Total Establecimientos catastrados</t>
  </si>
  <si>
    <t>Capacidad Hotelera en el DMQ</t>
  </si>
  <si>
    <t>Número de establecimientos de alojamiento en el DMQ</t>
  </si>
  <si>
    <t>TOTAL de PLAZAS</t>
    <phoneticPr fontId="21" type="noConversion"/>
  </si>
  <si>
    <t>TOTAL de HABITACIONES</t>
  </si>
  <si>
    <t>Fuente: Quito Turismo; Dirección de Calidad Catastro 2018. CATASTRO ACTUALIZADO AL 31 DICIEMBRE 2018</t>
  </si>
  <si>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t>
    </r>
  </si>
  <si>
    <r>
      <t xml:space="preserve">22. Reserva Ecológica Mache Chindul
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</si>
  <si>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t>38% DEL TERRITORIO DEL DMQ ES AREA PROTEGIDA.</t>
  </si>
  <si>
    <t>n/a</t>
  </si>
  <si>
    <t xml:space="preserve">1. Reserva de Biósfera del Chocó Andino
2. Mashpi-Guaycuyacu-Sahuangal  </t>
  </si>
  <si>
    <t>Kilómetros cuadrados</t>
  </si>
  <si>
    <t>DISTRITO METROPOLITANO DE QUITO</t>
  </si>
  <si>
    <t>Fuente dato UIO: Atlas Ambiental 2016 - Sec. Ambiente Alcaldía DMQ</t>
  </si>
  <si>
    <t xml:space="preserve">Fuente dato UIO: http://www.ecuadorencifras.gob.ec/proyecciones-poblacionales/  </t>
  </si>
  <si>
    <t>Datos ajustados a 21ene2019. ACTUALIZACIÓN DEBIDO A REVISIÓN DE DATOS EN WEB MINTUR
Fuente: Mintur; HQM; SIIT QT</t>
  </si>
  <si>
    <t>Mintur: 
http://servicios.turismo.gob.ec/index.php/turismo-cifras/2018-09-18-21-11-17/indicadores-de-alojamiento</t>
  </si>
  <si>
    <t>Número de establecimientos TASA</t>
  </si>
  <si>
    <t xml:space="preserve">TASA FACILIDADES TURÍSTICAS
Capacidad Hotelera establecientos </t>
  </si>
  <si>
    <t>Total HABITACIONES</t>
  </si>
  <si>
    <t>Total PLAZAS</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</si>
  <si>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</si>
  <si>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</si>
  <si>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</si>
  <si>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</si>
  <si>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</si>
  <si>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</si>
  <si>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</si>
  <si>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</si>
  <si>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</si>
  <si>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</si>
  <si>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</si>
  <si>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</si>
  <si>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</si>
  <si>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</si>
  <si>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</si>
  <si>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</si>
  <si>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</si>
  <si>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</si>
  <si>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</si>
  <si>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</si>
  <si>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</si>
  <si>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ene-ene</t>
  </si>
  <si>
    <t>Fuente: Sistema Institucional de Indicadores Turísticos - 2017-2018-2019</t>
  </si>
  <si>
    <t>Fuente: Sistema Institucional de Indicadores Turísticos - 2016-2017-2018-2019</t>
  </si>
  <si>
    <t>FEB2018-ENE2019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</si>
  <si>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</si>
  <si>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</si>
  <si>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</si>
  <si>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</si>
  <si>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</si>
  <si>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</si>
  <si>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</si>
  <si>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</si>
  <si>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</si>
  <si>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</si>
  <si>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</si>
  <si>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</si>
  <si>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</si>
  <si>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</si>
  <si>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</si>
  <si>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Tasa de Ocupación Hotelera (TOH) en DMQ 
(Mintur a dic 2018 - proyección a Dic) 12feb2019</t>
  </si>
  <si>
    <t>TOH categoría 5 estrellas 
(Mintur a dic 2018 - proyección a Dic) 12feb2019</t>
  </si>
  <si>
    <t>TOH categoría 4 estrellas 
(Mintur a dic 2018 - proyección a Dic) 12feb2019</t>
  </si>
  <si>
    <t>TOH categoría 3 estrellas 
(Mintur a dic 2018 - proyección a Dic) 12feb2019</t>
  </si>
  <si>
    <t>Dato QT - SIIT 2018 (estimado)12/02/2019</t>
  </si>
  <si>
    <t xml:space="preserve">Elaborado y consolidado: Jefatura de Planificación Quito Turismo. RB 12-feb-2019. </t>
  </si>
  <si>
    <t>2019 (estimado)</t>
  </si>
  <si>
    <t>HQM 23IAH</t>
  </si>
  <si>
    <t>HQM 36IAH</t>
  </si>
  <si>
    <t>HQM 28IAH</t>
  </si>
  <si>
    <t>HQM 30IAH</t>
  </si>
  <si>
    <t>HQM 31IAH</t>
  </si>
  <si>
    <t>HQM 32IAH</t>
  </si>
  <si>
    <t>HQM 34IAH</t>
  </si>
  <si>
    <t>(e).-</t>
  </si>
  <si>
    <t>Tarifa promedio por habitación disponible, REV Par.      
US dólares</t>
  </si>
  <si>
    <t>Estimación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</si>
</sst>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 _€_-;\-* #,##0.00\ _€_-;_-* &quot;-&quot;??\ _€_-;_-@_-"/>
    <numFmt numFmtId="164" formatCode="_ * #,##0.00_ ;_ * \-#,##0.00_ ;_ * &quot;-&quot;??_ ;_ @_ "/>
    <numFmt numFmtId="165" formatCode="&quot;$&quot;\ #,##0.00_);[Red]\(&quot;$&quot;\ #,##0.00\)"/>
    <numFmt numFmtId="166" formatCode="_(&quot;$&quot;\ * #,##0.00_);_(&quot;$&quot;\ * \(#,##0.00\);_(&quot;$&quot;\ * &quot;-&quot;??_);_(@_)"/>
    <numFmt numFmtId="167" formatCode="_(* #,##0.00_);_(* \(#,##0.00\);_(* &quot;-&quot;??_);_(@_)"/>
    <numFmt numFmtId="168" formatCode="0.0%"/>
    <numFmt numFmtId="169" formatCode="_(* #,##0_);_(* \(#,##0\);_(* &quot;-&quot;??_);_(@_)"/>
    <numFmt numFmtId="170" formatCode="#,##0.000"/>
    <numFmt numFmtId="171" formatCode="#,##0.0"/>
    <numFmt numFmtId="172" formatCode="0.0"/>
    <numFmt numFmtId="173" formatCode="_ * #,##0_ ;_ * \-#,##0_ ;_ * &quot;-&quot;??_ ;_ @_ "/>
    <numFmt numFmtId="174" formatCode="###0.0"/>
    <numFmt numFmtId="175" formatCode="####.0"/>
    <numFmt numFmtId="176" formatCode="#,##0.0000"/>
    <numFmt numFmtId="177" formatCode="###0"/>
    <numFmt numFmtId="178" formatCode="0.0000000"/>
    <numFmt numFmtId="179" formatCode="###0.00"/>
    <numFmt numFmtId="180" formatCode="_(* #,##0.0_);_(* \(#,##0.0\);_(* &quot;-&quot;??_);_(@_)"/>
    <numFmt numFmtId="181" formatCode="0.000000%"/>
    <numFmt numFmtId="182" formatCode="0.0000"/>
    <numFmt numFmtId="183" formatCode="_(&quot;$&quot;\ * #,##0.0_);_(&quot;$&quot;\ * \(#,##0.0\);_(&quot;$&quot;\ * &quot;-&quot;??_);_(@_)"/>
  </numFmts>
  <fonts count="363">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2"/>
      <name val="Arial"/>
      <family val="2"/>
    </font>
    <font>
      <b/>
      <sz val="10"/>
      <name val="Arial"/>
      <family val="2"/>
    </font>
    <font>
      <sz val="9"/>
      <name val="Arial"/>
      <family val="2"/>
    </font>
    <font>
      <sz val="9"/>
      <color theme="1"/>
      <name val="Calibri"/>
      <family val="2"/>
      <scheme val="minor"/>
    </font>
    <font>
      <sz val="8"/>
      <name val="Calibri"/>
      <family val="2"/>
      <scheme val="minor"/>
    </font>
    <font>
      <sz val="12"/>
      <name val="Arial"/>
      <family val="2"/>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0"/>
      <color indexed="53"/>
      <name val="Arial"/>
      <family val="2"/>
    </font>
    <font>
      <b/>
      <sz val="10"/>
      <color indexed="63"/>
      <name val="Arial"/>
      <family val="2"/>
    </font>
    <font>
      <b/>
      <sz val="12"/>
      <color indexed="63"/>
      <name val="Arial"/>
      <family val="2"/>
    </font>
    <font>
      <b/>
      <sz val="11"/>
      <name val="Arial"/>
      <family val="2"/>
    </font>
    <font>
      <b/>
      <sz val="11"/>
      <color theme="3" tint="-0.499984740745262"/>
      <name val="Arial"/>
      <family val="2"/>
    </font>
    <font>
      <b/>
      <sz val="11"/>
      <color indexed="12"/>
      <name val="Arial"/>
      <family val="2"/>
    </font>
    <font>
      <b/>
      <u/>
      <sz val="10"/>
      <color theme="6"/>
      <name val="Arial"/>
      <family val="2"/>
    </font>
    <font>
      <b/>
      <sz val="11"/>
      <color theme="4" tint="-0.499984740745262"/>
      <name val="Arial"/>
      <family val="2"/>
    </font>
    <font>
      <b/>
      <sz val="11"/>
      <color indexed="16"/>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indexed="12"/>
      <name val="Calibri"/>
      <family val="2"/>
      <scheme val="minor"/>
    </font>
    <font>
      <b/>
      <sz val="14"/>
      <color indexed="62"/>
      <name val="Calibri"/>
      <family val="2"/>
      <scheme val="minor"/>
    </font>
    <font>
      <b/>
      <sz val="14"/>
      <color indexed="9"/>
      <name val="Calibri"/>
      <family val="2"/>
      <scheme val="minor"/>
    </font>
    <font>
      <b/>
      <sz val="14"/>
      <color indexed="63"/>
      <name val="Calibri"/>
      <family val="2"/>
      <scheme val="minor"/>
    </font>
    <font>
      <sz val="14"/>
      <color theme="0"/>
      <name val="Calibri"/>
      <family val="2"/>
      <scheme val="minor"/>
    </font>
    <font>
      <sz val="14"/>
      <color indexed="9"/>
      <name val="Calibri"/>
      <family val="2"/>
      <scheme val="minor"/>
    </font>
    <font>
      <sz val="14"/>
      <color rgb="FFC00000"/>
      <name val="Calibri"/>
      <family val="2"/>
      <scheme val="minor"/>
    </font>
    <font>
      <b/>
      <sz val="14"/>
      <color indexed="12"/>
      <name val="Calibri"/>
      <family val="2"/>
      <scheme val="minor"/>
    </font>
    <font>
      <sz val="14"/>
      <color indexed="62"/>
      <name val="Calibri"/>
      <family val="2"/>
      <scheme val="minor"/>
    </font>
    <font>
      <b/>
      <sz val="14"/>
      <color indexed="20"/>
      <name val="Calibri"/>
      <family val="2"/>
      <scheme val="minor"/>
    </font>
    <font>
      <b/>
      <sz val="14"/>
      <color theme="4" tint="-0.249977111117893"/>
      <name val="Calibri"/>
      <family val="2"/>
      <scheme val="minor"/>
    </font>
    <font>
      <b/>
      <sz val="14"/>
      <color theme="0"/>
      <name val="Calibri"/>
      <family val="2"/>
      <scheme val="minor"/>
    </font>
    <font>
      <b/>
      <sz val="14"/>
      <color rgb="FFC00000"/>
      <name val="Calibri"/>
      <family val="2"/>
      <scheme val="minor"/>
    </font>
    <font>
      <b/>
      <sz val="14"/>
      <color rgb="FFFF0000"/>
      <name val="Calibri"/>
      <family val="2"/>
      <scheme val="minor"/>
    </font>
    <font>
      <b/>
      <sz val="14"/>
      <color indexed="17"/>
      <name val="Calibri"/>
      <family val="2"/>
      <scheme val="minor"/>
    </font>
    <font>
      <sz val="14"/>
      <color rgb="FFFF0000"/>
      <name val="Calibri"/>
      <family val="2"/>
      <scheme val="minor"/>
    </font>
    <font>
      <sz val="14"/>
      <color indexed="23"/>
      <name val="Calibri"/>
      <family val="2"/>
      <scheme val="minor"/>
    </font>
    <font>
      <sz val="14"/>
      <color indexed="8"/>
      <name val="Calibri"/>
      <family val="2"/>
      <scheme val="minor"/>
    </font>
    <font>
      <b/>
      <sz val="14"/>
      <color indexed="8"/>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b/>
      <sz val="12"/>
      <color rgb="FF0070C0"/>
      <name val="Arial"/>
      <family val="2"/>
    </font>
    <font>
      <sz val="10"/>
      <color theme="0" tint="-0.14999847407452621"/>
      <name val="Calibri"/>
      <family val="2"/>
      <scheme val="minor"/>
    </font>
    <font>
      <sz val="10"/>
      <name val="Arial"/>
      <family val="2"/>
    </font>
    <font>
      <sz val="10"/>
      <color theme="1"/>
      <name val="Calibri"/>
      <family val="2"/>
      <scheme val="minor"/>
    </font>
    <font>
      <b/>
      <sz val="10"/>
      <name val="Calibri"/>
      <family val="2"/>
      <scheme val="minor"/>
    </font>
    <font>
      <u/>
      <sz val="10"/>
      <color theme="10"/>
      <name val="Calibri"/>
      <family val="2"/>
      <scheme val="minor"/>
    </font>
    <font>
      <b/>
      <sz val="9"/>
      <name val="Calibri"/>
      <family val="2"/>
      <scheme val="minor"/>
    </font>
    <font>
      <sz val="8"/>
      <color theme="4" tint="0.59999389629810485"/>
      <name val="Arial"/>
      <family val="2"/>
    </font>
    <font>
      <sz val="14"/>
      <color theme="0" tint="-0.499984740745262"/>
      <name val="Calibri"/>
      <family val="2"/>
      <scheme val="minor"/>
    </font>
    <font>
      <b/>
      <sz val="14"/>
      <color theme="0" tint="-0.499984740745262"/>
      <name val="Calibri"/>
      <family val="2"/>
      <scheme val="minor"/>
    </font>
    <font>
      <sz val="12"/>
      <color theme="0" tint="-0.499984740745262"/>
      <name val="Calibri"/>
      <family val="2"/>
      <scheme val="minor"/>
    </font>
    <font>
      <b/>
      <sz val="12"/>
      <color rgb="FFFF0000"/>
      <name val="Calibri"/>
      <family val="2"/>
      <scheme val="minor"/>
    </font>
    <font>
      <b/>
      <sz val="12"/>
      <color theme="0" tint="-0.14999847407452621"/>
      <name val="Calibri"/>
      <family val="2"/>
      <scheme val="minor"/>
    </font>
    <font>
      <sz val="8"/>
      <name val="Verdana"/>
      <family val="2"/>
    </font>
    <font>
      <b/>
      <sz val="8"/>
      <color theme="0" tint="-0.34998626667073579"/>
      <name val="Arial"/>
      <family val="2"/>
    </font>
    <font>
      <sz val="8"/>
      <color theme="0" tint="-0.34998626667073579"/>
      <name val="Arial"/>
      <family val="2"/>
    </font>
    <font>
      <sz val="12"/>
      <color theme="0"/>
      <name val="Calibri"/>
      <family val="2"/>
      <scheme val="minor"/>
    </font>
    <font>
      <b/>
      <sz val="16"/>
      <color theme="4" tint="-0.249977111117893"/>
      <name val="Calibri"/>
      <family val="2"/>
      <scheme val="minor"/>
    </font>
    <font>
      <sz val="9"/>
      <color theme="0" tint="-0.499984740745262"/>
      <name val="Calibri"/>
      <family val="2"/>
      <scheme val="minor"/>
    </font>
    <font>
      <b/>
      <sz val="9"/>
      <color theme="0"/>
      <name val="Arial"/>
      <family val="2"/>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22"/>
      <color indexed="53"/>
      <name val="Arial"/>
      <family val="2"/>
    </font>
    <font>
      <sz val="22"/>
      <name val="Arial"/>
      <family val="2"/>
    </font>
    <font>
      <b/>
      <sz val="12"/>
      <color indexed="12"/>
      <name val="Arial"/>
      <family val="2"/>
    </font>
    <font>
      <sz val="10"/>
      <color rgb="FFFF0000"/>
      <name val="Arial"/>
      <family val="2"/>
    </font>
    <font>
      <b/>
      <sz val="24"/>
      <color rgb="FFFF0000"/>
      <name val="Arial"/>
      <family val="2"/>
    </font>
    <font>
      <b/>
      <sz val="22"/>
      <color rgb="FFFF0000"/>
      <name val="Arial"/>
      <family val="2"/>
    </font>
    <font>
      <b/>
      <sz val="11"/>
      <color theme="0"/>
      <name val="Arial"/>
      <family val="2"/>
    </font>
    <font>
      <sz val="22"/>
      <color theme="0"/>
      <name val="Arial"/>
      <family val="2"/>
    </font>
    <font>
      <b/>
      <sz val="24"/>
      <color indexed="53"/>
      <name val="Arial"/>
      <family val="2"/>
    </font>
    <font>
      <b/>
      <sz val="22"/>
      <color indexed="53"/>
      <name val="Arial"/>
      <family val="2"/>
    </font>
    <font>
      <b/>
      <sz val="12"/>
      <color indexed="16"/>
      <name val="Arial"/>
      <family val="2"/>
    </font>
    <font>
      <sz val="11"/>
      <color theme="0"/>
      <name val="Arial"/>
      <family val="2"/>
    </font>
    <font>
      <b/>
      <sz val="10"/>
      <color theme="0"/>
      <name val="Arial"/>
      <family val="2"/>
    </font>
    <font>
      <b/>
      <sz val="10"/>
      <color indexed="16"/>
      <name val="Arial"/>
      <family val="2"/>
    </font>
    <font>
      <sz val="11"/>
      <color indexed="53"/>
      <name val="Arial"/>
      <family val="2"/>
    </font>
    <font>
      <b/>
      <sz val="11"/>
      <color indexed="63"/>
      <name val="Arial"/>
      <family val="2"/>
    </font>
    <font>
      <b/>
      <sz val="12"/>
      <color theme="9" tint="-0.499984740745262"/>
      <name val="Arial"/>
      <family val="2"/>
    </font>
    <font>
      <b/>
      <sz val="11"/>
      <color indexed="53"/>
      <name val="Arial"/>
      <family val="2"/>
    </font>
    <font>
      <sz val="10"/>
      <color indexed="12"/>
      <name val="Arial"/>
      <family val="2"/>
    </font>
    <font>
      <b/>
      <sz val="10"/>
      <color indexed="62"/>
      <name val="Arial"/>
      <family val="2"/>
    </font>
    <font>
      <sz val="11"/>
      <color indexed="12"/>
      <name val="Arial"/>
      <family val="2"/>
    </font>
    <font>
      <sz val="11"/>
      <color indexed="62"/>
      <name val="Arial"/>
      <family val="2"/>
    </font>
    <font>
      <b/>
      <sz val="11"/>
      <color indexed="62"/>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sz val="9"/>
      <color rgb="FFFF0000"/>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sz val="11"/>
      <color theme="0" tint="-0.34998626667073579"/>
      <name val="Calibri"/>
      <family val="2"/>
      <scheme val="minor"/>
    </font>
    <font>
      <sz val="9"/>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8"/>
      <color theme="1" tint="0.499984740745262"/>
      <name val="Calibri"/>
      <family val="2"/>
      <scheme val="minor"/>
    </font>
    <font>
      <sz val="8"/>
      <color theme="0" tint="-0.14999847407452621"/>
      <name val="Calibri"/>
      <family val="2"/>
      <scheme val="minor"/>
    </font>
    <font>
      <sz val="9"/>
      <color theme="0"/>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b/>
      <sz val="8"/>
      <color indexed="20"/>
      <name val="Arial"/>
      <family val="2"/>
    </font>
    <font>
      <b/>
      <sz val="14"/>
      <color indexed="62"/>
      <name val="Arial"/>
      <family val="2"/>
    </font>
    <font>
      <sz val="14"/>
      <name val="Arial"/>
      <family val="2"/>
    </font>
    <font>
      <sz val="14"/>
      <color indexed="9"/>
      <name val="Arial"/>
      <family val="2"/>
    </font>
    <font>
      <b/>
      <sz val="16"/>
      <color theme="3" tint="-0.249977111117893"/>
      <name val="Arial"/>
      <family val="2"/>
    </font>
    <font>
      <sz val="16"/>
      <name val="Arial"/>
      <family val="2"/>
    </font>
    <font>
      <sz val="8"/>
      <color rgb="FF002060"/>
      <name val="Arial"/>
      <family val="2"/>
    </font>
    <font>
      <b/>
      <sz val="12"/>
      <color rgb="FFC00000"/>
      <name val="Arial"/>
      <family val="2"/>
    </font>
    <font>
      <b/>
      <sz val="11"/>
      <color rgb="FF002060"/>
      <name val="Arial"/>
      <family val="2"/>
    </font>
    <font>
      <b/>
      <sz val="16"/>
      <name val="Arial"/>
      <family val="2"/>
    </font>
    <font>
      <sz val="10"/>
      <color theme="0"/>
      <name val="Arial"/>
      <family val="2"/>
    </font>
    <font>
      <sz val="4"/>
      <color indexed="23"/>
      <name val="Arial"/>
      <family val="2"/>
    </font>
    <font>
      <sz val="10"/>
      <color theme="7" tint="-0.499984740745262"/>
      <name val="Arial"/>
      <family val="2"/>
    </font>
    <font>
      <b/>
      <sz val="8"/>
      <color theme="3" tint="-0.249977111117893"/>
      <name val="Arial"/>
      <family val="2"/>
    </font>
    <font>
      <b/>
      <sz val="8"/>
      <color theme="7" tint="-0.499984740745262"/>
      <name val="Arial"/>
      <family val="2"/>
    </font>
    <font>
      <b/>
      <sz val="14"/>
      <color theme="3" tint="-0.249977111117893"/>
      <name val="Arial"/>
      <family val="2"/>
    </font>
    <font>
      <b/>
      <sz val="14"/>
      <color theme="7" tint="-0.499984740745262"/>
      <name val="Arial"/>
      <family val="2"/>
    </font>
    <font>
      <b/>
      <sz val="14"/>
      <color indexed="9"/>
      <name val="Arial"/>
      <family val="2"/>
    </font>
    <font>
      <b/>
      <sz val="12"/>
      <color theme="3" tint="-0.249977111117893"/>
      <name val="Arial"/>
      <family val="2"/>
    </font>
    <font>
      <b/>
      <sz val="12"/>
      <color theme="7" tint="-0.499984740745262"/>
      <name val="Arial"/>
      <family val="2"/>
    </font>
    <font>
      <b/>
      <sz val="11"/>
      <color theme="3" tint="-0.249977111117893"/>
      <name val="Arial"/>
      <family val="2"/>
    </font>
    <font>
      <b/>
      <sz val="11"/>
      <color theme="7" tint="-0.499984740745262"/>
      <name val="Arial"/>
      <family val="2"/>
    </font>
    <font>
      <b/>
      <sz val="16"/>
      <color theme="7" tint="-0.499984740745262"/>
      <name val="Arial"/>
      <family val="2"/>
    </font>
    <font>
      <sz val="14"/>
      <color theme="7" tint="-0.499984740745262"/>
      <name val="Arial"/>
      <family val="2"/>
    </font>
    <font>
      <sz val="14"/>
      <color theme="3" tint="-0.249977111117893"/>
      <name val="Arial"/>
      <family val="2"/>
    </font>
    <font>
      <sz val="11"/>
      <color theme="3" tint="-0.249977111117893"/>
      <name val="Arial"/>
      <family val="2"/>
    </font>
    <font>
      <sz val="11"/>
      <color theme="7" tint="-0.499984740745262"/>
      <name val="Arial"/>
      <family val="2"/>
    </font>
    <font>
      <sz val="10"/>
      <color theme="3" tint="-0.249977111117893"/>
      <name val="Arial"/>
      <family val="2"/>
    </font>
    <font>
      <sz val="4"/>
      <color theme="3" tint="-0.249977111117893"/>
      <name val="Arial"/>
      <family val="2"/>
    </font>
    <font>
      <sz val="4"/>
      <color theme="7" tint="-0.499984740745262"/>
      <name val="Arial"/>
      <family val="2"/>
    </font>
    <font>
      <sz val="12"/>
      <color theme="3" tint="-0.249977111117893"/>
      <name val="Arial"/>
      <family val="2"/>
    </font>
    <font>
      <sz val="12"/>
      <color theme="7" tint="-0.499984740745262"/>
      <name val="Arial"/>
      <family val="2"/>
    </font>
    <font>
      <b/>
      <sz val="14"/>
      <color rgb="FF002060"/>
      <name val="Arial"/>
      <family val="2"/>
    </font>
    <font>
      <b/>
      <sz val="12"/>
      <color rgb="FF002060"/>
      <name val="Arial"/>
      <family val="2"/>
    </font>
    <font>
      <sz val="13"/>
      <color rgb="FF002060"/>
      <name val="Arial"/>
      <family val="2"/>
    </font>
    <font>
      <sz val="12"/>
      <color rgb="FF002060"/>
      <name val="Calibri"/>
      <family val="2"/>
      <scheme val="minor"/>
    </font>
    <font>
      <sz val="10"/>
      <color rgb="FF002060"/>
      <name val="Arial"/>
      <family val="2"/>
    </font>
    <font>
      <sz val="4"/>
      <color rgb="FF002060"/>
      <name val="Arial"/>
      <family val="2"/>
    </font>
    <font>
      <sz val="12"/>
      <color rgb="FF00206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b/>
      <sz val="7"/>
      <color theme="0" tint="-0.249977111117893"/>
      <name val="Calibri"/>
      <family val="2"/>
      <scheme val="minor"/>
    </font>
    <font>
      <b/>
      <sz val="12"/>
      <color indexed="62"/>
      <name val="Arial"/>
      <family val="2"/>
    </font>
    <font>
      <b/>
      <sz val="12"/>
      <color theme="4" tint="-0.249977111117893"/>
      <name val="Arial"/>
      <family val="2"/>
    </font>
    <font>
      <b/>
      <sz val="14"/>
      <name val="Arial"/>
      <family val="2"/>
    </font>
    <font>
      <b/>
      <sz val="16"/>
      <color indexed="62"/>
      <name val="Arial"/>
      <family val="2"/>
    </font>
    <font>
      <b/>
      <sz val="16"/>
      <color theme="1"/>
      <name val="Arial"/>
      <family val="2"/>
    </font>
    <font>
      <b/>
      <sz val="16"/>
      <color theme="4" tint="-0.249977111117893"/>
      <name val="Arial"/>
      <family val="2"/>
    </font>
    <font>
      <b/>
      <sz val="16"/>
      <color theme="6" tint="-0.499984740745262"/>
      <name val="Arial"/>
      <family val="2"/>
    </font>
    <font>
      <b/>
      <sz val="10"/>
      <color indexed="62"/>
      <name val="Calibri"/>
      <family val="2"/>
      <scheme val="minor"/>
    </font>
    <font>
      <sz val="8"/>
      <color rgb="FFFFFF00"/>
      <name val="Calibri"/>
      <family val="2"/>
      <scheme val="minor"/>
    </font>
    <font>
      <b/>
      <sz val="12"/>
      <color rgb="FF00B050"/>
      <name val="Calibri"/>
      <family val="2"/>
      <scheme val="minor"/>
    </font>
    <font>
      <sz val="9"/>
      <color rgb="FFC00000"/>
      <name val="Calibri"/>
      <family val="2"/>
      <scheme val="minor"/>
    </font>
    <font>
      <sz val="6"/>
      <color indexed="8"/>
      <name val="Arial"/>
      <family val="2"/>
    </font>
    <font>
      <u/>
      <sz val="8"/>
      <name val="Calibri"/>
      <family val="2"/>
      <scheme val="minor"/>
    </font>
    <font>
      <b/>
      <sz val="11"/>
      <color rgb="FF000000"/>
      <name val="Calibri"/>
      <family val="2"/>
      <scheme val="minor"/>
    </font>
    <font>
      <b/>
      <vertAlign val="superscript"/>
      <sz val="11"/>
      <color rgb="FF000000"/>
      <name val="Calibri"/>
      <family val="2"/>
      <scheme val="minor"/>
    </font>
    <font>
      <vertAlign val="superscript"/>
      <sz val="11"/>
      <color rgb="FF000000"/>
      <name val="Calibri"/>
      <family val="2"/>
      <scheme val="minor"/>
    </font>
    <font>
      <i/>
      <sz val="8"/>
      <color rgb="FF44546A"/>
      <name val="Calibri"/>
      <family val="2"/>
      <scheme val="minor"/>
    </font>
    <font>
      <i/>
      <sz val="11"/>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sz val="8"/>
      <color theme="6" tint="0.59999389629810485"/>
      <name val="Calibri"/>
      <family val="2"/>
      <scheme val="minor"/>
    </font>
    <font>
      <b/>
      <sz val="8"/>
      <color theme="6" tint="0.59999389629810485"/>
      <name val="Calibri"/>
      <family val="2"/>
      <scheme val="minor"/>
    </font>
    <font>
      <b/>
      <sz val="9"/>
      <color theme="6" tint="0.59999389629810485"/>
      <name val="Calibri"/>
      <family val="2"/>
      <scheme val="minor"/>
    </font>
    <font>
      <sz val="9"/>
      <color theme="6" tint="0.59999389629810485"/>
      <name val="Calibri"/>
      <family val="2"/>
      <scheme val="minor"/>
    </font>
    <font>
      <b/>
      <sz val="8"/>
      <color theme="6" tint="0.59999389629810485"/>
      <name val="Arial"/>
      <family val="2"/>
    </font>
    <font>
      <sz val="9"/>
      <color theme="7" tint="0.59999389629810485"/>
      <name val="Calibri"/>
      <family val="2"/>
      <scheme val="minor"/>
    </font>
    <font>
      <b/>
      <sz val="14"/>
      <color indexed="23"/>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10"/>
      <color theme="9" tint="-0.249977111117893"/>
      <name val="Calibri"/>
      <family val="2"/>
      <scheme val="minor"/>
    </font>
    <font>
      <sz val="8"/>
      <color theme="9" tint="-0.249977111117893"/>
      <name val="Calibri"/>
      <family val="2"/>
      <scheme val="minor"/>
    </font>
    <font>
      <sz val="9"/>
      <color indexed="23"/>
      <name val="Arial"/>
      <family val="2"/>
    </font>
    <font>
      <sz val="12"/>
      <color indexed="62"/>
      <name val="Calibri"/>
      <family val="2"/>
      <scheme val="minor"/>
    </font>
    <font>
      <b/>
      <sz val="12"/>
      <color indexed="20"/>
      <name val="Calibri"/>
      <family val="2"/>
      <scheme val="minor"/>
    </font>
    <font>
      <b/>
      <sz val="12"/>
      <color indexed="9"/>
      <name val="Calibri"/>
      <family val="2"/>
      <scheme val="minor"/>
    </font>
    <font>
      <sz val="12"/>
      <color indexed="23"/>
      <name val="Calibri"/>
      <family val="2"/>
      <scheme val="minor"/>
    </font>
    <font>
      <b/>
      <sz val="12"/>
      <color theme="0" tint="-0.499984740745262"/>
      <name val="Calibri"/>
      <family val="2"/>
      <scheme val="minor"/>
    </font>
    <font>
      <sz val="10"/>
      <name val="Arial"/>
      <family val="2"/>
    </font>
    <font>
      <b/>
      <sz val="10"/>
      <color theme="1" tint="0.34998626667073579"/>
      <name val="Calibri"/>
      <family val="2"/>
      <scheme val="minor"/>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b/>
      <sz val="12"/>
      <color theme="7" tint="0.59999389629810485"/>
      <name val="Arial"/>
      <family val="2"/>
    </font>
    <font>
      <sz val="12"/>
      <color theme="9" tint="-0.249977111117893"/>
      <name val="Calibri"/>
      <family val="2"/>
      <scheme val="minor"/>
    </font>
    <font>
      <sz val="10"/>
      <color theme="1" tint="0.499984740745262"/>
      <name val="Calibri"/>
      <family val="2"/>
      <scheme val="minor"/>
    </font>
    <font>
      <sz val="10"/>
      <color theme="1"/>
      <name val="Calibri"/>
      <family val="2"/>
      <scheme val="minor"/>
    </font>
    <font>
      <b/>
      <sz val="10"/>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b/>
      <sz val="11"/>
      <color rgb="FFFFFFFF"/>
      <name val="Calibri"/>
      <family val="2"/>
      <scheme val="minor"/>
    </font>
    <font>
      <sz val="11"/>
      <color rgb="FFFF0000"/>
      <name val="Arial"/>
      <family val="2"/>
    </font>
    <font>
      <sz val="12"/>
      <color rgb="FFFF0000"/>
      <name val="Arial"/>
      <family val="2"/>
    </font>
    <font>
      <sz val="9"/>
      <color rgb="FF0070C0"/>
      <name val="Calibri"/>
      <family val="2"/>
      <scheme val="minor"/>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s>
  <fills count="13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EFF4FB"/>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8" tint="0.39997558519241921"/>
        <bgColor indexed="64"/>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rgb="FFFFC000"/>
        <bgColor indexed="9"/>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indexed="44"/>
        <bgColor indexed="64"/>
      </patternFill>
    </fill>
    <fill>
      <patternFill patternType="solid">
        <fgColor rgb="FFF1E7DD"/>
        <bgColor indexed="64"/>
      </patternFill>
    </fill>
    <fill>
      <patternFill patternType="solid">
        <fgColor theme="4" tint="0.59999389629810485"/>
        <bgColor indexed="64"/>
      </patternFill>
    </fill>
    <fill>
      <patternFill patternType="solid">
        <fgColor theme="1"/>
        <bgColor indexed="64"/>
      </patternFill>
    </fill>
    <fill>
      <patternFill patternType="solid">
        <fgColor rgb="FFF29000"/>
        <bgColor indexed="64"/>
      </patternFill>
    </fill>
    <fill>
      <patternFill patternType="solid">
        <fgColor theme="7" tint="-0.249977111117893"/>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theme="9"/>
        <bgColor indexed="64"/>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6"/>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1"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186AA5"/>
        <bgColor indexed="64"/>
      </patternFill>
    </fill>
    <fill>
      <patternFill patternType="solid">
        <fgColor rgb="FFCECECE"/>
        <bgColor indexed="64"/>
      </patternFill>
    </fill>
    <fill>
      <patternFill patternType="solid">
        <fgColor rgb="FFC0C0C0"/>
        <bgColor indexed="64"/>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s>
  <borders count="440">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theme="0" tint="-0.24994659260841701"/>
      </left>
      <right style="thin">
        <color indexed="55"/>
      </right>
      <top style="thin">
        <color indexed="22"/>
      </top>
      <bottom style="thin">
        <color theme="0" tint="-0.24994659260841701"/>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rgb="FFABABAB"/>
      </left>
      <right/>
      <top/>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indexed="64"/>
      </left>
      <right style="thin">
        <color indexed="64"/>
      </right>
      <top style="thin">
        <color theme="1"/>
      </top>
      <bottom style="thin">
        <color theme="0" tint="-0.24994659260841701"/>
      </bottom>
      <diagonal/>
    </border>
    <border>
      <left style="thin">
        <color indexed="64"/>
      </left>
      <right style="thin">
        <color indexed="64"/>
      </right>
      <top style="thin">
        <color theme="0" tint="-0.24994659260841701"/>
      </top>
      <bottom style="thin">
        <color theme="1"/>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theme="0" tint="-0.14999847407452621"/>
      </left>
      <right/>
      <top style="thin">
        <color indexed="64"/>
      </top>
      <bottom/>
      <diagonal/>
    </border>
    <border>
      <left style="thin">
        <color theme="0" tint="-0.14999847407452621"/>
      </left>
      <right/>
      <top/>
      <bottom style="thin">
        <color indexed="64"/>
      </bottom>
      <diagonal/>
    </border>
    <border>
      <left/>
      <right style="thin">
        <color theme="0" tint="-0.14999847407452621"/>
      </right>
      <top/>
      <bottom style="thin">
        <color indexed="64"/>
      </bottom>
      <diagonal/>
    </border>
    <border>
      <left style="thin">
        <color theme="0" tint="-0.14999847407452621"/>
      </left>
      <right/>
      <top/>
      <bottom/>
      <diagonal/>
    </border>
    <border>
      <left/>
      <right style="thin">
        <color theme="0" tint="-0.14999847407452621"/>
      </right>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right style="medium">
        <color indexed="64"/>
      </right>
      <top/>
      <bottom style="thin">
        <color rgb="FF000000"/>
      </bottom>
      <diagonal/>
    </border>
    <border>
      <left style="medium">
        <color indexed="64"/>
      </left>
      <right style="thin">
        <color indexed="64"/>
      </right>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right style="thin">
        <color theme="0" tint="-0.249977111117893"/>
      </right>
      <top style="medium">
        <color theme="0" tint="-0.249977111117893"/>
      </top>
      <bottom/>
      <diagonal/>
    </border>
    <border>
      <left/>
      <right style="thin">
        <color theme="0" tint="-0.249977111117893"/>
      </right>
      <top/>
      <bottom/>
      <diagonal/>
    </border>
    <border>
      <left style="thin">
        <color rgb="FFABABAB"/>
      </left>
      <right/>
      <top style="medium">
        <color indexed="64"/>
      </top>
      <bottom style="thin">
        <color indexed="64"/>
      </bottom>
      <diagonal/>
    </border>
    <border>
      <left style="thin">
        <color indexed="64"/>
      </left>
      <right style="thin">
        <color rgb="FFABABAB"/>
      </right>
      <top style="medium">
        <color indexed="64"/>
      </top>
      <bottom style="thin">
        <color indexed="64"/>
      </bottom>
      <diagonal/>
    </border>
    <border>
      <left style="thin">
        <color indexed="64"/>
      </left>
      <right style="thin">
        <color rgb="FFABABAB"/>
      </right>
      <top/>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style="thin">
        <color rgb="FF999999"/>
      </left>
      <right style="thin">
        <color rgb="FF999999"/>
      </right>
      <top style="thin">
        <color rgb="FF999999"/>
      </top>
      <bottom/>
      <diagonal/>
    </border>
    <border>
      <left style="thin">
        <color rgb="FF999999"/>
      </left>
      <right style="thin">
        <color rgb="FF999999"/>
      </right>
      <top/>
      <bottom/>
      <diagonal/>
    </border>
    <border>
      <left style="thin">
        <color rgb="FF999999"/>
      </left>
      <right/>
      <top style="thin">
        <color rgb="FF999999"/>
      </top>
      <bottom/>
      <diagonal/>
    </border>
    <border>
      <left/>
      <right style="thin">
        <color rgb="FF999999"/>
      </right>
      <top style="thin">
        <color rgb="FF999999"/>
      </top>
      <bottom/>
      <diagonal/>
    </border>
    <border>
      <left style="thin">
        <color rgb="FFABABAB"/>
      </left>
      <right/>
      <top style="medium">
        <color indexed="64"/>
      </top>
      <bottom style="medium">
        <color indexed="64"/>
      </bottom>
      <diagonal/>
    </border>
    <border>
      <left style="thin">
        <color rgb="FFABABAB"/>
      </left>
      <right style="medium">
        <color indexed="64"/>
      </right>
      <top style="medium">
        <color indexed="64"/>
      </top>
      <bottom style="medium">
        <color indexed="64"/>
      </bottom>
      <diagonal/>
    </border>
    <border>
      <left style="thin">
        <color rgb="FF999999"/>
      </left>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right style="thin">
        <color rgb="FF999999"/>
      </right>
      <top/>
      <bottom/>
      <diagonal/>
    </border>
    <border>
      <left/>
      <right style="thin">
        <color rgb="FF999999"/>
      </right>
      <top style="thin">
        <color rgb="FF999999"/>
      </top>
      <bottom style="thin">
        <color rgb="FF999999"/>
      </bottom>
      <diagonal/>
    </border>
    <border>
      <left style="medium">
        <color indexed="64"/>
      </left>
      <right/>
      <top/>
      <bottom style="medium">
        <color theme="0" tint="-0.499984740745262"/>
      </bottom>
      <diagonal/>
    </border>
    <border>
      <left style="medium">
        <color indexed="64"/>
      </left>
      <right style="medium">
        <color indexed="64"/>
      </right>
      <top/>
      <bottom style="medium">
        <color theme="0" tint="-0.499984740745262"/>
      </bottom>
      <diagonal/>
    </border>
    <border>
      <left style="medium">
        <color indexed="64"/>
      </left>
      <right/>
      <top style="medium">
        <color indexed="64"/>
      </top>
      <bottom style="medium">
        <color theme="1" tint="0.499984740745262"/>
      </bottom>
      <diagonal/>
    </border>
    <border>
      <left/>
      <right/>
      <top style="medium">
        <color indexed="64"/>
      </top>
      <bottom style="medium">
        <color theme="1" tint="0.499984740745262"/>
      </bottom>
      <diagonal/>
    </border>
    <border>
      <left/>
      <right style="medium">
        <color indexed="64"/>
      </right>
      <top style="medium">
        <color indexed="64"/>
      </top>
      <bottom style="medium">
        <color theme="1" tint="0.499984740745262"/>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medium">
        <color theme="0" tint="-0.499984740745262"/>
      </top>
      <bottom/>
      <diagonal/>
    </border>
    <border>
      <left/>
      <right style="medium">
        <color indexed="64"/>
      </right>
      <top style="medium">
        <color theme="0" tint="-0.499984740745262"/>
      </top>
      <bottom/>
      <diagonal/>
    </border>
    <border>
      <left style="medium">
        <color indexed="64"/>
      </left>
      <right/>
      <top style="medium">
        <color theme="1" tint="0.499984740745262"/>
      </top>
      <bottom style="medium">
        <color theme="0" tint="-0.499984740745262"/>
      </bottom>
      <diagonal/>
    </border>
    <border>
      <left/>
      <right style="medium">
        <color indexed="64"/>
      </right>
      <top style="medium">
        <color theme="1" tint="0.499984740745262"/>
      </top>
      <bottom style="medium">
        <color theme="0" tint="-0.499984740745262"/>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rgb="FFABABAB"/>
      </left>
      <right style="thin">
        <color rgb="FFABABAB"/>
      </right>
      <top style="thin">
        <color rgb="FFABABAB"/>
      </top>
      <bottom/>
      <diagonal/>
    </border>
    <border>
      <left style="thin">
        <color rgb="FFABABAB"/>
      </left>
      <right style="thin">
        <color rgb="FFABABAB"/>
      </right>
      <top/>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s>
  <cellStyleXfs count="106">
    <xf numFmtId="0" fontId="0"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23" fillId="0" borderId="0" applyNumberFormat="0" applyFill="0" applyBorder="0" applyAlignment="0" applyProtection="0">
      <alignment vertical="top"/>
      <protection locked="0"/>
    </xf>
    <xf numFmtId="0" fontId="43" fillId="0" borderId="0"/>
    <xf numFmtId="0" fontId="42" fillId="31" borderId="81" applyNumberFormat="0" applyAlignment="0" applyProtection="0"/>
    <xf numFmtId="0" fontId="2" fillId="0" borderId="0"/>
    <xf numFmtId="0" fontId="44" fillId="0" borderId="0" applyNumberFormat="0" applyFill="0" applyBorder="0" applyAlignment="0" applyProtection="0">
      <alignment vertical="top"/>
      <protection locked="0"/>
    </xf>
    <xf numFmtId="0" fontId="46" fillId="0" borderId="0"/>
    <xf numFmtId="0" fontId="1" fillId="0" borderId="0"/>
    <xf numFmtId="0" fontId="44" fillId="0" borderId="0" applyNumberFormat="0" applyFill="0" applyBorder="0" applyAlignment="0" applyProtection="0"/>
    <xf numFmtId="9" fontId="46" fillId="0" borderId="0" applyFont="0" applyFill="0" applyBorder="0" applyAlignment="0" applyProtection="0"/>
    <xf numFmtId="0" fontId="48" fillId="0" borderId="0"/>
    <xf numFmtId="164" fontId="2" fillId="0" borderId="0" applyFont="0" applyFill="0" applyBorder="0" applyAlignment="0" applyProtection="0"/>
    <xf numFmtId="9" fontId="2" fillId="0" borderId="0" applyFont="0" applyFill="0" applyBorder="0" applyAlignment="0" applyProtection="0"/>
    <xf numFmtId="0" fontId="1" fillId="36" borderId="0" applyNumberFormat="0" applyBorder="0" applyAlignment="0" applyProtection="0"/>
    <xf numFmtId="0" fontId="59"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81" fillId="0" borderId="0"/>
    <xf numFmtId="0" fontId="1" fillId="0" borderId="0"/>
    <xf numFmtId="0" fontId="82" fillId="0" borderId="0"/>
    <xf numFmtId="0" fontId="84" fillId="0" borderId="0" applyNumberFormat="0" applyFill="0" applyBorder="0" applyAlignment="0" applyProtection="0"/>
    <xf numFmtId="0" fontId="85" fillId="0" borderId="121" applyNumberFormat="0" applyFill="0" applyAlignment="0" applyProtection="0"/>
    <xf numFmtId="0" fontId="86" fillId="0" borderId="122" applyNumberFormat="0" applyFill="0" applyAlignment="0" applyProtection="0"/>
    <xf numFmtId="0" fontId="87" fillId="0" borderId="123" applyNumberFormat="0" applyFill="0" applyAlignment="0" applyProtection="0"/>
    <xf numFmtId="0" fontId="87" fillId="0" borderId="0" applyNumberFormat="0" applyFill="0" applyBorder="0" applyAlignment="0" applyProtection="0"/>
    <xf numFmtId="0" fontId="88" fillId="42" borderId="0" applyNumberFormat="0" applyBorder="0" applyAlignment="0" applyProtection="0"/>
    <xf numFmtId="0" fontId="89" fillId="43" borderId="0" applyNumberFormat="0" applyBorder="0" applyAlignment="0" applyProtection="0"/>
    <xf numFmtId="0" fontId="90" fillId="44" borderId="0" applyNumberFormat="0" applyBorder="0" applyAlignment="0" applyProtection="0"/>
    <xf numFmtId="0" fontId="42" fillId="45" borderId="81" applyNumberFormat="0" applyAlignment="0" applyProtection="0"/>
    <xf numFmtId="0" fontId="91" fillId="46" borderId="124" applyNumberFormat="0" applyAlignment="0" applyProtection="0"/>
    <xf numFmtId="0" fontId="92" fillId="46" borderId="81" applyNumberFormat="0" applyAlignment="0" applyProtection="0"/>
    <xf numFmtId="0" fontId="93" fillId="0" borderId="125" applyNumberFormat="0" applyFill="0" applyAlignment="0" applyProtection="0"/>
    <xf numFmtId="0" fontId="94" fillId="47" borderId="126" applyNumberFormat="0" applyAlignment="0" applyProtection="0"/>
    <xf numFmtId="0" fontId="55" fillId="0" borderId="0" applyNumberFormat="0" applyFill="0" applyBorder="0" applyAlignment="0" applyProtection="0"/>
    <xf numFmtId="0" fontId="1" fillId="48" borderId="127" applyNumberFormat="0" applyFont="0" applyAlignment="0" applyProtection="0"/>
    <xf numFmtId="0" fontId="95" fillId="0" borderId="0" applyNumberFormat="0" applyFill="0" applyBorder="0" applyAlignment="0" applyProtection="0"/>
    <xf numFmtId="0" fontId="35" fillId="0" borderId="128" applyNumberFormat="0" applyFill="0" applyAlignment="0" applyProtection="0"/>
    <xf numFmtId="0" fontId="96"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96" fillId="52" borderId="0" applyNumberFormat="0" applyBorder="0" applyAlignment="0" applyProtection="0"/>
    <xf numFmtId="0" fontId="96"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96" fillId="56" borderId="0" applyNumberFormat="0" applyBorder="0" applyAlignment="0" applyProtection="0"/>
    <xf numFmtId="0" fontId="96"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96" fillId="60" borderId="0" applyNumberFormat="0" applyBorder="0" applyAlignment="0" applyProtection="0"/>
    <xf numFmtId="0" fontId="96"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96" fillId="64" borderId="0" applyNumberFormat="0" applyBorder="0" applyAlignment="0" applyProtection="0"/>
    <xf numFmtId="0" fontId="96"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96" fillId="68" borderId="0" applyNumberFormat="0" applyBorder="0" applyAlignment="0" applyProtection="0"/>
    <xf numFmtId="0" fontId="96" fillId="69" borderId="0" applyNumberFormat="0" applyBorder="0" applyAlignment="0" applyProtection="0"/>
    <xf numFmtId="0" fontId="1" fillId="70" borderId="0" applyNumberFormat="0" applyBorder="0" applyAlignment="0" applyProtection="0"/>
    <xf numFmtId="0" fontId="96" fillId="71" borderId="0" applyNumberFormat="0" applyBorder="0" applyAlignment="0" applyProtection="0"/>
    <xf numFmtId="0" fontId="9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9" fillId="0" borderId="0" applyNumberFormat="0" applyFill="0" applyBorder="0" applyAlignment="0" applyProtection="0"/>
    <xf numFmtId="0" fontId="104" fillId="0" borderId="0"/>
    <xf numFmtId="0" fontId="105" fillId="0" borderId="0"/>
    <xf numFmtId="0" fontId="2" fillId="0" borderId="0"/>
    <xf numFmtId="0" fontId="138" fillId="0" borderId="0"/>
    <xf numFmtId="0" fontId="146" fillId="0" borderId="0"/>
    <xf numFmtId="0" fontId="168" fillId="0" borderId="0"/>
    <xf numFmtId="43" fontId="1" fillId="0" borderId="0" applyFont="0" applyFill="0" applyBorder="0" applyAlignment="0" applyProtection="0"/>
    <xf numFmtId="0" fontId="218"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0" fontId="316" fillId="0" borderId="0"/>
  </cellStyleXfs>
  <cellXfs count="3988">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169" fontId="5" fillId="0" borderId="0" xfId="1" applyNumberFormat="1" applyFont="1" applyAlignment="1">
      <alignment horizontal="left"/>
    </xf>
    <xf numFmtId="3" fontId="9" fillId="0" borderId="0" xfId="0" applyNumberFormat="1" applyFont="1" applyAlignment="1">
      <alignment vertical="center"/>
    </xf>
    <xf numFmtId="3" fontId="9"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10" fillId="4" borderId="14" xfId="0" applyNumberFormat="1" applyFont="1" applyFill="1" applyBorder="1" applyAlignment="1">
      <alignment horizontal="center" vertical="center" wrapText="1"/>
    </xf>
    <xf numFmtId="3" fontId="10" fillId="4" borderId="15" xfId="0" applyNumberFormat="1" applyFont="1" applyFill="1" applyBorder="1" applyAlignment="1">
      <alignment horizontal="center" vertical="center" wrapText="1"/>
    </xf>
    <xf numFmtId="3" fontId="10" fillId="4" borderId="16" xfId="0" applyNumberFormat="1" applyFont="1" applyFill="1" applyBorder="1" applyAlignment="1">
      <alignment horizontal="center" vertical="center" wrapText="1"/>
    </xf>
    <xf numFmtId="3" fontId="10" fillId="0" borderId="17" xfId="0" applyNumberFormat="1" applyFont="1" applyBorder="1" applyAlignment="1">
      <alignment horizontal="left" vertical="center" wrapText="1"/>
    </xf>
    <xf numFmtId="3" fontId="10" fillId="0" borderId="18" xfId="0" applyNumberFormat="1" applyFont="1" applyBorder="1" applyAlignment="1">
      <alignment horizontal="right" vertical="center"/>
    </xf>
    <xf numFmtId="3" fontId="10" fillId="0" borderId="10" xfId="0" applyNumberFormat="1" applyFont="1" applyBorder="1" applyAlignment="1">
      <alignment horizontal="right" vertical="center"/>
    </xf>
    <xf numFmtId="3" fontId="10" fillId="0" borderId="19" xfId="0" applyNumberFormat="1" applyFont="1" applyBorder="1" applyAlignment="1">
      <alignment horizontal="left" vertical="center" wrapText="1"/>
    </xf>
    <xf numFmtId="3" fontId="10"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1" fillId="0" borderId="0" xfId="0" applyFont="1"/>
    <xf numFmtId="3" fontId="2" fillId="0" borderId="10" xfId="0" applyNumberFormat="1" applyFont="1" applyBorder="1" applyAlignment="1">
      <alignment horizontal="center" vertical="center"/>
    </xf>
    <xf numFmtId="3" fontId="10" fillId="0" borderId="18" xfId="0" applyNumberFormat="1" applyFont="1" applyBorder="1" applyAlignment="1">
      <alignment vertical="center"/>
    </xf>
    <xf numFmtId="3" fontId="10"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10" fillId="0" borderId="21" xfId="0" applyNumberFormat="1" applyFont="1" applyBorder="1" applyAlignment="1">
      <alignment vertical="center"/>
    </xf>
    <xf numFmtId="3" fontId="10" fillId="0" borderId="22" xfId="0" applyNumberFormat="1" applyFont="1" applyBorder="1" applyAlignment="1">
      <alignment vertical="center"/>
    </xf>
    <xf numFmtId="0" fontId="0" fillId="0" borderId="0" xfId="0" applyAlignment="1"/>
    <xf numFmtId="2" fontId="0" fillId="0" borderId="0" xfId="0" applyNumberFormat="1" applyAlignment="1">
      <alignment wrapText="1"/>
    </xf>
    <xf numFmtId="9" fontId="0" fillId="0" borderId="0" xfId="2" applyFont="1" applyAlignment="1">
      <alignment wrapText="1"/>
    </xf>
    <xf numFmtId="3" fontId="0" fillId="0" borderId="0" xfId="0" applyNumberFormat="1" applyBorder="1"/>
    <xf numFmtId="0" fontId="9" fillId="0" borderId="0" xfId="0" applyFont="1" applyBorder="1"/>
    <xf numFmtId="0" fontId="0" fillId="0" borderId="0" xfId="0" applyBorder="1"/>
    <xf numFmtId="0" fontId="0" fillId="0" borderId="25" xfId="0" applyBorder="1"/>
    <xf numFmtId="171" fontId="0" fillId="0" borderId="25" xfId="0" applyNumberFormat="1" applyBorder="1" applyAlignment="1">
      <alignment horizontal="center"/>
    </xf>
    <xf numFmtId="168" fontId="0" fillId="0" borderId="0" xfId="2" applyNumberFormat="1" applyFont="1"/>
    <xf numFmtId="3" fontId="0" fillId="3" borderId="0" xfId="0" applyNumberFormat="1" applyFill="1"/>
    <xf numFmtId="0" fontId="5" fillId="0" borderId="0" xfId="0" applyFont="1" applyAlignment="1">
      <alignment horizontal="center" wrapText="1"/>
    </xf>
    <xf numFmtId="0" fontId="5" fillId="0" borderId="0" xfId="0" applyFont="1" applyAlignment="1">
      <alignment horizontal="left" vertical="center" wrapText="1"/>
    </xf>
    <xf numFmtId="9" fontId="0" fillId="3" borderId="0" xfId="2" applyFont="1" applyFill="1"/>
    <xf numFmtId="169" fontId="0" fillId="0" borderId="0" xfId="1" applyNumberFormat="1" applyFont="1"/>
    <xf numFmtId="169" fontId="5" fillId="0" borderId="0" xfId="1" applyNumberFormat="1" applyFont="1"/>
    <xf numFmtId="166" fontId="5" fillId="0" borderId="0" xfId="3" applyFont="1" applyAlignment="1">
      <alignment horizontal="left"/>
    </xf>
    <xf numFmtId="0" fontId="11" fillId="0" borderId="0" xfId="0" applyFont="1" applyAlignment="1">
      <alignment horizontal="center" wrapText="1"/>
    </xf>
    <xf numFmtId="3" fontId="10" fillId="4" borderId="0" xfId="0" applyNumberFormat="1" applyFont="1" applyFill="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left"/>
    </xf>
    <xf numFmtId="0" fontId="0" fillId="16" borderId="0" xfId="0" applyFill="1" applyBorder="1"/>
    <xf numFmtId="0" fontId="0" fillId="16" borderId="0" xfId="0" applyFill="1"/>
    <xf numFmtId="0" fontId="0" fillId="0" borderId="37" xfId="0" applyBorder="1"/>
    <xf numFmtId="0" fontId="0" fillId="0" borderId="7" xfId="0" applyBorder="1"/>
    <xf numFmtId="0" fontId="35" fillId="0" borderId="0" xfId="0" applyFont="1"/>
    <xf numFmtId="0" fontId="35" fillId="0" borderId="69" xfId="0" applyFont="1" applyBorder="1" applyAlignment="1">
      <alignment horizontal="center" vertical="center" wrapText="1"/>
    </xf>
    <xf numFmtId="0" fontId="37" fillId="0" borderId="0" xfId="0" applyFont="1"/>
    <xf numFmtId="9" fontId="11" fillId="0" borderId="0" xfId="2" applyFont="1"/>
    <xf numFmtId="0" fontId="0" fillId="0" borderId="0" xfId="0" applyFill="1"/>
    <xf numFmtId="0" fontId="29" fillId="4" borderId="0" xfId="0" applyFont="1" applyFill="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5" fillId="0" borderId="0" xfId="0" applyFont="1" applyAlignment="1">
      <alignment horizontal="center" vertical="center"/>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21" fillId="0" borderId="0" xfId="0" applyFont="1" applyFill="1" applyBorder="1" applyAlignment="1">
      <alignment horizontal="left"/>
    </xf>
    <xf numFmtId="0" fontId="15" fillId="0" borderId="0" xfId="7" applyFont="1"/>
    <xf numFmtId="0" fontId="50" fillId="0" borderId="0" xfId="7" applyFont="1" applyFill="1" applyBorder="1" applyAlignment="1">
      <alignment horizontal="left"/>
    </xf>
    <xf numFmtId="173" fontId="50" fillId="0" borderId="0" xfId="14" applyNumberFormat="1" applyFont="1" applyFill="1" applyBorder="1" applyAlignment="1">
      <alignment horizontal="right"/>
    </xf>
    <xf numFmtId="173" fontId="50" fillId="0" borderId="0" xfId="7" applyNumberFormat="1" applyFont="1" applyFill="1" applyBorder="1" applyAlignment="1">
      <alignment horizontal="right"/>
    </xf>
    <xf numFmtId="173" fontId="50" fillId="0" borderId="0" xfId="14" applyNumberFormat="1" applyFont="1" applyFill="1" applyBorder="1"/>
    <xf numFmtId="10" fontId="50" fillId="0" borderId="0" xfId="7" applyNumberFormat="1" applyFont="1" applyFill="1" applyBorder="1" applyAlignment="1">
      <alignment horizontal="center"/>
    </xf>
    <xf numFmtId="0" fontId="50" fillId="0" borderId="23" xfId="7" applyFont="1" applyFill="1" applyBorder="1"/>
    <xf numFmtId="0" fontId="50" fillId="0" borderId="0" xfId="7" applyFont="1" applyFill="1" applyBorder="1" applyAlignment="1">
      <alignment horizontal="center"/>
    </xf>
    <xf numFmtId="0" fontId="50" fillId="0" borderId="63" xfId="7" applyFont="1" applyFill="1" applyBorder="1" applyAlignment="1">
      <alignment horizontal="center"/>
    </xf>
    <xf numFmtId="0" fontId="15" fillId="0" borderId="23" xfId="7" applyFont="1" applyFill="1" applyBorder="1"/>
    <xf numFmtId="173" fontId="15" fillId="33" borderId="0" xfId="14" applyNumberFormat="1" applyFont="1" applyFill="1" applyBorder="1"/>
    <xf numFmtId="173" fontId="52" fillId="33" borderId="0" xfId="14" applyNumberFormat="1" applyFont="1" applyFill="1" applyBorder="1"/>
    <xf numFmtId="173" fontId="50" fillId="0" borderId="63" xfId="14" applyNumberFormat="1" applyFont="1" applyFill="1" applyBorder="1"/>
    <xf numFmtId="0" fontId="50" fillId="0" borderId="52" xfId="7" applyFont="1" applyFill="1" applyBorder="1" applyAlignment="1">
      <alignment horizontal="left"/>
    </xf>
    <xf numFmtId="173" fontId="50" fillId="0" borderId="11" xfId="14" applyNumberFormat="1" applyFont="1" applyFill="1" applyBorder="1"/>
    <xf numFmtId="173" fontId="50" fillId="0" borderId="11" xfId="7" applyNumberFormat="1" applyFont="1" applyBorder="1"/>
    <xf numFmtId="173" fontId="50" fillId="0" borderId="84" xfId="7" applyNumberFormat="1" applyFont="1" applyFill="1" applyBorder="1" applyAlignment="1">
      <alignment horizontal="right"/>
    </xf>
    <xf numFmtId="173" fontId="50" fillId="0" borderId="0" xfId="7" applyNumberFormat="1" applyFont="1" applyBorder="1"/>
    <xf numFmtId="3" fontId="15" fillId="33" borderId="0" xfId="7" applyNumberFormat="1" applyFont="1" applyFill="1" applyBorder="1" applyAlignment="1" applyProtection="1">
      <alignment horizontal="right"/>
    </xf>
    <xf numFmtId="3" fontId="15" fillId="33" borderId="0" xfId="7" applyNumberFormat="1" applyFont="1" applyFill="1" applyBorder="1" applyProtection="1"/>
    <xf numFmtId="3" fontId="15" fillId="33" borderId="0" xfId="7" applyNumberFormat="1" applyFont="1" applyFill="1" applyBorder="1" applyProtection="1">
      <protection locked="0"/>
    </xf>
    <xf numFmtId="3" fontId="50" fillId="0" borderId="11" xfId="7" applyNumberFormat="1" applyFont="1" applyBorder="1" applyAlignment="1">
      <alignment horizontal="right"/>
    </xf>
    <xf numFmtId="173" fontId="50" fillId="0" borderId="84" xfId="14" applyNumberFormat="1" applyFont="1" applyFill="1" applyBorder="1"/>
    <xf numFmtId="3" fontId="50" fillId="0" borderId="0" xfId="7" applyNumberFormat="1" applyFont="1" applyBorder="1" applyAlignment="1">
      <alignment horizontal="right"/>
    </xf>
    <xf numFmtId="0" fontId="50" fillId="34" borderId="0" xfId="7" applyFont="1" applyFill="1" applyBorder="1"/>
    <xf numFmtId="3" fontId="50" fillId="34" borderId="0" xfId="7" applyNumberFormat="1" applyFont="1" applyFill="1" applyBorder="1" applyAlignment="1">
      <alignment horizontal="right"/>
    </xf>
    <xf numFmtId="173" fontId="50" fillId="34" borderId="0" xfId="14" applyNumberFormat="1" applyFont="1" applyFill="1" applyBorder="1"/>
    <xf numFmtId="0" fontId="15" fillId="34" borderId="0" xfId="7" applyFont="1" applyFill="1" applyBorder="1"/>
    <xf numFmtId="168" fontId="15" fillId="34" borderId="0" xfId="7" applyNumberFormat="1" applyFont="1" applyFill="1" applyBorder="1" applyAlignment="1">
      <alignment horizontal="right"/>
    </xf>
    <xf numFmtId="168" fontId="15" fillId="34" borderId="0" xfId="14" applyNumberFormat="1" applyFont="1" applyFill="1" applyBorder="1"/>
    <xf numFmtId="0" fontId="15" fillId="34" borderId="0" xfId="7" applyFont="1" applyFill="1" applyBorder="1" applyAlignment="1">
      <alignment horizontal="left"/>
    </xf>
    <xf numFmtId="173" fontId="15" fillId="33" borderId="0" xfId="14" applyNumberFormat="1" applyFont="1" applyFill="1" applyBorder="1" applyProtection="1"/>
    <xf numFmtId="1" fontId="15" fillId="33" borderId="0" xfId="7" applyNumberFormat="1" applyFont="1" applyFill="1" applyBorder="1" applyProtection="1"/>
    <xf numFmtId="173" fontId="15" fillId="33" borderId="0" xfId="14" applyNumberFormat="1" applyFont="1" applyFill="1" applyBorder="1" applyProtection="1">
      <protection locked="0"/>
    </xf>
    <xf numFmtId="1" fontId="15" fillId="33" borderId="0" xfId="7" applyNumberFormat="1" applyFont="1" applyFill="1" applyBorder="1" applyProtection="1">
      <protection locked="0"/>
    </xf>
    <xf numFmtId="173" fontId="15" fillId="33" borderId="0" xfId="14" applyNumberFormat="1" applyFont="1" applyFill="1" applyBorder="1" applyAlignment="1" applyProtection="1">
      <alignment horizontal="right"/>
    </xf>
    <xf numFmtId="1" fontId="15" fillId="33" borderId="0" xfId="7" applyNumberFormat="1" applyFont="1" applyFill="1" applyBorder="1" applyAlignment="1" applyProtection="1">
      <alignment horizontal="right"/>
    </xf>
    <xf numFmtId="3" fontId="50" fillId="0" borderId="84" xfId="7" applyNumberFormat="1" applyFont="1" applyBorder="1" applyAlignment="1">
      <alignment horizontal="right"/>
    </xf>
    <xf numFmtId="0" fontId="15" fillId="34" borderId="0" xfId="7" applyFont="1" applyFill="1"/>
    <xf numFmtId="168" fontId="15" fillId="34" borderId="0" xfId="7" applyNumberFormat="1" applyFont="1" applyFill="1"/>
    <xf numFmtId="0" fontId="15" fillId="0" borderId="0" xfId="7" applyFont="1" applyFill="1" applyBorder="1" applyAlignment="1">
      <alignment horizontal="left"/>
    </xf>
    <xf numFmtId="168" fontId="15" fillId="0" borderId="0" xfId="7" applyNumberFormat="1" applyFont="1" applyFill="1"/>
    <xf numFmtId="0" fontId="15" fillId="0" borderId="0" xfId="7" applyFont="1" applyFill="1"/>
    <xf numFmtId="3" fontId="15" fillId="35" borderId="0" xfId="7" applyNumberFormat="1" applyFont="1" applyFill="1" applyBorder="1" applyAlignment="1" applyProtection="1">
      <alignment horizontal="right"/>
    </xf>
    <xf numFmtId="0" fontId="15" fillId="10" borderId="23" xfId="7" applyFont="1" applyFill="1" applyBorder="1"/>
    <xf numFmtId="3" fontId="52" fillId="35" borderId="0" xfId="7" applyNumberFormat="1" applyFont="1" applyFill="1" applyBorder="1" applyAlignment="1" applyProtection="1">
      <alignment horizontal="right"/>
    </xf>
    <xf numFmtId="0" fontId="50" fillId="28" borderId="0" xfId="7" applyFont="1" applyFill="1" applyBorder="1"/>
    <xf numFmtId="0" fontId="15" fillId="28" borderId="0" xfId="7" applyFont="1" applyFill="1"/>
    <xf numFmtId="168" fontId="15" fillId="28" borderId="0" xfId="7" applyNumberFormat="1" applyFont="1" applyFill="1"/>
    <xf numFmtId="0" fontId="15" fillId="28" borderId="0" xfId="7" applyFont="1" applyFill="1" applyBorder="1"/>
    <xf numFmtId="0" fontId="15" fillId="28" borderId="0" xfId="7" applyFont="1" applyFill="1" applyBorder="1" applyAlignment="1">
      <alignment horizontal="left"/>
    </xf>
    <xf numFmtId="3" fontId="52" fillId="0" borderId="0" xfId="7" applyNumberFormat="1" applyFont="1" applyFill="1" applyBorder="1" applyAlignment="1" applyProtection="1">
      <alignment horizontal="right"/>
    </xf>
    <xf numFmtId="173" fontId="15" fillId="0" borderId="0" xfId="7" applyNumberFormat="1" applyFont="1"/>
    <xf numFmtId="4" fontId="15" fillId="0" borderId="0" xfId="7" applyNumberFormat="1" applyFont="1"/>
    <xf numFmtId="168" fontId="15" fillId="28" borderId="0" xfId="15" applyNumberFormat="1" applyFont="1" applyFill="1"/>
    <xf numFmtId="3" fontId="15" fillId="0" borderId="0" xfId="7" applyNumberFormat="1" applyFont="1"/>
    <xf numFmtId="168" fontId="15" fillId="0" borderId="0" xfId="15" applyNumberFormat="1" applyFont="1"/>
    <xf numFmtId="9" fontId="15" fillId="0" borderId="0" xfId="15" applyFont="1"/>
    <xf numFmtId="0" fontId="54" fillId="0" borderId="0" xfId="7" applyFont="1"/>
    <xf numFmtId="10" fontId="15" fillId="0" borderId="0" xfId="15" applyNumberFormat="1" applyFont="1"/>
    <xf numFmtId="3" fontId="0" fillId="0" borderId="0" xfId="0" applyNumberFormat="1" applyAlignment="1">
      <alignment horizontal="center"/>
    </xf>
    <xf numFmtId="0" fontId="50" fillId="0" borderId="23" xfId="0" applyFont="1" applyFill="1" applyBorder="1"/>
    <xf numFmtId="0" fontId="50" fillId="0" borderId="0" xfId="0" applyFont="1" applyFill="1" applyBorder="1" applyAlignment="1">
      <alignment horizontal="center"/>
    </xf>
    <xf numFmtId="0" fontId="50" fillId="0" borderId="63" xfId="0" applyFont="1" applyFill="1" applyBorder="1" applyAlignment="1">
      <alignment horizontal="center"/>
    </xf>
    <xf numFmtId="0" fontId="15" fillId="0" borderId="23" xfId="0" applyFont="1" applyFill="1" applyBorder="1"/>
    <xf numFmtId="3" fontId="15" fillId="35" borderId="0" xfId="0" applyNumberFormat="1" applyFont="1" applyFill="1" applyBorder="1" applyAlignment="1" applyProtection="1">
      <alignment horizontal="right"/>
    </xf>
    <xf numFmtId="0" fontId="15" fillId="10" borderId="23" xfId="0" applyFont="1" applyFill="1" applyBorder="1"/>
    <xf numFmtId="3" fontId="52" fillId="35" borderId="0" xfId="0" applyNumberFormat="1" applyFont="1" applyFill="1" applyBorder="1" applyAlignment="1" applyProtection="1">
      <alignment horizontal="right"/>
    </xf>
    <xf numFmtId="0" fontId="50" fillId="0" borderId="52" xfId="0" applyFont="1" applyFill="1" applyBorder="1" applyAlignment="1">
      <alignment horizontal="left"/>
    </xf>
    <xf numFmtId="3" fontId="50" fillId="0" borderId="11" xfId="0" applyNumberFormat="1" applyFont="1" applyBorder="1" applyAlignment="1">
      <alignment horizontal="right"/>
    </xf>
    <xf numFmtId="3" fontId="50" fillId="0" borderId="84" xfId="0" applyNumberFormat="1" applyFont="1" applyBorder="1" applyAlignment="1">
      <alignment horizontal="right"/>
    </xf>
    <xf numFmtId="0" fontId="50" fillId="28" borderId="0" xfId="0" applyFont="1" applyFill="1" applyBorder="1"/>
    <xf numFmtId="0" fontId="15" fillId="28" borderId="0" xfId="0" applyFont="1" applyFill="1"/>
    <xf numFmtId="168" fontId="15" fillId="28" borderId="0" xfId="0" applyNumberFormat="1" applyFont="1" applyFill="1"/>
    <xf numFmtId="0" fontId="15" fillId="28" borderId="0" xfId="0" applyFont="1" applyFill="1" applyBorder="1"/>
    <xf numFmtId="0" fontId="15" fillId="28" borderId="0" xfId="0" applyFont="1" applyFill="1" applyBorder="1" applyAlignment="1">
      <alignment horizontal="left"/>
    </xf>
    <xf numFmtId="0" fontId="15" fillId="0" borderId="0" xfId="0" applyFont="1"/>
    <xf numFmtId="1" fontId="37" fillId="13" borderId="50" xfId="0" applyNumberFormat="1" applyFont="1" applyFill="1" applyBorder="1" applyAlignment="1">
      <alignment horizontal="center" vertical="center"/>
    </xf>
    <xf numFmtId="169" fontId="0" fillId="0" borderId="0" xfId="0" applyNumberFormat="1"/>
    <xf numFmtId="0" fontId="5" fillId="0" borderId="0" xfId="0" applyFont="1" applyBorder="1" applyAlignment="1">
      <alignment horizontal="left" vertical="center" wrapText="1"/>
    </xf>
    <xf numFmtId="1" fontId="6"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3" xfId="0" applyFont="1" applyBorder="1" applyAlignment="1">
      <alignment horizontal="center" vertical="center" wrapText="1"/>
    </xf>
    <xf numFmtId="1" fontId="6" fillId="37" borderId="13" xfId="0" applyNumberFormat="1" applyFont="1" applyFill="1" applyBorder="1" applyAlignment="1">
      <alignment horizontal="center" vertical="center" wrapText="1"/>
    </xf>
    <xf numFmtId="0" fontId="6" fillId="37" borderId="13" xfId="0" applyFont="1" applyFill="1" applyBorder="1" applyAlignment="1">
      <alignment horizontal="center" vertical="center" wrapText="1"/>
    </xf>
    <xf numFmtId="0" fontId="5" fillId="0" borderId="13" xfId="0" applyFont="1" applyBorder="1" applyAlignment="1">
      <alignment horizontal="left" vertical="center" wrapText="1"/>
    </xf>
    <xf numFmtId="1" fontId="5" fillId="0" borderId="13"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1" fontId="5" fillId="0" borderId="0" xfId="0" applyNumberFormat="1" applyFont="1" applyAlignment="1">
      <alignment horizontal="center" vertical="center" wrapText="1"/>
    </xf>
    <xf numFmtId="0" fontId="19" fillId="0" borderId="0" xfId="0" applyFont="1" applyAlignment="1">
      <alignment horizontal="center" vertical="center" wrapText="1"/>
    </xf>
    <xf numFmtId="0" fontId="6" fillId="0" borderId="0" xfId="0" applyFont="1" applyBorder="1" applyAlignment="1">
      <alignment horizontal="left" vertical="center" wrapText="1"/>
    </xf>
    <xf numFmtId="0" fontId="19" fillId="0" borderId="0" xfId="0" applyFont="1" applyAlignment="1">
      <alignment horizontal="left" vertical="center" wrapText="1"/>
    </xf>
    <xf numFmtId="0" fontId="50" fillId="0" borderId="37" xfId="0" applyFont="1" applyFill="1" applyBorder="1"/>
    <xf numFmtId="0" fontId="50" fillId="0" borderId="7" xfId="0" applyFont="1" applyFill="1" applyBorder="1" applyAlignment="1">
      <alignment horizontal="center"/>
    </xf>
    <xf numFmtId="0" fontId="15" fillId="0" borderId="37" xfId="0" applyFont="1" applyFill="1" applyBorder="1"/>
    <xf numFmtId="173" fontId="50" fillId="0" borderId="7" xfId="14" applyNumberFormat="1" applyFont="1" applyFill="1" applyBorder="1"/>
    <xf numFmtId="0" fontId="15" fillId="10" borderId="37" xfId="0" applyFont="1" applyFill="1" applyBorder="1"/>
    <xf numFmtId="0" fontId="15" fillId="0" borderId="37" xfId="0" applyFont="1" applyFill="1" applyBorder="1" applyAlignment="1">
      <alignment horizontal="left"/>
    </xf>
    <xf numFmtId="168" fontId="15" fillId="0" borderId="0" xfId="0" applyNumberFormat="1" applyFont="1" applyFill="1" applyBorder="1"/>
    <xf numFmtId="168" fontId="15" fillId="0" borderId="7" xfId="0" applyNumberFormat="1" applyFont="1" applyFill="1" applyBorder="1"/>
    <xf numFmtId="0" fontId="50" fillId="28" borderId="37" xfId="0" applyFont="1" applyFill="1" applyBorder="1"/>
    <xf numFmtId="168" fontId="15" fillId="28" borderId="0" xfId="0" applyNumberFormat="1" applyFont="1" applyFill="1" applyBorder="1"/>
    <xf numFmtId="0" fontId="15" fillId="28" borderId="7" xfId="0" applyFont="1" applyFill="1" applyBorder="1"/>
    <xf numFmtId="0" fontId="15" fillId="28" borderId="37" xfId="0" applyFont="1" applyFill="1" applyBorder="1"/>
    <xf numFmtId="0" fontId="15" fillId="28" borderId="40" xfId="0" applyFont="1" applyFill="1" applyBorder="1" applyAlignment="1">
      <alignment horizontal="left"/>
    </xf>
    <xf numFmtId="168" fontId="15" fillId="28" borderId="33" xfId="0" applyNumberFormat="1" applyFont="1" applyFill="1" applyBorder="1"/>
    <xf numFmtId="0" fontId="50" fillId="0" borderId="0" xfId="7" applyFont="1" applyAlignment="1">
      <alignment horizontal="center" vertical="center"/>
    </xf>
    <xf numFmtId="0" fontId="60" fillId="0" borderId="0" xfId="7" applyFont="1"/>
    <xf numFmtId="0" fontId="60" fillId="0" borderId="0" xfId="7" applyFont="1" applyAlignment="1">
      <alignment horizontal="center"/>
    </xf>
    <xf numFmtId="3" fontId="60" fillId="0" borderId="0" xfId="7" applyNumberFormat="1" applyFont="1"/>
    <xf numFmtId="0" fontId="61" fillId="0" borderId="0" xfId="7" applyFont="1" applyAlignment="1">
      <alignment horizontal="center" vertical="center"/>
    </xf>
    <xf numFmtId="0" fontId="62" fillId="0" borderId="0" xfId="7" applyFont="1" applyAlignment="1">
      <alignment horizontal="center" vertical="center" wrapText="1"/>
    </xf>
    <xf numFmtId="0" fontId="61" fillId="0" borderId="0" xfId="7" applyFont="1" applyAlignment="1">
      <alignment horizontal="center"/>
    </xf>
    <xf numFmtId="0" fontId="63" fillId="0" borderId="0" xfId="0" applyFont="1"/>
    <xf numFmtId="0" fontId="0" fillId="17" borderId="0" xfId="0" applyFont="1" applyFill="1" applyBorder="1"/>
    <xf numFmtId="0" fontId="0" fillId="0" borderId="0" xfId="0" applyFont="1"/>
    <xf numFmtId="172" fontId="39"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2" fontId="39" fillId="0" borderId="0" xfId="0" applyNumberFormat="1" applyFont="1" applyFill="1" applyBorder="1" applyAlignment="1">
      <alignment horizontal="center"/>
    </xf>
    <xf numFmtId="172" fontId="39" fillId="0" borderId="7" xfId="0" applyNumberFormat="1" applyFont="1" applyFill="1" applyBorder="1" applyAlignment="1">
      <alignment horizontal="center"/>
    </xf>
    <xf numFmtId="0" fontId="70" fillId="0" borderId="0" xfId="0" applyFont="1" applyFill="1" applyBorder="1" applyAlignment="1">
      <alignment vertical="center"/>
    </xf>
    <xf numFmtId="0" fontId="70" fillId="0" borderId="0" xfId="0" applyFont="1" applyFill="1" applyAlignment="1">
      <alignment vertical="center"/>
    </xf>
    <xf numFmtId="0" fontId="9" fillId="32" borderId="26" xfId="0" applyFont="1" applyFill="1" applyBorder="1" applyAlignment="1">
      <alignment horizontal="center"/>
    </xf>
    <xf numFmtId="0" fontId="39" fillId="0" borderId="0" xfId="0" applyFont="1" applyFill="1" applyBorder="1" applyAlignment="1">
      <alignment horizontal="left" vertical="center"/>
    </xf>
    <xf numFmtId="0" fontId="64" fillId="9" borderId="0" xfId="0" applyFont="1" applyFill="1" applyBorder="1" applyAlignment="1">
      <alignment horizontal="center"/>
    </xf>
    <xf numFmtId="1" fontId="67" fillId="40" borderId="35" xfId="0" applyNumberFormat="1" applyFont="1" applyFill="1" applyBorder="1" applyAlignment="1">
      <alignment horizontal="left" vertical="center"/>
    </xf>
    <xf numFmtId="172" fontId="67" fillId="40" borderId="29" xfId="0" applyNumberFormat="1" applyFont="1" applyFill="1" applyBorder="1" applyAlignment="1">
      <alignment horizontal="center" vertical="center"/>
    </xf>
    <xf numFmtId="172" fontId="67" fillId="40" borderId="30" xfId="0" applyNumberFormat="1" applyFont="1" applyFill="1" applyBorder="1" applyAlignment="1">
      <alignment horizontal="center" vertical="center"/>
    </xf>
    <xf numFmtId="0" fontId="0" fillId="0" borderId="0" xfId="0" applyFont="1" applyAlignment="1">
      <alignment vertical="center"/>
    </xf>
    <xf numFmtId="0" fontId="39" fillId="11" borderId="52" xfId="0" applyFont="1" applyFill="1" applyBorder="1"/>
    <xf numFmtId="1" fontId="0" fillId="0" borderId="0" xfId="0" applyNumberFormat="1" applyFont="1"/>
    <xf numFmtId="1" fontId="73" fillId="0" borderId="11" xfId="0" applyNumberFormat="1" applyFont="1" applyFill="1" applyBorder="1" applyAlignment="1">
      <alignment horizontal="center"/>
    </xf>
    <xf numFmtId="0" fontId="69" fillId="11" borderId="37" xfId="0" applyFont="1" applyFill="1" applyBorder="1"/>
    <xf numFmtId="1" fontId="73" fillId="0" borderId="0" xfId="0" applyNumberFormat="1" applyFont="1" applyFill="1" applyBorder="1" applyAlignment="1">
      <alignment horizontal="center"/>
    </xf>
    <xf numFmtId="0" fontId="69" fillId="11" borderId="40" xfId="0" applyFont="1" applyFill="1" applyBorder="1"/>
    <xf numFmtId="1" fontId="73" fillId="0" borderId="33" xfId="0" applyNumberFormat="1" applyFont="1" applyFill="1" applyBorder="1" applyAlignment="1">
      <alignment horizontal="center"/>
    </xf>
    <xf numFmtId="172" fontId="73" fillId="16" borderId="0" xfId="0" applyNumberFormat="1" applyFont="1" applyFill="1" applyBorder="1" applyAlignment="1">
      <alignment horizontal="center"/>
    </xf>
    <xf numFmtId="1" fontId="0" fillId="16" borderId="0" xfId="0" applyNumberFormat="1" applyFont="1" applyFill="1"/>
    <xf numFmtId="0" fontId="69" fillId="11" borderId="0" xfId="0" applyFont="1" applyFill="1" applyBorder="1"/>
    <xf numFmtId="172" fontId="74" fillId="16" borderId="0" xfId="0" applyNumberFormat="1" applyFont="1" applyFill="1" applyBorder="1" applyAlignment="1">
      <alignment horizontal="center"/>
    </xf>
    <xf numFmtId="1" fontId="67" fillId="15" borderId="35" xfId="0" applyNumberFormat="1" applyFont="1" applyFill="1" applyBorder="1" applyAlignment="1">
      <alignment horizontal="left" vertical="center"/>
    </xf>
    <xf numFmtId="172" fontId="67" fillId="15" borderId="29" xfId="0" applyNumberFormat="1" applyFont="1" applyFill="1" applyBorder="1" applyAlignment="1">
      <alignment horizontal="center" vertical="center"/>
    </xf>
    <xf numFmtId="172" fontId="67" fillId="15" borderId="30" xfId="0" applyNumberFormat="1" applyFont="1" applyFill="1" applyBorder="1" applyAlignment="1">
      <alignment horizontal="center" vertical="center"/>
    </xf>
    <xf numFmtId="172" fontId="0" fillId="0" borderId="0" xfId="0" applyNumberFormat="1" applyFont="1" applyBorder="1"/>
    <xf numFmtId="172" fontId="73" fillId="0" borderId="0" xfId="18" applyNumberFormat="1" applyFont="1" applyFill="1" applyBorder="1" applyAlignment="1">
      <alignment horizontal="center"/>
    </xf>
    <xf numFmtId="1" fontId="74" fillId="0" borderId="0" xfId="18" applyNumberFormat="1" applyFont="1" applyFill="1" applyBorder="1" applyAlignment="1">
      <alignment horizontal="center"/>
    </xf>
    <xf numFmtId="172" fontId="39" fillId="15" borderId="66" xfId="0" applyNumberFormat="1" applyFont="1" applyFill="1" applyBorder="1" applyAlignment="1">
      <alignment horizontal="center"/>
    </xf>
    <xf numFmtId="172" fontId="39" fillId="15" borderId="34" xfId="0" applyNumberFormat="1" applyFont="1" applyFill="1" applyBorder="1" applyAlignment="1">
      <alignment horizontal="center"/>
    </xf>
    <xf numFmtId="172" fontId="39" fillId="15" borderId="67" xfId="0" applyNumberFormat="1" applyFont="1" applyFill="1" applyBorder="1" applyAlignment="1">
      <alignment horizontal="center"/>
    </xf>
    <xf numFmtId="0" fontId="39" fillId="38" borderId="52" xfId="0" applyFont="1" applyFill="1" applyBorder="1"/>
    <xf numFmtId="0" fontId="69" fillId="38" borderId="37" xfId="0" applyFont="1" applyFill="1" applyBorder="1"/>
    <xf numFmtId="0" fontId="69" fillId="38" borderId="40" xfId="0" applyFont="1" applyFill="1" applyBorder="1"/>
    <xf numFmtId="172" fontId="67" fillId="16" borderId="0" xfId="0" applyNumberFormat="1" applyFont="1" applyFill="1" applyBorder="1" applyAlignment="1">
      <alignment horizontal="center" vertical="top"/>
    </xf>
    <xf numFmtId="1" fontId="67" fillId="30" borderId="35" xfId="0" applyNumberFormat="1" applyFont="1" applyFill="1" applyBorder="1" applyAlignment="1">
      <alignment horizontal="left" vertical="center"/>
    </xf>
    <xf numFmtId="172" fontId="67" fillId="30" borderId="29" xfId="0" applyNumberFormat="1" applyFont="1" applyFill="1" applyBorder="1" applyAlignment="1">
      <alignment horizontal="center" vertical="center"/>
    </xf>
    <xf numFmtId="172" fontId="67" fillId="30" borderId="30" xfId="0" applyNumberFormat="1" applyFont="1" applyFill="1" applyBorder="1" applyAlignment="1">
      <alignment horizontal="center" vertical="center"/>
    </xf>
    <xf numFmtId="172" fontId="39" fillId="30" borderId="37" xfId="0" applyNumberFormat="1" applyFont="1" applyFill="1" applyBorder="1" applyAlignment="1">
      <alignment horizontal="center"/>
    </xf>
    <xf numFmtId="172" fontId="39" fillId="30" borderId="0" xfId="0" applyNumberFormat="1" applyFont="1" applyFill="1" applyBorder="1" applyAlignment="1">
      <alignment horizontal="center"/>
    </xf>
    <xf numFmtId="172" fontId="39" fillId="30" borderId="7" xfId="0" applyNumberFormat="1" applyFont="1" applyFill="1" applyBorder="1" applyAlignment="1">
      <alignment horizontal="center"/>
    </xf>
    <xf numFmtId="0" fontId="39" fillId="39" borderId="52" xfId="0" applyFont="1" applyFill="1" applyBorder="1"/>
    <xf numFmtId="0" fontId="69" fillId="39" borderId="37" xfId="0" applyFont="1" applyFill="1" applyBorder="1"/>
    <xf numFmtId="0" fontId="69" fillId="39" borderId="40" xfId="0" applyFont="1" applyFill="1" applyBorder="1"/>
    <xf numFmtId="0" fontId="70" fillId="0" borderId="0" xfId="0" applyFont="1" applyFill="1" applyBorder="1" applyAlignment="1">
      <alignment horizontal="left"/>
    </xf>
    <xf numFmtId="3" fontId="0" fillId="0" borderId="5" xfId="0" applyNumberFormat="1" applyBorder="1"/>
    <xf numFmtId="0" fontId="5" fillId="0" borderId="35" xfId="0" applyFont="1" applyBorder="1"/>
    <xf numFmtId="166" fontId="5" fillId="0" borderId="29" xfId="3" applyFont="1" applyBorder="1" applyAlignment="1">
      <alignment horizontal="left"/>
    </xf>
    <xf numFmtId="169" fontId="5" fillId="0" borderId="11" xfId="0" applyNumberFormat="1" applyFont="1" applyBorder="1"/>
    <xf numFmtId="0" fontId="5" fillId="0" borderId="52" xfId="0" applyFont="1" applyBorder="1" applyAlignment="1">
      <alignment horizontal="right"/>
    </xf>
    <xf numFmtId="0" fontId="0" fillId="0" borderId="0" xfId="0" applyAlignment="1">
      <alignment horizontal="left" indent="1"/>
    </xf>
    <xf numFmtId="0" fontId="35" fillId="0" borderId="0" xfId="0" applyFont="1" applyAlignment="1">
      <alignment horizontal="left" indent="1"/>
    </xf>
    <xf numFmtId="0" fontId="76" fillId="0" borderId="0" xfId="23" applyFont="1" applyBorder="1" applyAlignment="1">
      <alignment horizontal="left" vertical="center" wrapText="1" indent="1"/>
    </xf>
    <xf numFmtId="3" fontId="76" fillId="0" borderId="0" xfId="23" applyNumberFormat="1" applyFont="1" applyBorder="1" applyAlignment="1">
      <alignment horizontal="center" vertical="center" wrapText="1"/>
    </xf>
    <xf numFmtId="0" fontId="76" fillId="0" borderId="0" xfId="23" applyFont="1" applyBorder="1" applyAlignment="1">
      <alignment horizontal="center" vertical="center" wrapText="1"/>
    </xf>
    <xf numFmtId="1" fontId="0" fillId="0" borderId="0" xfId="0" applyNumberFormat="1"/>
    <xf numFmtId="0" fontId="78" fillId="28" borderId="114" xfId="23" applyFont="1" applyFill="1" applyBorder="1" applyAlignment="1">
      <alignment horizontal="left" vertical="top" wrapText="1" indent="1"/>
    </xf>
    <xf numFmtId="0" fontId="77" fillId="0" borderId="114" xfId="23" applyFont="1" applyBorder="1" applyAlignment="1">
      <alignment horizontal="left" vertical="top" wrapText="1" indent="1"/>
    </xf>
    <xf numFmtId="3" fontId="77" fillId="0" borderId="115" xfId="23" applyNumberFormat="1" applyFont="1" applyBorder="1" applyAlignment="1">
      <alignment horizontal="center" vertical="center"/>
    </xf>
    <xf numFmtId="0" fontId="78" fillId="28" borderId="117" xfId="23" applyFont="1" applyFill="1" applyBorder="1" applyAlignment="1">
      <alignment horizontal="left" vertical="top" wrapText="1" indent="1"/>
    </xf>
    <xf numFmtId="3" fontId="78" fillId="28" borderId="118" xfId="23" applyNumberFormat="1" applyFont="1" applyFill="1" applyBorder="1" applyAlignment="1">
      <alignment horizontal="center" vertical="center"/>
    </xf>
    <xf numFmtId="172" fontId="0" fillId="0" borderId="0" xfId="0" applyNumberFormat="1"/>
    <xf numFmtId="0" fontId="40" fillId="0" borderId="0" xfId="0" applyFont="1"/>
    <xf numFmtId="0" fontId="5" fillId="0" borderId="34" xfId="0" applyFont="1" applyBorder="1"/>
    <xf numFmtId="3" fontId="80" fillId="0" borderId="1" xfId="0" applyNumberFormat="1" applyFont="1" applyFill="1" applyBorder="1"/>
    <xf numFmtId="0" fontId="5" fillId="15" borderId="0" xfId="0" applyFont="1" applyFill="1" applyAlignment="1">
      <alignment horizontal="center" vertical="center" wrapText="1"/>
    </xf>
    <xf numFmtId="9" fontId="0" fillId="15" borderId="0" xfId="2" applyFont="1" applyFill="1"/>
    <xf numFmtId="169" fontId="0" fillId="0" borderId="0" xfId="1" applyNumberFormat="1" applyFont="1" applyAlignment="1">
      <alignment wrapText="1"/>
    </xf>
    <xf numFmtId="0" fontId="19" fillId="0" borderId="0" xfId="0" applyFont="1"/>
    <xf numFmtId="0" fontId="19" fillId="0" borderId="69" xfId="0" applyFont="1" applyBorder="1" applyAlignment="1">
      <alignment horizontal="center" vertical="center"/>
    </xf>
    <xf numFmtId="0" fontId="78" fillId="0" borderId="111" xfId="23" applyFont="1" applyBorder="1" applyAlignment="1">
      <alignment horizontal="center" vertical="center" wrapText="1"/>
    </xf>
    <xf numFmtId="3" fontId="78" fillId="0" borderId="112" xfId="23" applyNumberFormat="1" applyFont="1" applyBorder="1" applyAlignment="1">
      <alignment horizontal="center" vertical="center" wrapText="1"/>
    </xf>
    <xf numFmtId="0" fontId="78" fillId="0" borderId="113" xfId="23" applyFont="1" applyBorder="1" applyAlignment="1">
      <alignment horizontal="center" vertical="center" wrapText="1"/>
    </xf>
    <xf numFmtId="0" fontId="0" fillId="0" borderId="0" xfId="0" pivotButton="1"/>
    <xf numFmtId="0" fontId="0" fillId="0" borderId="0" xfId="0" applyNumberFormat="1"/>
    <xf numFmtId="9" fontId="97" fillId="0" borderId="0" xfId="2" applyFont="1" applyAlignment="1">
      <alignment horizontal="center" vertical="center"/>
    </xf>
    <xf numFmtId="0" fontId="14" fillId="0" borderId="0" xfId="0" applyFont="1"/>
    <xf numFmtId="0" fontId="0" fillId="0" borderId="0" xfId="0" applyAlignment="1">
      <alignment horizontal="center"/>
    </xf>
    <xf numFmtId="3" fontId="0" fillId="0" borderId="52" xfId="0" applyNumberFormat="1" applyBorder="1"/>
    <xf numFmtId="3" fontId="0" fillId="0" borderId="11" xfId="0" applyNumberFormat="1" applyBorder="1"/>
    <xf numFmtId="9" fontId="0" fillId="0" borderId="11" xfId="2" applyFont="1" applyBorder="1"/>
    <xf numFmtId="9" fontId="0" fillId="0" borderId="84" xfId="2" applyFont="1" applyBorder="1"/>
    <xf numFmtId="168" fontId="77" fillId="0" borderId="116" xfId="2" applyNumberFormat="1" applyFont="1" applyBorder="1" applyAlignment="1">
      <alignment horizontal="center" vertical="center"/>
    </xf>
    <xf numFmtId="168" fontId="78" fillId="28" borderId="119" xfId="23" applyNumberFormat="1" applyFont="1" applyFill="1" applyBorder="1" applyAlignment="1">
      <alignment horizontal="center" vertical="center" wrapText="1"/>
    </xf>
    <xf numFmtId="0" fontId="0" fillId="0" borderId="0" xfId="0" applyAlignment="1">
      <alignment vertical="center"/>
    </xf>
    <xf numFmtId="0" fontId="109" fillId="17" borderId="0" xfId="85" applyFont="1" applyFill="1"/>
    <xf numFmtId="0" fontId="109" fillId="0" borderId="0" xfId="85" applyFont="1" applyFill="1"/>
    <xf numFmtId="0" fontId="110" fillId="9" borderId="0" xfId="85" applyFont="1" applyFill="1"/>
    <xf numFmtId="0" fontId="111" fillId="9" borderId="0" xfId="85" applyFont="1" applyFill="1" applyAlignment="1">
      <alignment horizontal="center"/>
    </xf>
    <xf numFmtId="0" fontId="109" fillId="4" borderId="0" xfId="85" applyFont="1" applyFill="1" applyBorder="1"/>
    <xf numFmtId="0" fontId="112" fillId="74" borderId="0" xfId="85" applyFont="1" applyFill="1" applyBorder="1" applyAlignment="1">
      <alignment horizontal="center"/>
    </xf>
    <xf numFmtId="0" fontId="114" fillId="0" borderId="0" xfId="85" applyFont="1" applyFill="1"/>
    <xf numFmtId="0" fontId="109" fillId="0" borderId="0" xfId="85" applyFont="1"/>
    <xf numFmtId="0" fontId="110" fillId="0" borderId="0" xfId="85" applyFont="1" applyFill="1"/>
    <xf numFmtId="0" fontId="115" fillId="0" borderId="0" xfId="85" applyFont="1" applyFill="1" applyAlignment="1">
      <alignment horizontal="center"/>
    </xf>
    <xf numFmtId="0" fontId="20" fillId="0" borderId="0" xfId="85" applyFont="1" applyFill="1" applyBorder="1" applyAlignment="1">
      <alignment horizontal="center"/>
    </xf>
    <xf numFmtId="0" fontId="112" fillId="0" borderId="0" xfId="85" applyFont="1" applyFill="1" applyBorder="1" applyAlignment="1">
      <alignment horizontal="center"/>
    </xf>
    <xf numFmtId="0" fontId="111" fillId="0" borderId="0" xfId="85" applyFont="1" applyFill="1" applyBorder="1" applyAlignment="1">
      <alignment horizontal="center"/>
    </xf>
    <xf numFmtId="0" fontId="111" fillId="10" borderId="141" xfId="85" applyFont="1" applyFill="1" applyBorder="1" applyAlignment="1">
      <alignment horizontal="center"/>
    </xf>
    <xf numFmtId="0" fontId="111" fillId="10" borderId="142" xfId="85" applyFont="1" applyFill="1" applyBorder="1" applyAlignment="1">
      <alignment horizontal="center"/>
    </xf>
    <xf numFmtId="0" fontId="111" fillId="10" borderId="143" xfId="85" applyFont="1" applyFill="1" applyBorder="1" applyAlignment="1">
      <alignment horizontal="center"/>
    </xf>
    <xf numFmtId="0" fontId="111" fillId="73" borderId="36" xfId="85" applyFont="1" applyFill="1" applyBorder="1" applyAlignment="1">
      <alignment horizontal="center"/>
    </xf>
    <xf numFmtId="0" fontId="111" fillId="73" borderId="27" xfId="85" applyFont="1" applyFill="1" applyBorder="1" applyAlignment="1">
      <alignment horizontal="center"/>
    </xf>
    <xf numFmtId="0" fontId="111" fillId="27" borderId="144" xfId="85" applyFont="1" applyFill="1" applyBorder="1" applyAlignment="1">
      <alignment horizontal="center"/>
    </xf>
    <xf numFmtId="0" fontId="111" fillId="27" borderId="145" xfId="85" applyFont="1" applyFill="1" applyBorder="1" applyAlignment="1">
      <alignment horizontal="center"/>
    </xf>
    <xf numFmtId="0" fontId="111" fillId="27" borderId="146" xfId="85" applyFont="1" applyFill="1" applyBorder="1" applyAlignment="1">
      <alignment horizontal="center"/>
    </xf>
    <xf numFmtId="0" fontId="111" fillId="0" borderId="147" xfId="85" applyFont="1" applyFill="1" applyBorder="1" applyAlignment="1">
      <alignment horizontal="center"/>
    </xf>
    <xf numFmtId="0" fontId="111" fillId="0" borderId="148" xfId="85" applyFont="1" applyFill="1" applyBorder="1" applyAlignment="1">
      <alignment horizontal="center"/>
    </xf>
    <xf numFmtId="0" fontId="109" fillId="0" borderId="0" xfId="85" applyFont="1" applyFill="1" applyBorder="1"/>
    <xf numFmtId="0" fontId="111" fillId="0" borderId="23" xfId="85" applyFont="1" applyFill="1" applyBorder="1" applyAlignment="1">
      <alignment horizontal="center"/>
    </xf>
    <xf numFmtId="0" fontId="111" fillId="0" borderId="150" xfId="85" applyFont="1" applyFill="1" applyBorder="1" applyAlignment="1">
      <alignment horizontal="center"/>
    </xf>
    <xf numFmtId="0" fontId="111" fillId="0" borderId="151" xfId="85" applyFont="1" applyFill="1" applyBorder="1" applyAlignment="1">
      <alignment horizontal="center"/>
    </xf>
    <xf numFmtId="0" fontId="111" fillId="0" borderId="152" xfId="85" applyFont="1" applyFill="1" applyBorder="1" applyAlignment="1">
      <alignment horizontal="center"/>
    </xf>
    <xf numFmtId="0" fontId="111" fillId="16" borderId="151" xfId="85" applyFont="1" applyFill="1" applyBorder="1" applyAlignment="1">
      <alignment horizontal="center"/>
    </xf>
    <xf numFmtId="0" fontId="111" fillId="16" borderId="0" xfId="85" applyFont="1" applyFill="1" applyBorder="1" applyAlignment="1">
      <alignment horizontal="center"/>
    </xf>
    <xf numFmtId="0" fontId="111" fillId="16" borderId="23" xfId="85" applyFont="1" applyFill="1" applyBorder="1" applyAlignment="1">
      <alignment horizontal="center"/>
    </xf>
    <xf numFmtId="0" fontId="111" fillId="16" borderId="153" xfId="85" applyFont="1" applyFill="1" applyBorder="1" applyAlignment="1">
      <alignment horizontal="center"/>
    </xf>
    <xf numFmtId="0" fontId="111" fillId="16" borderId="154" xfId="85" applyFont="1" applyFill="1" applyBorder="1" applyAlignment="1">
      <alignment horizontal="center"/>
    </xf>
    <xf numFmtId="0" fontId="111" fillId="16" borderId="155" xfId="85" applyFont="1" applyFill="1" applyBorder="1" applyAlignment="1">
      <alignment horizontal="center"/>
    </xf>
    <xf numFmtId="0" fontId="111" fillId="3" borderId="156" xfId="85" applyFont="1" applyFill="1" applyBorder="1" applyAlignment="1">
      <alignment horizontal="center"/>
    </xf>
    <xf numFmtId="0" fontId="111" fillId="3" borderId="0" xfId="85" applyFont="1" applyFill="1" applyBorder="1" applyAlignment="1">
      <alignment horizontal="center"/>
    </xf>
    <xf numFmtId="0" fontId="111" fillId="0" borderId="157" xfId="85" applyFont="1" applyFill="1" applyBorder="1" applyAlignment="1">
      <alignment horizontal="center"/>
    </xf>
    <xf numFmtId="0" fontId="111" fillId="0" borderId="154" xfId="85" applyFont="1" applyFill="1" applyBorder="1" applyAlignment="1">
      <alignment horizontal="center"/>
    </xf>
    <xf numFmtId="0" fontId="111" fillId="73" borderId="0" xfId="85" applyFont="1" applyFill="1" applyBorder="1" applyAlignment="1">
      <alignment horizontal="center"/>
    </xf>
    <xf numFmtId="0" fontId="116" fillId="4" borderId="0" xfId="85" applyFont="1" applyFill="1" applyBorder="1"/>
    <xf numFmtId="172" fontId="109" fillId="4" borderId="0" xfId="85" applyNumberFormat="1" applyFont="1" applyFill="1" applyBorder="1"/>
    <xf numFmtId="172" fontId="20" fillId="4" borderId="0" xfId="85" applyNumberFormat="1" applyFont="1" applyFill="1" applyBorder="1" applyAlignment="1">
      <alignment horizontal="right"/>
    </xf>
    <xf numFmtId="0" fontId="111" fillId="10" borderId="216" xfId="85" applyFont="1" applyFill="1" applyBorder="1" applyAlignment="1">
      <alignment horizontal="center"/>
    </xf>
    <xf numFmtId="0" fontId="111" fillId="73" borderId="217" xfId="85" applyFont="1" applyFill="1" applyBorder="1" applyAlignment="1">
      <alignment horizontal="center"/>
    </xf>
    <xf numFmtId="0" fontId="111" fillId="73" borderId="143" xfId="85" applyFont="1" applyFill="1" applyBorder="1" applyAlignment="1">
      <alignment horizontal="center"/>
    </xf>
    <xf numFmtId="0" fontId="111" fillId="0" borderId="218" xfId="85" applyFont="1" applyFill="1" applyBorder="1" applyAlignment="1">
      <alignment horizontal="center"/>
    </xf>
    <xf numFmtId="0" fontId="111" fillId="3" borderId="219" xfId="85" applyFont="1" applyFill="1" applyBorder="1" applyAlignment="1">
      <alignment horizontal="center"/>
    </xf>
    <xf numFmtId="0" fontId="110" fillId="0" borderId="0" xfId="85" applyFont="1"/>
    <xf numFmtId="0" fontId="111" fillId="2" borderId="0" xfId="85" applyFont="1" applyFill="1" applyBorder="1" applyAlignment="1">
      <alignment horizontal="center"/>
    </xf>
    <xf numFmtId="0" fontId="114" fillId="4" borderId="0" xfId="85" applyFont="1" applyFill="1" applyBorder="1"/>
    <xf numFmtId="0" fontId="115" fillId="0" borderId="151" xfId="85" applyFont="1" applyFill="1" applyBorder="1" applyAlignment="1">
      <alignment horizontal="center"/>
    </xf>
    <xf numFmtId="0" fontId="115" fillId="0" borderId="0" xfId="85" applyFont="1" applyFill="1" applyBorder="1" applyAlignment="1">
      <alignment horizontal="center"/>
    </xf>
    <xf numFmtId="0" fontId="115" fillId="0" borderId="152" xfId="85" applyFont="1" applyFill="1" applyBorder="1" applyAlignment="1">
      <alignment horizontal="center"/>
    </xf>
    <xf numFmtId="0" fontId="117" fillId="0" borderId="0" xfId="85" applyFont="1"/>
    <xf numFmtId="0" fontId="118" fillId="17" borderId="0" xfId="85" applyFont="1" applyFill="1"/>
    <xf numFmtId="0" fontId="109" fillId="17" borderId="0" xfId="85" applyFont="1" applyFill="1" applyBorder="1"/>
    <xf numFmtId="0" fontId="118" fillId="0" borderId="0" xfId="85" applyFont="1"/>
    <xf numFmtId="0" fontId="119" fillId="4" borderId="0" xfId="85" applyFont="1" applyFill="1"/>
    <xf numFmtId="0" fontId="109" fillId="0" borderId="0" xfId="85" applyFont="1" applyBorder="1"/>
    <xf numFmtId="0" fontId="118" fillId="0" borderId="0" xfId="85" applyFont="1" applyFill="1"/>
    <xf numFmtId="0" fontId="119" fillId="4" borderId="0" xfId="85" applyFont="1" applyFill="1" applyBorder="1"/>
    <xf numFmtId="0" fontId="119" fillId="0" borderId="0" xfId="85" applyFont="1" applyFill="1" applyBorder="1"/>
    <xf numFmtId="0" fontId="20" fillId="9" borderId="0" xfId="85" applyFont="1" applyFill="1"/>
    <xf numFmtId="0" fontId="120" fillId="27" borderId="0" xfId="85" applyFont="1" applyFill="1" applyBorder="1" applyAlignment="1">
      <alignment horizontal="center"/>
    </xf>
    <xf numFmtId="0" fontId="120" fillId="2" borderId="0" xfId="85" applyFont="1" applyFill="1" applyBorder="1" applyAlignment="1">
      <alignment horizontal="center"/>
    </xf>
    <xf numFmtId="0" fontId="120" fillId="76" borderId="0" xfId="85" applyFont="1" applyFill="1" applyBorder="1" applyAlignment="1">
      <alignment horizontal="center"/>
    </xf>
    <xf numFmtId="0" fontId="20" fillId="0" borderId="0" xfId="85" applyFont="1" applyFill="1"/>
    <xf numFmtId="0" fontId="113" fillId="16" borderId="159" xfId="85" applyFont="1" applyFill="1" applyBorder="1" applyAlignment="1">
      <alignment horizontal="center"/>
    </xf>
    <xf numFmtId="0" fontId="113" fillId="16" borderId="160" xfId="85" applyFont="1" applyFill="1" applyBorder="1" applyAlignment="1">
      <alignment horizontal="center"/>
    </xf>
    <xf numFmtId="0" fontId="113" fillId="16" borderId="161" xfId="85" applyFont="1" applyFill="1" applyBorder="1" applyAlignment="1">
      <alignment horizontal="center"/>
    </xf>
    <xf numFmtId="0" fontId="113" fillId="16" borderId="134" xfId="85" applyFont="1" applyFill="1" applyBorder="1" applyAlignment="1">
      <alignment horizontal="center"/>
    </xf>
    <xf numFmtId="0" fontId="113" fillId="16" borderId="73" xfId="85" applyFont="1" applyFill="1" applyBorder="1" applyAlignment="1">
      <alignment horizontal="center"/>
    </xf>
    <xf numFmtId="0" fontId="113" fillId="16" borderId="132" xfId="85" applyFont="1" applyFill="1" applyBorder="1" applyAlignment="1">
      <alignment horizontal="center"/>
    </xf>
    <xf numFmtId="0" fontId="113" fillId="16" borderId="162" xfId="85" applyFont="1" applyFill="1" applyBorder="1" applyAlignment="1">
      <alignment horizontal="center"/>
    </xf>
    <xf numFmtId="0" fontId="113" fillId="16" borderId="163" xfId="85" applyFont="1" applyFill="1" applyBorder="1" applyAlignment="1">
      <alignment horizontal="center"/>
    </xf>
    <xf numFmtId="0" fontId="113" fillId="16" borderId="164" xfId="85" applyFont="1" applyFill="1" applyBorder="1" applyAlignment="1">
      <alignment horizontal="center"/>
    </xf>
    <xf numFmtId="0" fontId="113" fillId="16" borderId="165" xfId="85" applyFont="1" applyFill="1" applyBorder="1" applyAlignment="1">
      <alignment horizontal="center"/>
    </xf>
    <xf numFmtId="0" fontId="113" fillId="16" borderId="166" xfId="85" applyFont="1" applyFill="1" applyBorder="1" applyAlignment="1">
      <alignment horizontal="center"/>
    </xf>
    <xf numFmtId="0" fontId="113" fillId="16" borderId="167" xfId="85" applyFont="1" applyFill="1" applyBorder="1" applyAlignment="1">
      <alignment horizontal="center"/>
    </xf>
    <xf numFmtId="0" fontId="113" fillId="16" borderId="23" xfId="85" applyFont="1" applyFill="1" applyBorder="1" applyAlignment="1">
      <alignment horizontal="center"/>
    </xf>
    <xf numFmtId="0" fontId="113" fillId="16" borderId="0" xfId="85" applyFont="1" applyFill="1" applyBorder="1" applyAlignment="1">
      <alignment horizontal="center"/>
    </xf>
    <xf numFmtId="0" fontId="113" fillId="16" borderId="168" xfId="85" applyFont="1" applyFill="1" applyBorder="1" applyAlignment="1">
      <alignment horizontal="center"/>
    </xf>
    <xf numFmtId="0" fontId="113" fillId="16" borderId="169" xfId="85" applyFont="1" applyFill="1" applyBorder="1" applyAlignment="1">
      <alignment horizontal="center"/>
    </xf>
    <xf numFmtId="0" fontId="113" fillId="16" borderId="170" xfId="85" applyFont="1" applyFill="1" applyBorder="1" applyAlignment="1">
      <alignment horizontal="center"/>
    </xf>
    <xf numFmtId="0" fontId="113" fillId="16" borderId="171" xfId="85" applyFont="1" applyFill="1" applyBorder="1" applyAlignment="1">
      <alignment horizontal="center"/>
    </xf>
    <xf numFmtId="0" fontId="113" fillId="16" borderId="172" xfId="85" applyFont="1" applyFill="1" applyBorder="1" applyAlignment="1">
      <alignment horizontal="center"/>
    </xf>
    <xf numFmtId="0" fontId="113" fillId="16" borderId="173" xfId="85" applyFont="1" applyFill="1" applyBorder="1" applyAlignment="1">
      <alignment horizontal="center"/>
    </xf>
    <xf numFmtId="0" fontId="113" fillId="16" borderId="174" xfId="85" applyFont="1" applyFill="1" applyBorder="1" applyAlignment="1">
      <alignment horizontal="center"/>
    </xf>
    <xf numFmtId="0" fontId="113" fillId="16" borderId="175" xfId="85" applyFont="1" applyFill="1" applyBorder="1" applyAlignment="1">
      <alignment horizontal="center"/>
    </xf>
    <xf numFmtId="0" fontId="113" fillId="16" borderId="176" xfId="85" applyFont="1" applyFill="1" applyBorder="1" applyAlignment="1">
      <alignment horizontal="center"/>
    </xf>
    <xf numFmtId="0" fontId="113" fillId="16" borderId="78" xfId="85" applyFont="1" applyFill="1" applyBorder="1" applyAlignment="1">
      <alignment horizontal="center"/>
    </xf>
    <xf numFmtId="0" fontId="113" fillId="4" borderId="175" xfId="85" applyFont="1" applyFill="1" applyBorder="1" applyAlignment="1">
      <alignment horizontal="center"/>
    </xf>
    <xf numFmtId="0" fontId="113" fillId="4" borderId="176" xfId="85" applyFont="1" applyFill="1" applyBorder="1" applyAlignment="1">
      <alignment horizontal="center"/>
    </xf>
    <xf numFmtId="0" fontId="113" fillId="4" borderId="78" xfId="85" applyFont="1" applyFill="1" applyBorder="1" applyAlignment="1">
      <alignment horizontal="center"/>
    </xf>
    <xf numFmtId="0" fontId="20" fillId="4" borderId="0" xfId="85" applyFont="1" applyFill="1" applyBorder="1" applyAlignment="1">
      <alignment horizontal="center"/>
    </xf>
    <xf numFmtId="0" fontId="20" fillId="17" borderId="0" xfId="85" applyFont="1" applyFill="1"/>
    <xf numFmtId="0" fontId="20" fillId="9" borderId="4" xfId="85" applyFont="1" applyFill="1" applyBorder="1"/>
    <xf numFmtId="3" fontId="20" fillId="77" borderId="177" xfId="85" applyNumberFormat="1" applyFont="1" applyFill="1" applyBorder="1"/>
    <xf numFmtId="3" fontId="20" fillId="77" borderId="1" xfId="85" applyNumberFormat="1" applyFont="1" applyFill="1" applyBorder="1"/>
    <xf numFmtId="3" fontId="20" fillId="77" borderId="178" xfId="85" applyNumberFormat="1" applyFont="1" applyFill="1" applyBorder="1"/>
    <xf numFmtId="3" fontId="111" fillId="28" borderId="177" xfId="85" applyNumberFormat="1" applyFont="1" applyFill="1" applyBorder="1"/>
    <xf numFmtId="3" fontId="111" fillId="28" borderId="1" xfId="85" applyNumberFormat="1" applyFont="1" applyFill="1" applyBorder="1"/>
    <xf numFmtId="3" fontId="111" fillId="28" borderId="178" xfId="85" applyNumberFormat="1" applyFont="1" applyFill="1" applyBorder="1"/>
    <xf numFmtId="3" fontId="111" fillId="0" borderId="134" xfId="85" applyNumberFormat="1" applyFont="1" applyBorder="1"/>
    <xf numFmtId="3" fontId="111" fillId="0" borderId="73" xfId="85" applyNumberFormat="1" applyFont="1" applyBorder="1"/>
    <xf numFmtId="3" fontId="111" fillId="78" borderId="73" xfId="85" applyNumberFormat="1" applyFont="1" applyFill="1" applyBorder="1"/>
    <xf numFmtId="3" fontId="111" fillId="78" borderId="132" xfId="85" applyNumberFormat="1" applyFont="1" applyFill="1" applyBorder="1"/>
    <xf numFmtId="3" fontId="20" fillId="16" borderId="151" xfId="85" applyNumberFormat="1" applyFont="1" applyFill="1" applyBorder="1"/>
    <xf numFmtId="3" fontId="20" fillId="16" borderId="0" xfId="85" applyNumberFormat="1" applyFont="1" applyFill="1" applyBorder="1"/>
    <xf numFmtId="3" fontId="20" fillId="16" borderId="152" xfId="85" applyNumberFormat="1" applyFont="1" applyFill="1" applyBorder="1"/>
    <xf numFmtId="3" fontId="20" fillId="16" borderId="179" xfId="85" applyNumberFormat="1" applyFont="1" applyFill="1" applyBorder="1"/>
    <xf numFmtId="3" fontId="20" fillId="16" borderId="180" xfId="85" applyNumberFormat="1" applyFont="1" applyFill="1" applyBorder="1"/>
    <xf numFmtId="3" fontId="20" fillId="16" borderId="181" xfId="85" applyNumberFormat="1" applyFont="1" applyFill="1" applyBorder="1"/>
    <xf numFmtId="3" fontId="20" fillId="16" borderId="182" xfId="85" applyNumberFormat="1" applyFont="1" applyFill="1" applyBorder="1"/>
    <xf numFmtId="3" fontId="20" fillId="16" borderId="183" xfId="85" applyNumberFormat="1" applyFont="1" applyFill="1" applyBorder="1"/>
    <xf numFmtId="3" fontId="20" fillId="16" borderId="77" xfId="85" applyNumberFormat="1" applyFont="1" applyFill="1" applyBorder="1"/>
    <xf numFmtId="3" fontId="20" fillId="16" borderId="184" xfId="85" applyNumberFormat="1" applyFont="1" applyFill="1" applyBorder="1"/>
    <xf numFmtId="3" fontId="20" fillId="16" borderId="168" xfId="85" applyNumberFormat="1" applyFont="1" applyFill="1" applyBorder="1"/>
    <xf numFmtId="3" fontId="20" fillId="16" borderId="73" xfId="85" applyNumberFormat="1" applyFont="1" applyFill="1" applyBorder="1"/>
    <xf numFmtId="3" fontId="20" fillId="16" borderId="169" xfId="85" applyNumberFormat="1" applyFont="1" applyFill="1" applyBorder="1"/>
    <xf numFmtId="3" fontId="20" fillId="16" borderId="83" xfId="85" applyNumberFormat="1" applyFont="1" applyFill="1" applyBorder="1"/>
    <xf numFmtId="3" fontId="20" fillId="16" borderId="185" xfId="85" applyNumberFormat="1" applyFont="1" applyFill="1" applyBorder="1"/>
    <xf numFmtId="3" fontId="20" fillId="72" borderId="186" xfId="85" applyNumberFormat="1" applyFont="1" applyFill="1" applyBorder="1"/>
    <xf numFmtId="3" fontId="20" fillId="72" borderId="1" xfId="85" applyNumberFormat="1" applyFont="1" applyFill="1" applyBorder="1"/>
    <xf numFmtId="3" fontId="20" fillId="72" borderId="187" xfId="85" applyNumberFormat="1" applyFont="1" applyFill="1" applyBorder="1"/>
    <xf numFmtId="3" fontId="20" fillId="27" borderId="186" xfId="85" applyNumberFormat="1" applyFont="1" applyFill="1" applyBorder="1"/>
    <xf numFmtId="3" fontId="20" fillId="27" borderId="1" xfId="85" applyNumberFormat="1" applyFont="1" applyFill="1" applyBorder="1"/>
    <xf numFmtId="3" fontId="20" fillId="27" borderId="187" xfId="85" applyNumberFormat="1" applyFont="1" applyFill="1" applyBorder="1"/>
    <xf numFmtId="3" fontId="20" fillId="29" borderId="188" xfId="85" applyNumberFormat="1" applyFont="1" applyFill="1" applyBorder="1"/>
    <xf numFmtId="3" fontId="20" fillId="29" borderId="0" xfId="85" applyNumberFormat="1" applyFont="1" applyFill="1" applyBorder="1"/>
    <xf numFmtId="3" fontId="20" fillId="29" borderId="135" xfId="85" applyNumberFormat="1" applyFont="1" applyFill="1" applyBorder="1"/>
    <xf numFmtId="3" fontId="20" fillId="14" borderId="131" xfId="85" applyNumberFormat="1" applyFont="1" applyFill="1" applyBorder="1"/>
    <xf numFmtId="3" fontId="20" fillId="14" borderId="0" xfId="85" applyNumberFormat="1" applyFont="1" applyFill="1" applyBorder="1"/>
    <xf numFmtId="3" fontId="20" fillId="14" borderId="72" xfId="85" applyNumberFormat="1" applyFont="1" applyFill="1" applyBorder="1"/>
    <xf numFmtId="3" fontId="20" fillId="30" borderId="131" xfId="85" applyNumberFormat="1" applyFont="1" applyFill="1" applyBorder="1"/>
    <xf numFmtId="3" fontId="20" fillId="30" borderId="0" xfId="85" applyNumberFormat="1" applyFont="1" applyFill="1" applyBorder="1"/>
    <xf numFmtId="3" fontId="20" fillId="30" borderId="72" xfId="85" applyNumberFormat="1" applyFont="1" applyFill="1" applyBorder="1"/>
    <xf numFmtId="3" fontId="120" fillId="27" borderId="0" xfId="85" applyNumberFormat="1" applyFont="1" applyFill="1" applyBorder="1"/>
    <xf numFmtId="3" fontId="120" fillId="2" borderId="0" xfId="85" applyNumberFormat="1" applyFont="1" applyFill="1" applyBorder="1"/>
    <xf numFmtId="3" fontId="120" fillId="76" borderId="0" xfId="85" applyNumberFormat="1" applyFont="1" applyFill="1" applyBorder="1"/>
    <xf numFmtId="3" fontId="20" fillId="0" borderId="0" xfId="85" applyNumberFormat="1" applyFont="1" applyFill="1" applyBorder="1"/>
    <xf numFmtId="3" fontId="121" fillId="0" borderId="0" xfId="85" applyNumberFormat="1" applyFont="1" applyFill="1" applyBorder="1"/>
    <xf numFmtId="0" fontId="20" fillId="0" borderId="0" xfId="85" applyFont="1"/>
    <xf numFmtId="3" fontId="20" fillId="77" borderId="189" xfId="85" applyNumberFormat="1" applyFont="1" applyFill="1" applyBorder="1"/>
    <xf numFmtId="3" fontId="20" fillId="77" borderId="190" xfId="85" applyNumberFormat="1" applyFont="1" applyFill="1" applyBorder="1"/>
    <xf numFmtId="3" fontId="20" fillId="77" borderId="191" xfId="85" applyNumberFormat="1" applyFont="1" applyFill="1" applyBorder="1"/>
    <xf numFmtId="3" fontId="111" fillId="28" borderId="189" xfId="85" applyNumberFormat="1" applyFont="1" applyFill="1" applyBorder="1"/>
    <xf numFmtId="3" fontId="111" fillId="28" borderId="190" xfId="85" applyNumberFormat="1" applyFont="1" applyFill="1" applyBorder="1"/>
    <xf numFmtId="3" fontId="111" fillId="28" borderId="191" xfId="85" applyNumberFormat="1" applyFont="1" applyFill="1" applyBorder="1"/>
    <xf numFmtId="3" fontId="20" fillId="16" borderId="192" xfId="85" applyNumberFormat="1" applyFont="1" applyFill="1" applyBorder="1"/>
    <xf numFmtId="3" fontId="20" fillId="16" borderId="193" xfId="85" applyNumberFormat="1" applyFont="1" applyFill="1" applyBorder="1"/>
    <xf numFmtId="3" fontId="20" fillId="16" borderId="194" xfId="85" applyNumberFormat="1" applyFont="1" applyFill="1" applyBorder="1"/>
    <xf numFmtId="3" fontId="20" fillId="16" borderId="195" xfId="85" applyNumberFormat="1" applyFont="1" applyFill="1" applyBorder="1"/>
    <xf numFmtId="3" fontId="20" fillId="16" borderId="196" xfId="85" applyNumberFormat="1" applyFont="1" applyFill="1" applyBorder="1"/>
    <xf numFmtId="3" fontId="20" fillId="16" borderId="197" xfId="85" applyNumberFormat="1" applyFont="1" applyFill="1" applyBorder="1"/>
    <xf numFmtId="3" fontId="20" fillId="16" borderId="198" xfId="85" applyNumberFormat="1" applyFont="1" applyFill="1" applyBorder="1"/>
    <xf numFmtId="3" fontId="20" fillId="16" borderId="199" xfId="85" applyNumberFormat="1" applyFont="1" applyFill="1" applyBorder="1"/>
    <xf numFmtId="3" fontId="20" fillId="16" borderId="200" xfId="85" applyNumberFormat="1" applyFont="1" applyFill="1" applyBorder="1"/>
    <xf numFmtId="3" fontId="20" fillId="16" borderId="201" xfId="85" applyNumberFormat="1" applyFont="1" applyFill="1" applyBorder="1"/>
    <xf numFmtId="3" fontId="20" fillId="16" borderId="202" xfId="85" applyNumberFormat="1" applyFont="1" applyFill="1" applyBorder="1"/>
    <xf numFmtId="3" fontId="20" fillId="16" borderId="203" xfId="85" applyNumberFormat="1" applyFont="1" applyFill="1" applyBorder="1"/>
    <xf numFmtId="3" fontId="20" fillId="16" borderId="204" xfId="85" applyNumberFormat="1" applyFont="1" applyFill="1" applyBorder="1"/>
    <xf numFmtId="3" fontId="20" fillId="16" borderId="205" xfId="85" applyNumberFormat="1" applyFont="1" applyFill="1" applyBorder="1"/>
    <xf numFmtId="3" fontId="20" fillId="16" borderId="206" xfId="85" applyNumberFormat="1" applyFont="1" applyFill="1" applyBorder="1"/>
    <xf numFmtId="3" fontId="20" fillId="16" borderId="207" xfId="85" applyNumberFormat="1" applyFont="1" applyFill="1" applyBorder="1"/>
    <xf numFmtId="3" fontId="20" fillId="16" borderId="208" xfId="85" applyNumberFormat="1" applyFont="1" applyFill="1" applyBorder="1"/>
    <xf numFmtId="3" fontId="20" fillId="72" borderId="209" xfId="85" applyNumberFormat="1" applyFont="1" applyFill="1" applyBorder="1"/>
    <xf numFmtId="3" fontId="20" fillId="72" borderId="210" xfId="85" applyNumberFormat="1" applyFont="1" applyFill="1" applyBorder="1"/>
    <xf numFmtId="3" fontId="20" fillId="72" borderId="211" xfId="85" applyNumberFormat="1" applyFont="1" applyFill="1" applyBorder="1"/>
    <xf numFmtId="3" fontId="20" fillId="27" borderId="209" xfId="85" applyNumberFormat="1" applyFont="1" applyFill="1" applyBorder="1"/>
    <xf numFmtId="3" fontId="20" fillId="27" borderId="210" xfId="85" applyNumberFormat="1" applyFont="1" applyFill="1" applyBorder="1"/>
    <xf numFmtId="3" fontId="20" fillId="27" borderId="211" xfId="85" applyNumberFormat="1" applyFont="1" applyFill="1" applyBorder="1"/>
    <xf numFmtId="3" fontId="20" fillId="29" borderId="212" xfId="85" applyNumberFormat="1" applyFont="1" applyFill="1" applyBorder="1"/>
    <xf numFmtId="3" fontId="20" fillId="29" borderId="213" xfId="85" applyNumberFormat="1" applyFont="1" applyFill="1" applyBorder="1"/>
    <xf numFmtId="3" fontId="20" fillId="14" borderId="214" xfId="85" applyNumberFormat="1" applyFont="1" applyFill="1" applyBorder="1"/>
    <xf numFmtId="3" fontId="20" fillId="14" borderId="154" xfId="85" applyNumberFormat="1" applyFont="1" applyFill="1" applyBorder="1"/>
    <xf numFmtId="3" fontId="20" fillId="30" borderId="214" xfId="85" applyNumberFormat="1" applyFont="1" applyFill="1" applyBorder="1"/>
    <xf numFmtId="3" fontId="20" fillId="30" borderId="154" xfId="85" applyNumberFormat="1" applyFont="1" applyFill="1" applyBorder="1"/>
    <xf numFmtId="3" fontId="20" fillId="30" borderId="215" xfId="85" applyNumberFormat="1" applyFont="1" applyFill="1" applyBorder="1"/>
    <xf numFmtId="0" fontId="20" fillId="0" borderId="0" xfId="85" applyFont="1" applyBorder="1"/>
    <xf numFmtId="3" fontId="112" fillId="4" borderId="0" xfId="85" applyNumberFormat="1" applyFont="1" applyFill="1" applyBorder="1"/>
    <xf numFmtId="3" fontId="122" fillId="4" borderId="0" xfId="85" applyNumberFormat="1" applyFont="1" applyFill="1" applyBorder="1"/>
    <xf numFmtId="3" fontId="123" fillId="4" borderId="0" xfId="85" applyNumberFormat="1" applyFont="1" applyFill="1" applyBorder="1"/>
    <xf numFmtId="3" fontId="124" fillId="4" borderId="0" xfId="85" applyNumberFormat="1" applyFont="1" applyFill="1" applyBorder="1"/>
    <xf numFmtId="3" fontId="122" fillId="0" borderId="0" xfId="85" applyNumberFormat="1" applyFont="1" applyBorder="1"/>
    <xf numFmtId="3" fontId="20" fillId="0" borderId="0" xfId="85" applyNumberFormat="1" applyFont="1" applyBorder="1"/>
    <xf numFmtId="4" fontId="20" fillId="0" borderId="0" xfId="85" applyNumberFormat="1" applyFont="1" applyBorder="1"/>
    <xf numFmtId="3" fontId="115" fillId="4" borderId="0" xfId="85" applyNumberFormat="1" applyFont="1" applyFill="1" applyBorder="1"/>
    <xf numFmtId="3" fontId="109" fillId="0" borderId="0" xfId="85" applyNumberFormat="1" applyFont="1" applyBorder="1"/>
    <xf numFmtId="176" fontId="109" fillId="0" borderId="0" xfId="85" applyNumberFormat="1" applyFont="1" applyBorder="1"/>
    <xf numFmtId="170" fontId="109" fillId="0" borderId="0" xfId="85" applyNumberFormat="1" applyFont="1" applyBorder="1"/>
    <xf numFmtId="3" fontId="109" fillId="0" borderId="0" xfId="85" applyNumberFormat="1" applyFont="1" applyFill="1" applyBorder="1"/>
    <xf numFmtId="0" fontId="20" fillId="0" borderId="0" xfId="85" applyFont="1" applyFill="1" applyBorder="1"/>
    <xf numFmtId="0" fontId="120" fillId="73" borderId="0" xfId="85" applyFont="1" applyFill="1" applyBorder="1" applyAlignment="1">
      <alignment horizontal="center"/>
    </xf>
    <xf numFmtId="0" fontId="113" fillId="16" borderId="220" xfId="85" applyFont="1" applyFill="1" applyBorder="1" applyAlignment="1">
      <alignment horizontal="center"/>
    </xf>
    <xf numFmtId="0" fontId="113" fillId="16" borderId="151" xfId="85" applyFont="1" applyFill="1" applyBorder="1" applyAlignment="1">
      <alignment horizontal="center"/>
    </xf>
    <xf numFmtId="3" fontId="20" fillId="16" borderId="221" xfId="85" applyNumberFormat="1" applyFont="1" applyFill="1" applyBorder="1"/>
    <xf numFmtId="3" fontId="20" fillId="16" borderId="222" xfId="85" applyNumberFormat="1" applyFont="1" applyFill="1" applyBorder="1"/>
    <xf numFmtId="3" fontId="20" fillId="16" borderId="223" xfId="85" applyNumberFormat="1" applyFont="1" applyFill="1" applyBorder="1"/>
    <xf numFmtId="3" fontId="20" fillId="16" borderId="224" xfId="85" applyNumberFormat="1" applyFont="1" applyFill="1" applyBorder="1"/>
    <xf numFmtId="3" fontId="20" fillId="16" borderId="225" xfId="85" applyNumberFormat="1" applyFont="1" applyFill="1" applyBorder="1"/>
    <xf numFmtId="3" fontId="20" fillId="14" borderId="215" xfId="85" applyNumberFormat="1" applyFont="1" applyFill="1" applyBorder="1"/>
    <xf numFmtId="3" fontId="109" fillId="0" borderId="0" xfId="85" applyNumberFormat="1" applyFont="1"/>
    <xf numFmtId="3" fontId="109" fillId="0" borderId="23" xfId="85" applyNumberFormat="1" applyFont="1" applyBorder="1"/>
    <xf numFmtId="3" fontId="118" fillId="0" borderId="0" xfId="85" applyNumberFormat="1" applyFont="1" applyBorder="1"/>
    <xf numFmtId="3" fontId="125" fillId="0" borderId="0" xfId="85" applyNumberFormat="1" applyFont="1" applyBorder="1"/>
    <xf numFmtId="3" fontId="114" fillId="0" borderId="0" xfId="85" applyNumberFormat="1" applyFont="1" applyAlignment="1">
      <alignment horizontal="center"/>
    </xf>
    <xf numFmtId="3" fontId="118" fillId="0" borderId="0" xfId="85" applyNumberFormat="1" applyFont="1"/>
    <xf numFmtId="0" fontId="109" fillId="0" borderId="23" xfId="85" applyFont="1" applyBorder="1"/>
    <xf numFmtId="3" fontId="109" fillId="0" borderId="157" xfId="85" applyNumberFormat="1" applyFont="1" applyBorder="1"/>
    <xf numFmtId="3" fontId="118" fillId="0" borderId="157" xfId="85" applyNumberFormat="1" applyFont="1" applyBorder="1"/>
    <xf numFmtId="3" fontId="20" fillId="16" borderId="134" xfId="85" applyNumberFormat="1" applyFont="1" applyFill="1" applyBorder="1"/>
    <xf numFmtId="3" fontId="20" fillId="16" borderId="132" xfId="85" applyNumberFormat="1" applyFont="1" applyFill="1" applyBorder="1"/>
    <xf numFmtId="0" fontId="20" fillId="16" borderId="222" xfId="85" applyFont="1" applyFill="1" applyBorder="1"/>
    <xf numFmtId="0" fontId="20" fillId="16" borderId="77" xfId="85" applyFont="1" applyFill="1" applyBorder="1"/>
    <xf numFmtId="0" fontId="114" fillId="17" borderId="0" xfId="85" applyFont="1" applyFill="1"/>
    <xf numFmtId="3" fontId="114" fillId="0" borderId="23" xfId="85" applyNumberFormat="1" applyFont="1" applyBorder="1"/>
    <xf numFmtId="3" fontId="114" fillId="0" borderId="0" xfId="85" applyNumberFormat="1" applyFont="1" applyBorder="1"/>
    <xf numFmtId="0" fontId="114" fillId="0" borderId="0" xfId="85" applyFont="1"/>
    <xf numFmtId="3" fontId="20" fillId="16" borderId="226" xfId="85" applyNumberFormat="1" applyFont="1" applyFill="1" applyBorder="1"/>
    <xf numFmtId="3" fontId="114" fillId="0" borderId="0" xfId="85" applyNumberFormat="1" applyFont="1"/>
    <xf numFmtId="0" fontId="109" fillId="0" borderId="157" xfId="85" applyFont="1" applyBorder="1"/>
    <xf numFmtId="0" fontId="118" fillId="0" borderId="157" xfId="85" applyFont="1" applyBorder="1"/>
    <xf numFmtId="0" fontId="118" fillId="0" borderId="0" xfId="85" applyFont="1" applyBorder="1"/>
    <xf numFmtId="0" fontId="20" fillId="14" borderId="0" xfId="85" applyFont="1" applyFill="1" applyBorder="1" applyAlignment="1">
      <alignment horizontal="center"/>
    </xf>
    <xf numFmtId="0" fontId="113" fillId="16" borderId="227" xfId="85" applyFont="1" applyFill="1" applyBorder="1" applyAlignment="1">
      <alignment horizontal="center"/>
    </xf>
    <xf numFmtId="3" fontId="111" fillId="28" borderId="228" xfId="85" applyNumberFormat="1" applyFont="1" applyFill="1" applyBorder="1"/>
    <xf numFmtId="3" fontId="111" fillId="28" borderId="229" xfId="85" applyNumberFormat="1" applyFont="1" applyFill="1" applyBorder="1"/>
    <xf numFmtId="3" fontId="20" fillId="16" borderId="230" xfId="85" applyNumberFormat="1" applyFont="1" applyFill="1" applyBorder="1"/>
    <xf numFmtId="0" fontId="115" fillId="17" borderId="0" xfId="85" applyFont="1" applyFill="1"/>
    <xf numFmtId="0" fontId="115" fillId="0" borderId="0" xfId="85" applyFont="1" applyFill="1"/>
    <xf numFmtId="3" fontId="115" fillId="0" borderId="0" xfId="85" applyNumberFormat="1" applyFont="1" applyBorder="1"/>
    <xf numFmtId="3" fontId="115" fillId="0" borderId="23" xfId="85" applyNumberFormat="1" applyFont="1" applyBorder="1"/>
    <xf numFmtId="0" fontId="115" fillId="0" borderId="0" xfId="85" applyFont="1" applyBorder="1"/>
    <xf numFmtId="3" fontId="126" fillId="0" borderId="0" xfId="85" applyNumberFormat="1" applyFont="1" applyBorder="1"/>
    <xf numFmtId="3" fontId="118" fillId="0" borderId="0" xfId="85" applyNumberFormat="1" applyFont="1" applyFill="1" applyBorder="1"/>
    <xf numFmtId="3" fontId="109" fillId="0" borderId="0" xfId="85" applyNumberFormat="1" applyFont="1" applyBorder="1" applyAlignment="1">
      <alignment horizontal="center"/>
    </xf>
    <xf numFmtId="177" fontId="127" fillId="0" borderId="0" xfId="85" applyNumberFormat="1" applyFont="1" applyFill="1" applyBorder="1" applyAlignment="1">
      <alignment horizontal="right" vertical="center"/>
    </xf>
    <xf numFmtId="177" fontId="127" fillId="0" borderId="0" xfId="86" applyNumberFormat="1" applyFont="1" applyFill="1" applyBorder="1" applyAlignment="1">
      <alignment horizontal="right" vertical="center"/>
    </xf>
    <xf numFmtId="0" fontId="109" fillId="0" borderId="0" xfId="85" applyFont="1" applyFill="1" applyBorder="1" applyAlignment="1">
      <alignment horizontal="center" vertical="center"/>
    </xf>
    <xf numFmtId="0" fontId="109" fillId="0" borderId="0" xfId="86" applyFont="1" applyFill="1" applyBorder="1"/>
    <xf numFmtId="0" fontId="127" fillId="0" borderId="0" xfId="86" applyFont="1" applyFill="1" applyBorder="1" applyAlignment="1">
      <alignment horizontal="left" vertical="top" wrapText="1"/>
    </xf>
    <xf numFmtId="0" fontId="127" fillId="0" borderId="0" xfId="85" applyFont="1" applyFill="1" applyBorder="1" applyAlignment="1">
      <alignment horizontal="left"/>
    </xf>
    <xf numFmtId="0" fontId="127" fillId="0" borderId="0" xfId="85" applyFont="1" applyFill="1" applyBorder="1" applyAlignment="1">
      <alignment horizontal="left" vertical="top" wrapText="1"/>
    </xf>
    <xf numFmtId="0" fontId="127" fillId="0" borderId="0" xfId="86" applyFont="1" applyFill="1" applyBorder="1" applyAlignment="1">
      <alignment horizontal="center" wrapText="1"/>
    </xf>
    <xf numFmtId="0" fontId="128" fillId="0" borderId="0" xfId="85" applyFont="1" applyFill="1" applyBorder="1" applyAlignment="1">
      <alignment vertical="center" wrapText="1"/>
    </xf>
    <xf numFmtId="0" fontId="127" fillId="0" borderId="0" xfId="85" applyFont="1" applyFill="1" applyBorder="1" applyAlignment="1">
      <alignment horizontal="left" wrapText="1"/>
    </xf>
    <xf numFmtId="0" fontId="127" fillId="0" borderId="0" xfId="85" applyFont="1" applyFill="1" applyBorder="1" applyAlignment="1">
      <alignment horizontal="center" wrapText="1"/>
    </xf>
    <xf numFmtId="174" fontId="127" fillId="0" borderId="0" xfId="86" applyNumberFormat="1" applyFont="1" applyFill="1" applyBorder="1" applyAlignment="1">
      <alignment horizontal="right" vertical="center"/>
    </xf>
    <xf numFmtId="177" fontId="127" fillId="0" borderId="0" xfId="85" applyNumberFormat="1" applyFont="1" applyFill="1" applyBorder="1" applyAlignment="1">
      <alignment horizontal="right" vertical="top"/>
    </xf>
    <xf numFmtId="175" fontId="127" fillId="0" borderId="0" xfId="86" applyNumberFormat="1" applyFont="1" applyFill="1" applyBorder="1" applyAlignment="1">
      <alignment horizontal="right" vertical="center"/>
    </xf>
    <xf numFmtId="0" fontId="127" fillId="0" borderId="0" xfId="86" applyFont="1" applyFill="1" applyBorder="1" applyAlignment="1">
      <alignment horizontal="left" vertical="center" wrapText="1"/>
    </xf>
    <xf numFmtId="3" fontId="109" fillId="4" borderId="0" xfId="85" applyNumberFormat="1" applyFont="1" applyFill="1" applyBorder="1"/>
    <xf numFmtId="0" fontId="118" fillId="0" borderId="0" xfId="85" applyFont="1" applyFill="1" applyBorder="1"/>
    <xf numFmtId="0" fontId="109" fillId="17" borderId="0" xfId="85" applyFont="1" applyFill="1" applyAlignment="1">
      <alignment vertical="center"/>
    </xf>
    <xf numFmtId="0" fontId="109" fillId="0" borderId="0" xfId="85" applyFont="1" applyFill="1" applyAlignment="1">
      <alignment vertical="center"/>
    </xf>
    <xf numFmtId="0" fontId="110" fillId="0" borderId="0" xfId="85" applyFont="1" applyAlignment="1">
      <alignment vertical="center"/>
    </xf>
    <xf numFmtId="0" fontId="131" fillId="0" borderId="0" xfId="0" applyFont="1" applyAlignment="1">
      <alignment horizontal="center" wrapText="1"/>
    </xf>
    <xf numFmtId="17" fontId="131" fillId="0" borderId="0" xfId="0" applyNumberFormat="1" applyFont="1" applyAlignment="1">
      <alignment horizontal="center" wrapText="1"/>
    </xf>
    <xf numFmtId="0" fontId="132" fillId="0" borderId="0" xfId="0" applyFont="1" applyAlignment="1">
      <alignment wrapText="1"/>
    </xf>
    <xf numFmtId="2" fontId="0" fillId="80" borderId="13" xfId="0" applyNumberFormat="1" applyFill="1" applyBorder="1" applyAlignment="1">
      <alignment wrapText="1"/>
    </xf>
    <xf numFmtId="0" fontId="130" fillId="0" borderId="129" xfId="0" applyFont="1" applyBorder="1" applyAlignment="1">
      <alignment horizontal="left" vertical="center"/>
    </xf>
    <xf numFmtId="2" fontId="0" fillId="80" borderId="42" xfId="0" applyNumberFormat="1" applyFill="1" applyBorder="1" applyAlignment="1">
      <alignment wrapText="1"/>
    </xf>
    <xf numFmtId="0" fontId="130" fillId="0" borderId="44" xfId="0" applyFont="1" applyBorder="1" applyAlignment="1">
      <alignment horizontal="left" vertical="center"/>
    </xf>
    <xf numFmtId="0" fontId="130" fillId="0" borderId="46" xfId="0" applyFont="1" applyBorder="1" applyAlignment="1">
      <alignment horizontal="left" vertical="center"/>
    </xf>
    <xf numFmtId="2" fontId="0" fillId="80" borderId="47" xfId="0" applyNumberFormat="1" applyFill="1" applyBorder="1" applyAlignment="1">
      <alignment wrapText="1"/>
    </xf>
    <xf numFmtId="0" fontId="35" fillId="0" borderId="35" xfId="0" applyFont="1" applyBorder="1" applyAlignment="1">
      <alignment horizontal="center" vertical="center" wrapText="1"/>
    </xf>
    <xf numFmtId="0" fontId="35" fillId="0" borderId="29" xfId="0" applyFont="1" applyBorder="1" applyAlignment="1">
      <alignment horizontal="center" vertical="center" wrapText="1"/>
    </xf>
    <xf numFmtId="0" fontId="20" fillId="14" borderId="0" xfId="85" applyFont="1" applyFill="1"/>
    <xf numFmtId="0" fontId="20" fillId="32" borderId="0" xfId="85" applyFont="1" applyFill="1"/>
    <xf numFmtId="0" fontId="20" fillId="32" borderId="4" xfId="85" applyFont="1" applyFill="1" applyBorder="1"/>
    <xf numFmtId="3" fontId="9" fillId="32" borderId="26" xfId="0" applyNumberFormat="1" applyFont="1" applyFill="1" applyBorder="1"/>
    <xf numFmtId="168" fontId="9" fillId="32" borderId="26" xfId="2" applyNumberFormat="1" applyFont="1" applyFill="1" applyBorder="1" applyAlignment="1">
      <alignment horizontal="center"/>
    </xf>
    <xf numFmtId="0" fontId="103" fillId="72" borderId="0" xfId="0" applyFont="1" applyFill="1"/>
    <xf numFmtId="0" fontId="0" fillId="0" borderId="0" xfId="0" applyFill="1" applyBorder="1"/>
    <xf numFmtId="168" fontId="133" fillId="72" borderId="52" xfId="2" applyNumberFormat="1" applyFont="1" applyFill="1" applyBorder="1" applyAlignment="1">
      <alignment horizontal="center" vertical="center" wrapText="1"/>
    </xf>
    <xf numFmtId="0" fontId="115" fillId="0" borderId="0" xfId="85" applyFont="1" applyFill="1" applyAlignment="1">
      <alignment vertical="center"/>
    </xf>
    <xf numFmtId="0" fontId="20" fillId="0" borderId="0" xfId="85" applyFont="1" applyFill="1" applyAlignment="1">
      <alignment vertical="center" wrapText="1"/>
    </xf>
    <xf numFmtId="3" fontId="109" fillId="0" borderId="40" xfId="85" applyNumberFormat="1" applyFont="1" applyBorder="1" applyAlignment="1">
      <alignment horizontal="center" vertical="center"/>
    </xf>
    <xf numFmtId="3" fontId="109" fillId="0" borderId="255" xfId="85" applyNumberFormat="1" applyFont="1" applyBorder="1" applyAlignment="1">
      <alignment vertical="center"/>
    </xf>
    <xf numFmtId="3" fontId="109" fillId="0" borderId="33" xfId="85" applyNumberFormat="1" applyFont="1" applyBorder="1" applyAlignment="1">
      <alignment vertical="center"/>
    </xf>
    <xf numFmtId="0" fontId="109" fillId="0" borderId="33" xfId="85" applyFont="1" applyBorder="1" applyAlignment="1">
      <alignment vertical="center"/>
    </xf>
    <xf numFmtId="0" fontId="20" fillId="0" borderId="4" xfId="85" applyFont="1" applyFill="1" applyBorder="1"/>
    <xf numFmtId="168" fontId="15" fillId="3" borderId="0" xfId="0" applyNumberFormat="1" applyFont="1" applyFill="1"/>
    <xf numFmtId="168" fontId="15" fillId="72" borderId="0" xfId="15" applyNumberFormat="1" applyFont="1" applyFill="1"/>
    <xf numFmtId="172" fontId="134" fillId="16" borderId="0" xfId="0" applyNumberFormat="1" applyFont="1" applyFill="1" applyBorder="1" applyAlignment="1">
      <alignment horizontal="center"/>
    </xf>
    <xf numFmtId="9" fontId="118" fillId="0" borderId="0" xfId="2" applyFont="1" applyFill="1" applyBorder="1"/>
    <xf numFmtId="0" fontId="130" fillId="0" borderId="0" xfId="0" applyFont="1" applyBorder="1" applyAlignment="1">
      <alignment horizontal="left" vertical="center"/>
    </xf>
    <xf numFmtId="2" fontId="0" fillId="80" borderId="0" xfId="0" applyNumberFormat="1" applyFill="1" applyBorder="1" applyAlignment="1">
      <alignment wrapText="1"/>
    </xf>
    <xf numFmtId="0" fontId="5" fillId="0" borderId="13" xfId="0" applyFont="1" applyFill="1" applyBorder="1" applyAlignment="1">
      <alignment horizontal="center" vertical="center" wrapText="1"/>
    </xf>
    <xf numFmtId="9" fontId="5" fillId="0" borderId="0" xfId="2" applyFont="1" applyAlignment="1">
      <alignment vertical="center"/>
    </xf>
    <xf numFmtId="0" fontId="5" fillId="0" borderId="0" xfId="0" applyFont="1" applyAlignment="1">
      <alignment horizontal="center" vertical="center"/>
    </xf>
    <xf numFmtId="0" fontId="0" fillId="0" borderId="29" xfId="0" applyFont="1" applyBorder="1"/>
    <xf numFmtId="0" fontId="50" fillId="0" borderId="38" xfId="7" applyFont="1" applyFill="1" applyBorder="1"/>
    <xf numFmtId="0" fontId="35" fillId="0" borderId="0" xfId="0" applyFont="1" applyFill="1"/>
    <xf numFmtId="0" fontId="0" fillId="0" borderId="0" xfId="0" applyFont="1" applyFill="1"/>
    <xf numFmtId="172" fontId="6" fillId="16" borderId="0" xfId="0" applyNumberFormat="1" applyFont="1" applyFill="1" applyBorder="1" applyAlignment="1">
      <alignment horizontal="left" vertical="center"/>
    </xf>
    <xf numFmtId="172" fontId="7" fillId="16" borderId="0" xfId="0" applyNumberFormat="1" applyFont="1" applyFill="1" applyBorder="1" applyAlignment="1">
      <alignment horizontal="center" vertical="center"/>
    </xf>
    <xf numFmtId="172" fontId="6" fillId="16" borderId="0" xfId="0" applyNumberFormat="1" applyFont="1" applyFill="1" applyBorder="1" applyAlignment="1">
      <alignment horizontal="center" vertical="center"/>
    </xf>
    <xf numFmtId="3" fontId="5" fillId="0" borderId="11" xfId="0" applyNumberFormat="1" applyFont="1" applyBorder="1"/>
    <xf numFmtId="3" fontId="7" fillId="0" borderId="120"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6"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9"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2" borderId="0" xfId="0" applyNumberFormat="1" applyFont="1" applyFill="1" applyAlignment="1">
      <alignment wrapText="1"/>
    </xf>
    <xf numFmtId="9" fontId="5" fillId="82" borderId="13" xfId="0" applyNumberFormat="1" applyFont="1" applyFill="1" applyBorder="1"/>
    <xf numFmtId="9" fontId="5" fillId="82" borderId="17" xfId="0" applyNumberFormat="1" applyFont="1" applyFill="1" applyBorder="1"/>
    <xf numFmtId="168" fontId="5" fillId="0" borderId="13" xfId="2" applyNumberFormat="1" applyFont="1" applyFill="1" applyBorder="1"/>
    <xf numFmtId="168" fontId="5" fillId="0" borderId="13" xfId="2" applyNumberFormat="1" applyFont="1" applyBorder="1" applyAlignment="1">
      <alignment horizontal="center" vertical="center"/>
    </xf>
    <xf numFmtId="168" fontId="5" fillId="0" borderId="17" xfId="2" applyNumberFormat="1" applyFont="1" applyFill="1" applyBorder="1"/>
    <xf numFmtId="168" fontId="5" fillId="0" borderId="17" xfId="2" applyNumberFormat="1" applyFont="1" applyBorder="1" applyAlignment="1">
      <alignment horizontal="center" vertical="center"/>
    </xf>
    <xf numFmtId="168" fontId="5" fillId="0" borderId="50" xfId="2" applyNumberFormat="1" applyFont="1" applyFill="1" applyBorder="1"/>
    <xf numFmtId="168" fontId="5" fillId="0" borderId="50" xfId="2" applyNumberFormat="1" applyFont="1" applyBorder="1" applyAlignment="1">
      <alignment horizontal="center" vertical="center"/>
    </xf>
    <xf numFmtId="168" fontId="5" fillId="0" borderId="50" xfId="2" applyNumberFormat="1" applyFont="1" applyBorder="1"/>
    <xf numFmtId="168" fontId="5" fillId="0" borderId="51" xfId="0" applyNumberFormat="1" applyFont="1" applyBorder="1"/>
    <xf numFmtId="0" fontId="7" fillId="0" borderId="0" xfId="0" applyFont="1" applyFill="1" applyBorder="1" applyAlignment="1">
      <alignment horizontal="left"/>
    </xf>
    <xf numFmtId="0" fontId="19"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35" fillId="0" borderId="13" xfId="2" applyNumberFormat="1" applyFont="1" applyBorder="1"/>
    <xf numFmtId="9" fontId="136" fillId="0" borderId="13" xfId="2" applyNumberFormat="1" applyFont="1" applyBorder="1"/>
    <xf numFmtId="9" fontId="136" fillId="0" borderId="17" xfId="2" applyNumberFormat="1" applyFont="1" applyBorder="1"/>
    <xf numFmtId="0" fontId="37" fillId="0" borderId="0" xfId="0" applyFont="1" applyAlignment="1">
      <alignment wrapText="1"/>
    </xf>
    <xf numFmtId="17" fontId="11" fillId="0" borderId="0" xfId="0" applyNumberFormat="1" applyFont="1" applyAlignment="1">
      <alignment horizontal="center" wrapText="1"/>
    </xf>
    <xf numFmtId="0" fontId="5" fillId="0" borderId="30" xfId="0" applyFont="1" applyBorder="1" applyAlignment="1">
      <alignment horizontal="center" wrapText="1"/>
    </xf>
    <xf numFmtId="9" fontId="10" fillId="0" borderId="130"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10"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9" fontId="0" fillId="0" borderId="0" xfId="1" applyNumberFormat="1" applyFont="1" applyBorder="1"/>
    <xf numFmtId="3" fontId="10" fillId="0" borderId="130" xfId="0" applyNumberFormat="1" applyFont="1" applyBorder="1" applyAlignment="1">
      <alignment horizontal="left" vertical="top" wrapText="1"/>
    </xf>
    <xf numFmtId="0" fontId="0" fillId="0" borderId="52" xfId="0" applyBorder="1"/>
    <xf numFmtId="169"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1" fillId="0" borderId="84"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4" xfId="2" applyFont="1" applyBorder="1" applyAlignment="1">
      <alignment horizontal="center"/>
    </xf>
    <xf numFmtId="0" fontId="14" fillId="0" borderId="0" xfId="0" applyFont="1" applyFill="1"/>
    <xf numFmtId="167" fontId="14" fillId="0" borderId="0" xfId="1" applyFont="1" applyAlignment="1">
      <alignment wrapText="1"/>
    </xf>
    <xf numFmtId="0" fontId="111" fillId="9" borderId="0" xfId="85" applyFont="1" applyFill="1" applyAlignment="1">
      <alignment horizontal="center"/>
    </xf>
    <xf numFmtId="0" fontId="137" fillId="72" borderId="0" xfId="0" applyFont="1" applyFill="1" applyAlignment="1">
      <alignment horizontal="center"/>
    </xf>
    <xf numFmtId="168" fontId="103" fillId="72" borderId="0" xfId="2" applyNumberFormat="1" applyFont="1" applyFill="1" applyAlignment="1">
      <alignment horizontal="center"/>
    </xf>
    <xf numFmtId="0" fontId="139" fillId="0" borderId="0" xfId="7" applyFont="1"/>
    <xf numFmtId="0" fontId="139" fillId="0" borderId="0" xfId="7" applyFont="1" applyAlignment="1">
      <alignment horizontal="center"/>
    </xf>
    <xf numFmtId="3" fontId="139" fillId="0" borderId="0" xfId="7" applyNumberFormat="1" applyFont="1"/>
    <xf numFmtId="172" fontId="39" fillId="32" borderId="29" xfId="0" applyNumberFormat="1" applyFont="1" applyFill="1" applyBorder="1" applyAlignment="1">
      <alignment horizontal="center" vertical="center"/>
    </xf>
    <xf numFmtId="172" fontId="39" fillId="32" borderId="30" xfId="0" applyNumberFormat="1" applyFont="1" applyFill="1" applyBorder="1" applyAlignment="1">
      <alignment horizontal="center" vertical="center"/>
    </xf>
    <xf numFmtId="0" fontId="39" fillId="83" borderId="52" xfId="0" applyFont="1" applyFill="1" applyBorder="1"/>
    <xf numFmtId="0" fontId="69" fillId="83" borderId="37" xfId="0" applyFont="1" applyFill="1" applyBorder="1"/>
    <xf numFmtId="0" fontId="39" fillId="11" borderId="37" xfId="0" applyFont="1" applyFill="1" applyBorder="1" applyAlignment="1">
      <alignment horizontal="center" vertical="center"/>
    </xf>
    <xf numFmtId="172" fontId="39" fillId="32" borderId="34" xfId="0" applyNumberFormat="1" applyFont="1" applyFill="1" applyBorder="1" applyAlignment="1">
      <alignment horizontal="center" vertical="center"/>
    </xf>
    <xf numFmtId="172" fontId="39" fillId="32" borderId="67" xfId="0" applyNumberFormat="1" applyFont="1" applyFill="1" applyBorder="1" applyAlignment="1">
      <alignment horizontal="center" vertical="center"/>
    </xf>
    <xf numFmtId="0" fontId="0" fillId="0" borderId="0" xfId="0" applyFont="1" applyAlignment="1">
      <alignment horizontal="center" vertical="center"/>
    </xf>
    <xf numFmtId="0" fontId="69" fillId="16" borderId="0" xfId="0" applyFont="1" applyFill="1" applyBorder="1" applyAlignment="1">
      <alignment vertical="center"/>
    </xf>
    <xf numFmtId="172" fontId="29" fillId="16" borderId="0" xfId="0" applyNumberFormat="1" applyFont="1" applyFill="1" applyBorder="1" applyAlignment="1">
      <alignment horizontal="center" vertical="center"/>
    </xf>
    <xf numFmtId="172" fontId="73" fillId="16" borderId="0" xfId="0" applyNumberFormat="1" applyFont="1" applyFill="1" applyBorder="1" applyAlignment="1">
      <alignment horizontal="center" vertical="center"/>
    </xf>
    <xf numFmtId="172" fontId="29"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8" fontId="57" fillId="72" borderId="0" xfId="2" applyNumberFormat="1" applyFont="1" applyFill="1" applyAlignment="1">
      <alignment horizontal="center"/>
    </xf>
    <xf numFmtId="0" fontId="50" fillId="0" borderId="0" xfId="7" applyFont="1" applyFill="1" applyBorder="1"/>
    <xf numFmtId="0" fontId="15" fillId="0" borderId="0" xfId="7" applyFont="1" applyFill="1" applyBorder="1"/>
    <xf numFmtId="0" fontId="50" fillId="0" borderId="11" xfId="7" applyFont="1" applyFill="1" applyBorder="1" applyAlignment="1">
      <alignment horizontal="left"/>
    </xf>
    <xf numFmtId="0" fontId="15" fillId="10" borderId="0" xfId="7" applyFont="1" applyFill="1" applyBorder="1"/>
    <xf numFmtId="0" fontId="50" fillId="0" borderId="0" xfId="0" applyFont="1" applyFill="1" applyBorder="1"/>
    <xf numFmtId="0" fontId="15" fillId="0" borderId="0" xfId="0" applyFont="1" applyFill="1" applyBorder="1"/>
    <xf numFmtId="0" fontId="15" fillId="10" borderId="0" xfId="0" applyFont="1" applyFill="1" applyBorder="1"/>
    <xf numFmtId="0" fontId="50" fillId="0" borderId="11" xfId="0" applyFont="1" applyFill="1" applyBorder="1" applyAlignment="1">
      <alignment horizontal="left"/>
    </xf>
    <xf numFmtId="0" fontId="15" fillId="0" borderId="0" xfId="0" applyFont="1" applyFill="1" applyBorder="1" applyAlignment="1">
      <alignment horizontal="left"/>
    </xf>
    <xf numFmtId="0" fontId="15" fillId="28" borderId="33" xfId="0" applyFont="1" applyFill="1" applyBorder="1" applyAlignment="1">
      <alignment horizontal="left"/>
    </xf>
    <xf numFmtId="168" fontId="133" fillId="14" borderId="52" xfId="2" applyNumberFormat="1" applyFont="1" applyFill="1" applyBorder="1" applyAlignment="1">
      <alignment horizontal="center" vertical="center" wrapText="1"/>
    </xf>
    <xf numFmtId="0" fontId="50" fillId="0" borderId="0" xfId="7" applyFont="1" applyFill="1"/>
    <xf numFmtId="0" fontId="50" fillId="0" borderId="0" xfId="7" applyFont="1" applyFill="1" applyAlignment="1">
      <alignment horizontal="center"/>
    </xf>
    <xf numFmtId="0" fontId="50" fillId="0" borderId="0" xfId="7" applyFont="1" applyFill="1" applyAlignment="1">
      <alignment horizontal="center" wrapText="1"/>
    </xf>
    <xf numFmtId="173" fontId="15" fillId="0" borderId="0" xfId="7" applyNumberFormat="1" applyFont="1" applyFill="1"/>
    <xf numFmtId="0" fontId="50" fillId="0" borderId="0" xfId="7" applyFont="1" applyFill="1" applyAlignment="1">
      <alignment horizontal="right"/>
    </xf>
    <xf numFmtId="167" fontId="50" fillId="0" borderId="0" xfId="1" applyFont="1" applyFill="1"/>
    <xf numFmtId="0" fontId="50" fillId="0" borderId="36" xfId="7" applyFont="1" applyFill="1" applyBorder="1" applyAlignment="1">
      <alignment horizontal="right"/>
    </xf>
    <xf numFmtId="0" fontId="15" fillId="0" borderId="27" xfId="7" applyFont="1" applyFill="1" applyBorder="1"/>
    <xf numFmtId="168" fontId="15" fillId="0" borderId="27" xfId="2" applyNumberFormat="1" applyFont="1" applyFill="1" applyBorder="1"/>
    <xf numFmtId="9" fontId="15" fillId="0" borderId="0" xfId="2" applyFont="1" applyFill="1" applyBorder="1"/>
    <xf numFmtId="0" fontId="15" fillId="0" borderId="34" xfId="7" applyFont="1" applyFill="1" applyBorder="1"/>
    <xf numFmtId="9" fontId="15" fillId="0" borderId="34" xfId="2" applyFont="1" applyFill="1" applyBorder="1"/>
    <xf numFmtId="3" fontId="15" fillId="0" borderId="0" xfId="7" applyNumberFormat="1" applyFont="1" applyFill="1"/>
    <xf numFmtId="168" fontId="15" fillId="0" borderId="0" xfId="15" applyNumberFormat="1" applyFont="1" applyFill="1"/>
    <xf numFmtId="9" fontId="15" fillId="0" borderId="0" xfId="15" applyFont="1" applyFill="1"/>
    <xf numFmtId="0" fontId="15" fillId="0" borderId="0" xfId="0" applyFont="1" applyFill="1"/>
    <xf numFmtId="0" fontId="50" fillId="0" borderId="0" xfId="7" applyFont="1" applyFill="1" applyAlignment="1">
      <alignment horizontal="center" vertical="center"/>
    </xf>
    <xf numFmtId="0" fontId="140" fillId="0" borderId="0" xfId="7" applyFont="1"/>
    <xf numFmtId="0" fontId="141" fillId="0" borderId="0" xfId="7" applyFont="1" applyAlignment="1">
      <alignment horizontal="center"/>
    </xf>
    <xf numFmtId="0" fontId="54" fillId="0" borderId="0" xfId="7" applyFont="1" applyAlignment="1">
      <alignment horizontal="center"/>
    </xf>
    <xf numFmtId="3" fontId="54" fillId="0" borderId="0" xfId="7" applyNumberFormat="1" applyFont="1"/>
    <xf numFmtId="0" fontId="142" fillId="0" borderId="0" xfId="7" applyFont="1" applyAlignment="1">
      <alignment horizontal="center" vertical="center" wrapText="1"/>
    </xf>
    <xf numFmtId="0" fontId="143" fillId="0" borderId="0" xfId="7" applyFont="1" applyAlignment="1">
      <alignment horizontal="center" vertical="center"/>
    </xf>
    <xf numFmtId="0" fontId="9" fillId="0" borderId="24" xfId="0" applyFont="1" applyBorder="1" applyAlignment="1">
      <alignment horizontal="left"/>
    </xf>
    <xf numFmtId="0" fontId="35"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0" fontId="19" fillId="0" borderId="0" xfId="0" applyFont="1" applyAlignment="1">
      <alignment horizontal="center"/>
    </xf>
    <xf numFmtId="169" fontId="19" fillId="0" borderId="0" xfId="0" applyNumberFormat="1" applyFont="1" applyAlignment="1">
      <alignment horizontal="center"/>
    </xf>
    <xf numFmtId="167" fontId="19" fillId="0" borderId="0" xfId="1" applyFont="1" applyAlignment="1">
      <alignment horizontal="center"/>
    </xf>
    <xf numFmtId="167" fontId="5" fillId="0" borderId="0" xfId="1" applyFont="1"/>
    <xf numFmtId="0" fontId="5" fillId="12" borderId="0" xfId="0" applyFont="1" applyFill="1"/>
    <xf numFmtId="169" fontId="5" fillId="12" borderId="0" xfId="1" applyNumberFormat="1" applyFont="1" applyFill="1"/>
    <xf numFmtId="0" fontId="40" fillId="0" borderId="0" xfId="0" applyFont="1" applyAlignment="1">
      <alignment horizontal="center" vertical="center"/>
    </xf>
    <xf numFmtId="0" fontId="40" fillId="0" borderId="0" xfId="0" applyFont="1" applyAlignment="1">
      <alignment horizontal="center"/>
    </xf>
    <xf numFmtId="0" fontId="40" fillId="0" borderId="0" xfId="0" applyFont="1" applyAlignment="1">
      <alignment horizontal="right"/>
    </xf>
    <xf numFmtId="0" fontId="40" fillId="0" borderId="52" xfId="0" applyFont="1" applyBorder="1" applyAlignment="1">
      <alignment horizontal="right"/>
    </xf>
    <xf numFmtId="167" fontId="5" fillId="0" borderId="11" xfId="1" applyNumberFormat="1" applyFont="1" applyBorder="1"/>
    <xf numFmtId="0" fontId="40" fillId="0" borderId="11" xfId="0" applyFont="1" applyBorder="1"/>
    <xf numFmtId="0" fontId="41" fillId="0" borderId="11" xfId="0" applyFont="1" applyBorder="1" applyAlignment="1">
      <alignment horizontal="center"/>
    </xf>
    <xf numFmtId="0" fontId="0" fillId="0" borderId="0" xfId="0" applyAlignment="1">
      <alignment horizontal="left" vertical="center" wrapText="1"/>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9"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5" fillId="0" borderId="0" xfId="0" applyFont="1" applyFill="1" applyAlignment="1">
      <alignment horizontal="center" vertical="center" wrapText="1"/>
    </xf>
    <xf numFmtId="0" fontId="19" fillId="0" borderId="0" xfId="0" applyFont="1" applyFill="1"/>
    <xf numFmtId="0" fontId="19" fillId="0" borderId="0" xfId="0" applyFont="1" applyFill="1" applyAlignment="1">
      <alignment horizontal="left" vertical="center" wrapText="1"/>
    </xf>
    <xf numFmtId="0" fontId="6" fillId="0" borderId="257" xfId="0" applyFont="1" applyBorder="1" applyAlignment="1">
      <alignment horizontal="left" vertical="center" wrapText="1"/>
    </xf>
    <xf numFmtId="0" fontId="19" fillId="0" borderId="0" xfId="0" applyFont="1" applyBorder="1" applyAlignment="1">
      <alignment horizontal="left" vertical="center" wrapText="1"/>
    </xf>
    <xf numFmtId="0" fontId="19" fillId="0" borderId="257" xfId="0" applyFont="1" applyBorder="1" applyAlignment="1">
      <alignment horizontal="left" vertical="center" wrapText="1"/>
    </xf>
    <xf numFmtId="0" fontId="0" fillId="0" borderId="0" xfId="0" applyAlignment="1">
      <alignment horizontal="left" indent="2"/>
    </xf>
    <xf numFmtId="0" fontId="35" fillId="0" borderId="0" xfId="0" applyFont="1" applyFill="1" applyAlignment="1">
      <alignment horizontal="center"/>
    </xf>
    <xf numFmtId="0" fontId="5" fillId="0" borderId="0" xfId="0" applyFont="1" applyFill="1" applyAlignment="1">
      <alignment wrapText="1"/>
    </xf>
    <xf numFmtId="3" fontId="5" fillId="0" borderId="13" xfId="0" applyNumberFormat="1" applyFont="1" applyFill="1" applyBorder="1" applyAlignment="1">
      <alignment horizontal="center" vertical="center" wrapText="1"/>
    </xf>
    <xf numFmtId="0" fontId="19" fillId="0" borderId="0" xfId="0" applyFont="1" applyBorder="1" applyAlignment="1">
      <alignment horizontal="center" vertical="center"/>
    </xf>
    <xf numFmtId="0" fontId="19" fillId="0" borderId="49" xfId="0" applyFont="1" applyFill="1" applyBorder="1" applyAlignment="1">
      <alignment horizontal="center" vertical="center"/>
    </xf>
    <xf numFmtId="0" fontId="19" fillId="0" borderId="50" xfId="0" applyFont="1" applyFill="1" applyBorder="1" applyAlignment="1">
      <alignment horizontal="center" vertical="center"/>
    </xf>
    <xf numFmtId="0" fontId="19"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8" fillId="0" borderId="260" xfId="0" applyFont="1" applyFill="1" applyBorder="1" applyAlignment="1">
      <alignment horizontal="center" vertical="center"/>
    </xf>
    <xf numFmtId="0" fontId="18" fillId="0" borderId="259" xfId="0" applyFont="1" applyFill="1" applyBorder="1" applyAlignment="1">
      <alignment horizontal="center" vertical="center"/>
    </xf>
    <xf numFmtId="169" fontId="5" fillId="0" borderId="261" xfId="1" applyNumberFormat="1" applyFont="1" applyFill="1" applyBorder="1" applyAlignment="1">
      <alignment horizontal="center" vertical="center"/>
    </xf>
    <xf numFmtId="169" fontId="5" fillId="0" borderId="262" xfId="1" applyNumberFormat="1" applyFont="1" applyFill="1" applyBorder="1" applyAlignment="1">
      <alignment horizontal="center" vertical="center"/>
    </xf>
    <xf numFmtId="0" fontId="11" fillId="0" borderId="0" xfId="0" applyFont="1" applyFill="1"/>
    <xf numFmtId="0" fontId="11" fillId="0" borderId="88" xfId="0" applyFont="1" applyFill="1" applyBorder="1" applyAlignment="1">
      <alignment horizontal="center" vertical="center"/>
    </xf>
    <xf numFmtId="0" fontId="11" fillId="0" borderId="0" xfId="0" applyFont="1" applyBorder="1" applyAlignment="1">
      <alignment horizontal="center" vertical="center"/>
    </xf>
    <xf numFmtId="0" fontId="11"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5" fillId="0" borderId="13" xfId="0" applyFont="1" applyFill="1" applyBorder="1" applyAlignment="1">
      <alignment horizontal="left" vertical="center" wrapText="1"/>
    </xf>
    <xf numFmtId="1" fontId="5" fillId="0" borderId="13" xfId="0" applyNumberFormat="1" applyFont="1" applyFill="1" applyBorder="1" applyAlignment="1">
      <alignment horizontal="center" vertical="center" wrapText="1"/>
    </xf>
    <xf numFmtId="3" fontId="147" fillId="0" borderId="13"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48" fillId="0" borderId="19" xfId="0" applyFont="1" applyFill="1" applyBorder="1" applyAlignment="1">
      <alignment horizontal="center" vertical="center" wrapText="1"/>
    </xf>
    <xf numFmtId="0" fontId="6" fillId="0" borderId="13" xfId="0" applyFont="1" applyFill="1" applyBorder="1" applyAlignment="1">
      <alignment horizontal="center" vertical="center" wrapText="1"/>
    </xf>
    <xf numFmtId="3" fontId="147" fillId="0" borderId="20" xfId="0" applyNumberFormat="1" applyFont="1" applyFill="1" applyBorder="1" applyAlignment="1">
      <alignment horizontal="center" vertical="center" wrapText="1"/>
    </xf>
    <xf numFmtId="3" fontId="147" fillId="0" borderId="17" xfId="0" applyNumberFormat="1" applyFont="1" applyFill="1" applyBorder="1" applyAlignment="1">
      <alignment horizontal="center" vertical="center" wrapText="1"/>
    </xf>
    <xf numFmtId="0" fontId="19"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8" fontId="5" fillId="0" borderId="0" xfId="2" applyNumberFormat="1" applyFont="1" applyFill="1" applyBorder="1" applyAlignment="1">
      <alignment vertical="center" wrapText="1"/>
    </xf>
    <xf numFmtId="168" fontId="0" fillId="0" borderId="0" xfId="2" applyNumberFormat="1" applyFont="1" applyFill="1" applyBorder="1" applyAlignment="1">
      <alignment vertical="center" wrapText="1"/>
    </xf>
    <xf numFmtId="0" fontId="149" fillId="0" borderId="0" xfId="4" applyFont="1" applyFill="1" applyBorder="1" applyAlignment="1" applyProtection="1">
      <alignment horizontal="left" vertical="center" wrapText="1"/>
    </xf>
    <xf numFmtId="0" fontId="23" fillId="0" borderId="0" xfId="4" applyFill="1" applyBorder="1" applyAlignment="1" applyProtection="1">
      <alignment horizontal="left" vertical="center" wrapText="1"/>
    </xf>
    <xf numFmtId="0" fontId="19" fillId="0" borderId="69" xfId="0" applyFont="1" applyFill="1" applyBorder="1" applyAlignment="1">
      <alignment horizontal="center" vertical="center"/>
    </xf>
    <xf numFmtId="1" fontId="11" fillId="0" borderId="13" xfId="0" applyNumberFormat="1" applyFont="1" applyFill="1" applyBorder="1" applyAlignment="1">
      <alignment horizontal="center" vertical="top"/>
    </xf>
    <xf numFmtId="0" fontId="11" fillId="0" borderId="13" xfId="0" applyFont="1" applyFill="1" applyBorder="1" applyAlignment="1">
      <alignment horizontal="center" vertical="top"/>
    </xf>
    <xf numFmtId="0" fontId="22" fillId="0" borderId="51" xfId="0" applyFont="1" applyBorder="1" applyAlignment="1">
      <alignment horizontal="center" vertical="center" wrapText="1"/>
    </xf>
    <xf numFmtId="9" fontId="14" fillId="0" borderId="55" xfId="0" applyNumberFormat="1" applyFont="1" applyBorder="1" applyAlignment="1">
      <alignment horizontal="center" vertical="center"/>
    </xf>
    <xf numFmtId="10" fontId="22" fillId="0" borderId="51" xfId="0" applyNumberFormat="1" applyFont="1" applyBorder="1" applyAlignment="1">
      <alignment horizontal="center" vertical="center"/>
    </xf>
    <xf numFmtId="0" fontId="22" fillId="0" borderId="51" xfId="0" applyFont="1" applyFill="1" applyBorder="1" applyAlignment="1">
      <alignment horizontal="center" vertical="center" wrapText="1"/>
    </xf>
    <xf numFmtId="0" fontId="14" fillId="0" borderId="0" xfId="0" applyFont="1" applyFill="1" applyAlignment="1">
      <alignment horizontal="center" wrapText="1"/>
    </xf>
    <xf numFmtId="9" fontId="14" fillId="0" borderId="55" xfId="0" applyNumberFormat="1" applyFont="1" applyFill="1" applyBorder="1" applyAlignment="1">
      <alignment horizontal="center" vertical="center"/>
    </xf>
    <xf numFmtId="9" fontId="14" fillId="0" borderId="0" xfId="2" applyFont="1" applyFill="1"/>
    <xf numFmtId="10" fontId="22" fillId="0" borderId="51" xfId="0" applyNumberFormat="1" applyFont="1" applyFill="1" applyBorder="1" applyAlignment="1">
      <alignment horizontal="center" vertical="center"/>
    </xf>
    <xf numFmtId="0" fontId="19" fillId="14" borderId="88" xfId="0" applyFont="1" applyFill="1" applyBorder="1" applyAlignment="1">
      <alignment horizontal="center" vertical="center"/>
    </xf>
    <xf numFmtId="0" fontId="11" fillId="14" borderId="38" xfId="0" applyFont="1" applyFill="1" applyBorder="1" applyAlignment="1">
      <alignment horizontal="center" vertical="top"/>
    </xf>
    <xf numFmtId="0" fontId="14" fillId="0" borderId="0" xfId="0" applyFont="1" applyFill="1" applyAlignment="1">
      <alignment horizontal="left" vertical="center"/>
    </xf>
    <xf numFmtId="0" fontId="70" fillId="0" borderId="0" xfId="0" applyFont="1" applyFill="1"/>
    <xf numFmtId="0" fontId="107" fillId="0" borderId="0" xfId="0" applyFont="1" applyFill="1"/>
    <xf numFmtId="0" fontId="7" fillId="0" borderId="0" xfId="0" applyFont="1" applyFill="1"/>
    <xf numFmtId="0" fontId="39" fillId="0" borderId="0" xfId="0" applyFont="1" applyFill="1"/>
    <xf numFmtId="0" fontId="12" fillId="0" borderId="0" xfId="0" applyFont="1" applyFill="1"/>
    <xf numFmtId="0" fontId="150" fillId="0" borderId="0" xfId="0" applyFont="1" applyFill="1" applyAlignment="1">
      <alignment horizontal="center" vertical="center" wrapText="1"/>
    </xf>
    <xf numFmtId="0" fontId="150" fillId="0" borderId="0" xfId="0" applyFont="1" applyFill="1" applyAlignment="1">
      <alignment horizontal="center" vertical="center"/>
    </xf>
    <xf numFmtId="0" fontId="39" fillId="0" borderId="0" xfId="0" applyFont="1" applyFill="1" applyAlignment="1">
      <alignment vertical="center"/>
    </xf>
    <xf numFmtId="3" fontId="39" fillId="0" borderId="0" xfId="0" applyNumberFormat="1" applyFont="1" applyFill="1" applyAlignment="1"/>
    <xf numFmtId="2" fontId="39" fillId="0" borderId="0" xfId="0" applyNumberFormat="1" applyFont="1" applyFill="1" applyAlignment="1"/>
    <xf numFmtId="2" fontId="39" fillId="0" borderId="0" xfId="0" applyNumberFormat="1" applyFont="1" applyFill="1"/>
    <xf numFmtId="0" fontId="70" fillId="0" borderId="0" xfId="0" applyFont="1" applyFill="1" applyAlignment="1">
      <alignment horizontal="left" vertical="center" indent="2"/>
    </xf>
    <xf numFmtId="3" fontId="39" fillId="0" borderId="0" xfId="0" applyNumberFormat="1" applyFont="1" applyFill="1" applyAlignment="1">
      <alignment horizontal="right"/>
    </xf>
    <xf numFmtId="3" fontId="70" fillId="0" borderId="0" xfId="0" applyNumberFormat="1" applyFont="1" applyFill="1" applyAlignment="1">
      <alignment horizontal="right"/>
    </xf>
    <xf numFmtId="2" fontId="70" fillId="0" borderId="0" xfId="0" applyNumberFormat="1" applyFont="1" applyFill="1" applyAlignment="1">
      <alignment horizontal="right"/>
    </xf>
    <xf numFmtId="3" fontId="39" fillId="0" borderId="0" xfId="0" applyNumberFormat="1" applyFont="1" applyFill="1" applyAlignment="1">
      <alignment horizontal="right" vertical="center" wrapText="1"/>
    </xf>
    <xf numFmtId="3" fontId="70" fillId="0" borderId="0" xfId="0" applyNumberFormat="1" applyFont="1" applyFill="1" applyAlignment="1">
      <alignment horizontal="right" vertical="center" wrapText="1"/>
    </xf>
    <xf numFmtId="2" fontId="70" fillId="0" borderId="0" xfId="0" applyNumberFormat="1" applyFont="1" applyFill="1" applyAlignment="1">
      <alignment horizontal="right" vertical="center" wrapText="1"/>
    </xf>
    <xf numFmtId="2" fontId="39" fillId="0" borderId="0" xfId="0" applyNumberFormat="1" applyFont="1" applyFill="1" applyAlignment="1">
      <alignment horizontal="right" vertical="center" wrapText="1"/>
    </xf>
    <xf numFmtId="0" fontId="102" fillId="0" borderId="12" xfId="0" applyFont="1" applyFill="1" applyBorder="1" applyAlignment="1"/>
    <xf numFmtId="0" fontId="102" fillId="0" borderId="0" xfId="0" applyFont="1" applyFill="1" applyBorder="1" applyAlignment="1"/>
    <xf numFmtId="0" fontId="102" fillId="0" borderId="3" xfId="0" applyFont="1" applyFill="1" applyBorder="1" applyAlignment="1">
      <alignment horizontal="left"/>
    </xf>
    <xf numFmtId="0" fontId="102" fillId="0" borderId="0" xfId="0" applyFont="1" applyFill="1" applyBorder="1" applyAlignment="1">
      <alignment horizontal="left"/>
    </xf>
    <xf numFmtId="0" fontId="79" fillId="0" borderId="0" xfId="0" applyFont="1" applyFill="1" applyBorder="1" applyAlignment="1">
      <alignment horizontal="left"/>
    </xf>
    <xf numFmtId="0" fontId="101" fillId="0" borderId="50" xfId="0" applyFont="1" applyFill="1" applyBorder="1" applyAlignment="1">
      <alignment horizontal="center" vertical="center" wrapText="1"/>
    </xf>
    <xf numFmtId="3" fontId="21" fillId="0" borderId="0" xfId="0" applyNumberFormat="1" applyFont="1" applyFill="1"/>
    <xf numFmtId="0" fontId="21" fillId="0" borderId="0" xfId="0" applyFont="1" applyFill="1" applyAlignment="1">
      <alignment horizontal="center"/>
    </xf>
    <xf numFmtId="3" fontId="70" fillId="0" borderId="0" xfId="0" applyNumberFormat="1" applyFont="1" applyFill="1"/>
    <xf numFmtId="0" fontId="70" fillId="0" borderId="0" xfId="0" applyFont="1" applyFill="1" applyAlignment="1">
      <alignment horizontal="center"/>
    </xf>
    <xf numFmtId="0" fontId="150" fillId="0" borderId="0" xfId="0" applyFont="1" applyFill="1"/>
    <xf numFmtId="0" fontId="21" fillId="0" borderId="0" xfId="0" applyFont="1" applyFill="1"/>
    <xf numFmtId="3" fontId="101" fillId="0" borderId="52" xfId="0" applyNumberFormat="1" applyFont="1" applyFill="1" applyBorder="1" applyAlignment="1">
      <alignment horizontal="center" vertical="center" wrapText="1"/>
    </xf>
    <xf numFmtId="3" fontId="101" fillId="0" borderId="49" xfId="0" applyNumberFormat="1" applyFont="1" applyFill="1" applyBorder="1" applyAlignment="1">
      <alignment horizontal="center" vertical="center" wrapText="1"/>
    </xf>
    <xf numFmtId="0" fontId="10" fillId="0" borderId="114" xfId="23" applyFont="1" applyFill="1" applyBorder="1" applyAlignment="1">
      <alignment horizontal="left" vertical="top" wrapText="1" indent="1"/>
    </xf>
    <xf numFmtId="168" fontId="10" fillId="0" borderId="114" xfId="2" applyNumberFormat="1" applyFont="1" applyFill="1" applyBorder="1" applyAlignment="1">
      <alignment horizontal="center" vertical="top" wrapText="1"/>
    </xf>
    <xf numFmtId="3" fontId="10" fillId="0" borderId="115" xfId="23" applyNumberFormat="1" applyFont="1" applyFill="1" applyBorder="1" applyAlignment="1">
      <alignment horizontal="center" vertical="center"/>
    </xf>
    <xf numFmtId="0" fontId="10" fillId="0" borderId="117" xfId="23" applyFont="1" applyFill="1" applyBorder="1" applyAlignment="1">
      <alignment horizontal="left" vertical="top" wrapText="1" indent="1"/>
    </xf>
    <xf numFmtId="168" fontId="10" fillId="0" borderId="117" xfId="2" applyNumberFormat="1" applyFont="1" applyFill="1" applyBorder="1" applyAlignment="1">
      <alignment horizontal="center" vertical="top" wrapText="1"/>
    </xf>
    <xf numFmtId="3" fontId="10" fillId="0" borderId="118" xfId="23" applyNumberFormat="1" applyFont="1" applyFill="1" applyBorder="1" applyAlignment="1">
      <alignment horizontal="center" vertical="center"/>
    </xf>
    <xf numFmtId="168" fontId="151" fillId="28" borderId="7" xfId="0" applyNumberFormat="1" applyFont="1" applyFill="1" applyBorder="1"/>
    <xf numFmtId="168" fontId="151" fillId="28" borderId="7" xfId="15" applyNumberFormat="1" applyFont="1" applyFill="1" applyBorder="1"/>
    <xf numFmtId="3" fontId="145" fillId="16" borderId="0" xfId="0" applyNumberFormat="1" applyFont="1" applyFill="1" applyBorder="1"/>
    <xf numFmtId="0" fontId="41" fillId="0" borderId="0" xfId="0" applyFont="1" applyBorder="1" applyAlignment="1">
      <alignment horizontal="center"/>
    </xf>
    <xf numFmtId="168" fontId="0" fillId="0" borderId="0" xfId="0" applyNumberFormat="1" applyFont="1"/>
    <xf numFmtId="0" fontId="70" fillId="0" borderId="37" xfId="0" applyFont="1" applyFill="1" applyBorder="1" applyAlignment="1">
      <alignment horizontal="center" vertical="center" wrapText="1"/>
    </xf>
    <xf numFmtId="0" fontId="70" fillId="0" borderId="0" xfId="0" applyFont="1" applyFill="1" applyBorder="1" applyAlignment="1">
      <alignment horizontal="center" vertical="center" wrapText="1"/>
    </xf>
    <xf numFmtId="172" fontId="39" fillId="40" borderId="37" xfId="0" applyNumberFormat="1" applyFont="1" applyFill="1" applyBorder="1" applyAlignment="1">
      <alignment horizontal="center"/>
    </xf>
    <xf numFmtId="172" fontId="39" fillId="40" borderId="0" xfId="0" applyNumberFormat="1" applyFont="1" applyFill="1" applyBorder="1" applyAlignment="1">
      <alignment horizontal="center"/>
    </xf>
    <xf numFmtId="0" fontId="69" fillId="83" borderId="40" xfId="0" applyFont="1" applyFill="1" applyBorder="1"/>
    <xf numFmtId="0" fontId="152" fillId="17" borderId="0" xfId="85" applyFont="1" applyFill="1"/>
    <xf numFmtId="0" fontId="152" fillId="0" borderId="0" xfId="85" applyFont="1" applyFill="1"/>
    <xf numFmtId="0" fontId="153" fillId="8" borderId="0" xfId="85" applyFont="1" applyFill="1" applyBorder="1" applyAlignment="1">
      <alignment horizontal="center"/>
    </xf>
    <xf numFmtId="0" fontId="153" fillId="0" borderId="0" xfId="85" applyFont="1" applyFill="1" applyBorder="1" applyAlignment="1">
      <alignment horizontal="center"/>
    </xf>
    <xf numFmtId="0" fontId="153" fillId="8" borderId="75" xfId="85" applyFont="1" applyFill="1" applyBorder="1" applyAlignment="1">
      <alignment horizontal="center"/>
    </xf>
    <xf numFmtId="0" fontId="153" fillId="8" borderId="76" xfId="85" applyFont="1" applyFill="1" applyBorder="1" applyAlignment="1">
      <alignment horizontal="center"/>
    </xf>
    <xf numFmtId="0" fontId="153" fillId="0" borderId="28" xfId="85" applyFont="1" applyFill="1" applyBorder="1" applyAlignment="1">
      <alignment horizontal="center"/>
    </xf>
    <xf numFmtId="0" fontId="153" fillId="0" borderId="158" xfId="85" applyFont="1" applyFill="1" applyBorder="1" applyAlignment="1">
      <alignment horizontal="center"/>
    </xf>
    <xf numFmtId="3" fontId="153" fillId="0" borderId="31" xfId="85" applyNumberFormat="1" applyFont="1" applyFill="1" applyBorder="1"/>
    <xf numFmtId="3" fontId="153" fillId="0" borderId="32" xfId="85" applyNumberFormat="1" applyFont="1" applyFill="1" applyBorder="1"/>
    <xf numFmtId="3" fontId="153" fillId="15" borderId="77" xfId="85" applyNumberFormat="1" applyFont="1" applyFill="1" applyBorder="1"/>
    <xf numFmtId="3" fontId="153" fillId="0" borderId="79" xfId="85" applyNumberFormat="1" applyFont="1" applyFill="1" applyBorder="1"/>
    <xf numFmtId="3" fontId="153" fillId="0" borderId="80" xfId="85" applyNumberFormat="1" applyFont="1" applyFill="1" applyBorder="1"/>
    <xf numFmtId="3" fontId="153" fillId="8" borderId="0" xfId="85" applyNumberFormat="1" applyFont="1" applyFill="1" applyBorder="1" applyAlignment="1">
      <alignment horizontal="center"/>
    </xf>
    <xf numFmtId="171" fontId="153" fillId="8" borderId="0" xfId="85" applyNumberFormat="1" applyFont="1" applyFill="1" applyBorder="1" applyAlignment="1">
      <alignment horizontal="center"/>
    </xf>
    <xf numFmtId="171" fontId="153" fillId="15" borderId="0" xfId="85" applyNumberFormat="1" applyFont="1" applyFill="1" applyBorder="1" applyAlignment="1">
      <alignment horizontal="center"/>
    </xf>
    <xf numFmtId="3" fontId="152" fillId="0" borderId="0" xfId="85" applyNumberFormat="1" applyFont="1" applyFill="1" applyBorder="1"/>
    <xf numFmtId="3" fontId="153" fillId="0" borderId="0" xfId="85" applyNumberFormat="1" applyFont="1" applyAlignment="1">
      <alignment horizontal="center"/>
    </xf>
    <xf numFmtId="171" fontId="153" fillId="0" borderId="0" xfId="85" applyNumberFormat="1" applyFont="1" applyAlignment="1">
      <alignment horizontal="center"/>
    </xf>
    <xf numFmtId="3" fontId="152" fillId="0" borderId="0" xfId="85" applyNumberFormat="1" applyFont="1"/>
    <xf numFmtId="0" fontId="153" fillId="0" borderId="131" xfId="85" applyFont="1" applyFill="1" applyBorder="1" applyAlignment="1">
      <alignment horizontal="center"/>
    </xf>
    <xf numFmtId="3" fontId="152" fillId="0" borderId="0" xfId="85" applyNumberFormat="1" applyFont="1" applyBorder="1"/>
    <xf numFmtId="9" fontId="153" fillId="0" borderId="0" xfId="2" applyFont="1" applyBorder="1" applyAlignment="1">
      <alignment horizontal="center"/>
    </xf>
    <xf numFmtId="9" fontId="153" fillId="0" borderId="33" xfId="2" applyFont="1" applyBorder="1" applyAlignment="1">
      <alignment horizontal="center" vertical="center"/>
    </xf>
    <xf numFmtId="9" fontId="152" fillId="0" borderId="0" xfId="2" applyFont="1" applyFill="1" applyBorder="1"/>
    <xf numFmtId="0" fontId="152" fillId="0" borderId="0" xfId="85" applyFont="1" applyFill="1" applyBorder="1"/>
    <xf numFmtId="0" fontId="0" fillId="0" borderId="0" xfId="0" applyAlignment="1">
      <alignment horizontal="center"/>
    </xf>
    <xf numFmtId="0" fontId="107" fillId="0" borderId="52" xfId="0" applyFont="1" applyBorder="1" applyAlignment="1">
      <alignment horizontal="right"/>
    </xf>
    <xf numFmtId="0" fontId="108" fillId="0" borderId="0" xfId="0" applyFont="1"/>
    <xf numFmtId="0" fontId="106" fillId="0" borderId="0" xfId="0" applyFont="1" applyFill="1"/>
    <xf numFmtId="0" fontId="108" fillId="0" borderId="0" xfId="0" applyFont="1" applyFill="1"/>
    <xf numFmtId="167" fontId="155" fillId="0" borderId="0" xfId="1" applyFont="1" applyFill="1" applyAlignment="1">
      <alignment horizontal="center"/>
    </xf>
    <xf numFmtId="9" fontId="156" fillId="14" borderId="0" xfId="2" applyFont="1" applyFill="1" applyAlignment="1">
      <alignment horizontal="center"/>
    </xf>
    <xf numFmtId="0" fontId="106" fillId="0" borderId="52" xfId="0" applyFont="1" applyBorder="1" applyAlignment="1">
      <alignment horizontal="center" vertical="center" wrapText="1"/>
    </xf>
    <xf numFmtId="0" fontId="107" fillId="7" borderId="11" xfId="0" applyFont="1" applyFill="1" applyBorder="1" applyAlignment="1">
      <alignment horizontal="center" vertical="center" wrapText="1"/>
    </xf>
    <xf numFmtId="0" fontId="106" fillId="0" borderId="0" xfId="0" applyFont="1" applyFill="1" applyAlignment="1">
      <alignment vertical="center" wrapText="1"/>
    </xf>
    <xf numFmtId="0" fontId="107" fillId="0" borderId="23" xfId="0" applyFont="1" applyBorder="1" applyAlignment="1">
      <alignment horizontal="center"/>
    </xf>
    <xf numFmtId="3" fontId="108" fillId="0" borderId="0" xfId="0" applyNumberFormat="1" applyFont="1" applyBorder="1"/>
    <xf numFmtId="3" fontId="154" fillId="72" borderId="11" xfId="0" applyNumberFormat="1" applyFont="1" applyFill="1" applyBorder="1"/>
    <xf numFmtId="0" fontId="0" fillId="13" borderId="0" xfId="0" applyFill="1" applyAlignment="1">
      <alignment horizontal="center"/>
    </xf>
    <xf numFmtId="3" fontId="157" fillId="13" borderId="266" xfId="13" applyNumberFormat="1" applyFont="1" applyFill="1" applyBorder="1" applyAlignment="1">
      <alignment horizontal="center"/>
    </xf>
    <xf numFmtId="3" fontId="157" fillId="13" borderId="267" xfId="13" applyNumberFormat="1" applyFont="1" applyFill="1" applyBorder="1" applyAlignment="1">
      <alignment horizontal="center"/>
    </xf>
    <xf numFmtId="169"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20"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6"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75" fillId="84" borderId="12" xfId="0" applyFont="1" applyFill="1" applyBorder="1" applyAlignment="1"/>
    <xf numFmtId="3" fontId="0" fillId="13" borderId="0" xfId="0" applyNumberFormat="1" applyFill="1" applyAlignment="1">
      <alignment horizontal="center"/>
    </xf>
    <xf numFmtId="0" fontId="0" fillId="13" borderId="0" xfId="0" applyFill="1" applyAlignment="1">
      <alignment horizontal="left"/>
    </xf>
    <xf numFmtId="169" fontId="0" fillId="13" borderId="0" xfId="0" applyNumberFormat="1" applyFill="1"/>
    <xf numFmtId="0" fontId="102" fillId="13" borderId="12" xfId="0" applyFont="1" applyFill="1" applyBorder="1" applyAlignment="1"/>
    <xf numFmtId="0" fontId="102" fillId="13" borderId="0" xfId="0" applyFont="1" applyFill="1" applyBorder="1" applyAlignment="1"/>
    <xf numFmtId="0" fontId="21" fillId="13" borderId="0" xfId="0" applyFont="1" applyFill="1" applyAlignment="1">
      <alignment horizontal="center"/>
    </xf>
    <xf numFmtId="0" fontId="75" fillId="13" borderId="12" xfId="0" applyFont="1" applyFill="1" applyBorder="1" applyAlignment="1"/>
    <xf numFmtId="0" fontId="75" fillId="13" borderId="0" xfId="0" applyFont="1" applyFill="1" applyBorder="1" applyAlignment="1"/>
    <xf numFmtId="0" fontId="70" fillId="13" borderId="0" xfId="0" applyFont="1" applyFill="1" applyAlignment="1">
      <alignment horizontal="center"/>
    </xf>
    <xf numFmtId="0" fontId="70" fillId="13" borderId="0" xfId="0" applyFont="1" applyFill="1"/>
    <xf numFmtId="0" fontId="107" fillId="13" borderId="0" xfId="0" applyFont="1" applyFill="1"/>
    <xf numFmtId="3" fontId="0" fillId="13" borderId="0" xfId="0" applyNumberFormat="1" applyFill="1"/>
    <xf numFmtId="3" fontId="0" fillId="13" borderId="0" xfId="0" applyNumberFormat="1" applyFill="1" applyBorder="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9" fontId="5" fillId="13" borderId="0" xfId="1" applyNumberFormat="1" applyFont="1" applyFill="1"/>
    <xf numFmtId="3" fontId="9" fillId="13" borderId="0" xfId="0" applyNumberFormat="1" applyFont="1" applyFill="1" applyAlignment="1">
      <alignment vertical="center"/>
    </xf>
    <xf numFmtId="3" fontId="2" fillId="13" borderId="0" xfId="0" applyNumberFormat="1" applyFont="1" applyFill="1" applyAlignment="1">
      <alignment vertical="center"/>
    </xf>
    <xf numFmtId="3" fontId="10"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10"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10"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4" xfId="0" applyNumberFormat="1" applyFont="1" applyFill="1" applyBorder="1"/>
    <xf numFmtId="0" fontId="11" fillId="13" borderId="0" xfId="0" applyFont="1" applyFill="1"/>
    <xf numFmtId="0" fontId="11" fillId="13" borderId="0" xfId="0" applyFont="1" applyFill="1" applyAlignment="1">
      <alignment horizontal="center" wrapText="1"/>
    </xf>
    <xf numFmtId="3" fontId="10"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10" fillId="13" borderId="90" xfId="0" applyNumberFormat="1" applyFont="1" applyFill="1" applyBorder="1" applyAlignment="1">
      <alignment vertical="center"/>
    </xf>
    <xf numFmtId="169" fontId="0" fillId="13" borderId="90" xfId="1" applyNumberFormat="1" applyFont="1" applyFill="1" applyBorder="1"/>
    <xf numFmtId="169" fontId="0" fillId="13" borderId="51" xfId="1" applyNumberFormat="1" applyFont="1" applyFill="1" applyBorder="1"/>
    <xf numFmtId="0" fontId="15" fillId="0" borderId="0" xfId="0" applyFont="1" applyAlignment="1">
      <alignment horizontal="center"/>
    </xf>
    <xf numFmtId="0" fontId="53" fillId="28" borderId="0" xfId="0" applyFont="1" applyFill="1"/>
    <xf numFmtId="3" fontId="54" fillId="28" borderId="0" xfId="0" applyNumberFormat="1" applyFont="1" applyFill="1"/>
    <xf numFmtId="0" fontId="54" fillId="28" borderId="0" xfId="0" applyFont="1" applyFill="1"/>
    <xf numFmtId="0" fontId="158" fillId="16" borderId="37" xfId="0" applyFont="1" applyFill="1" applyBorder="1"/>
    <xf numFmtId="0" fontId="158" fillId="16" borderId="0" xfId="0" applyFont="1" applyFill="1" applyBorder="1"/>
    <xf numFmtId="0" fontId="159" fillId="16" borderId="0" xfId="0" applyFont="1" applyFill="1" applyBorder="1"/>
    <xf numFmtId="168" fontId="159" fillId="16" borderId="0" xfId="0" applyNumberFormat="1" applyFont="1" applyFill="1" applyBorder="1"/>
    <xf numFmtId="0" fontId="159" fillId="16" borderId="7" xfId="0" applyFont="1" applyFill="1" applyBorder="1"/>
    <xf numFmtId="0" fontId="159" fillId="16" borderId="0" xfId="0" applyFont="1" applyFill="1"/>
    <xf numFmtId="0" fontId="159" fillId="16" borderId="37" xfId="0" applyFont="1" applyFill="1" applyBorder="1"/>
    <xf numFmtId="168" fontId="159" fillId="16" borderId="7" xfId="0" applyNumberFormat="1" applyFont="1" applyFill="1" applyBorder="1"/>
    <xf numFmtId="168" fontId="159" fillId="16" borderId="7" xfId="15" applyNumberFormat="1" applyFont="1" applyFill="1" applyBorder="1"/>
    <xf numFmtId="0" fontId="159" fillId="16" borderId="40" xfId="0" applyFont="1" applyFill="1" applyBorder="1" applyAlignment="1">
      <alignment horizontal="left"/>
    </xf>
    <xf numFmtId="0" fontId="159" fillId="16" borderId="33" xfId="0" applyFont="1" applyFill="1" applyBorder="1" applyAlignment="1">
      <alignment horizontal="left"/>
    </xf>
    <xf numFmtId="168" fontId="159" fillId="16" borderId="33" xfId="0" applyNumberFormat="1" applyFont="1" applyFill="1" applyBorder="1"/>
    <xf numFmtId="0" fontId="114" fillId="0" borderId="0" xfId="85" applyFont="1" applyFill="1" applyBorder="1"/>
    <xf numFmtId="3" fontId="126" fillId="0" borderId="0" xfId="85" applyNumberFormat="1" applyFont="1" applyFill="1" applyBorder="1"/>
    <xf numFmtId="0" fontId="0" fillId="0" borderId="0" xfId="0" applyAlignment="1">
      <alignment horizontal="left" vertical="center" wrapText="1"/>
    </xf>
    <xf numFmtId="168" fontId="158" fillId="72" borderId="9" xfId="0" applyNumberFormat="1" applyFont="1" applyFill="1" applyBorder="1"/>
    <xf numFmtId="0" fontId="21" fillId="0" borderId="0" xfId="0" applyFont="1" applyAlignment="1">
      <alignment horizontal="center"/>
    </xf>
    <xf numFmtId="0" fontId="11" fillId="0" borderId="0" xfId="0" applyFont="1" applyAlignment="1">
      <alignment horizontal="center"/>
    </xf>
    <xf numFmtId="0" fontId="21" fillId="0" borderId="0" xfId="0" applyFont="1" applyFill="1" applyBorder="1" applyAlignment="1">
      <alignment horizontal="center" vertical="center" wrapText="1"/>
    </xf>
    <xf numFmtId="10" fontId="11" fillId="0" borderId="0" xfId="2" applyNumberFormat="1" applyFont="1" applyFill="1" applyBorder="1" applyAlignment="1">
      <alignment horizontal="center"/>
    </xf>
    <xf numFmtId="0" fontId="162" fillId="0" borderId="0" xfId="0" applyFont="1" applyFill="1"/>
    <xf numFmtId="0" fontId="163" fillId="0" borderId="0" xfId="0" applyFont="1" applyFill="1" applyAlignment="1">
      <alignment horizontal="center"/>
    </xf>
    <xf numFmtId="168" fontId="162" fillId="0" borderId="0" xfId="2" applyNumberFormat="1" applyFont="1" applyFill="1"/>
    <xf numFmtId="168" fontId="11" fillId="0" borderId="0" xfId="2" applyNumberFormat="1" applyFont="1" applyFill="1"/>
    <xf numFmtId="17" fontId="0" fillId="32" borderId="7" xfId="0" applyNumberFormat="1" applyFont="1" applyFill="1" applyBorder="1" applyAlignment="1">
      <alignment horizontal="center" vertical="center" wrapText="1"/>
    </xf>
    <xf numFmtId="0" fontId="70" fillId="0" borderId="23" xfId="0" applyFont="1" applyBorder="1" applyAlignment="1">
      <alignment horizontal="center" vertical="center"/>
    </xf>
    <xf numFmtId="0" fontId="70" fillId="0" borderId="0" xfId="0" applyFont="1" applyBorder="1" applyAlignment="1">
      <alignment horizontal="center" vertical="center"/>
    </xf>
    <xf numFmtId="0" fontId="39" fillId="11" borderId="52" xfId="0" applyFont="1" applyFill="1" applyBorder="1" applyAlignment="1">
      <alignment horizontal="center" vertical="center"/>
    </xf>
    <xf numFmtId="0" fontId="70" fillId="0" borderId="11" xfId="0" applyFont="1" applyBorder="1" applyAlignment="1">
      <alignment horizontal="center" vertical="center"/>
    </xf>
    <xf numFmtId="17" fontId="0" fillId="32" borderId="84" xfId="0" applyNumberFormat="1" applyFont="1" applyFill="1" applyBorder="1" applyAlignment="1">
      <alignment horizontal="center" vertical="center" wrapText="1"/>
    </xf>
    <xf numFmtId="0" fontId="70" fillId="0" borderId="0" xfId="0" applyFont="1" applyFill="1" applyBorder="1" applyAlignment="1">
      <alignment horizontal="left" vertical="top"/>
    </xf>
    <xf numFmtId="1" fontId="39" fillId="10" borderId="35" xfId="0" applyNumberFormat="1" applyFont="1" applyFill="1" applyBorder="1" applyAlignment="1">
      <alignment horizontal="left" vertical="center"/>
    </xf>
    <xf numFmtId="172" fontId="39" fillId="10" borderId="29" xfId="0" applyNumberFormat="1" applyFont="1" applyFill="1" applyBorder="1" applyAlignment="1">
      <alignment horizontal="center" vertical="center"/>
    </xf>
    <xf numFmtId="172" fontId="39" fillId="10" borderId="66" xfId="0" applyNumberFormat="1" applyFont="1" applyFill="1" applyBorder="1" applyAlignment="1">
      <alignment horizontal="center" vertical="center"/>
    </xf>
    <xf numFmtId="172" fontId="39" fillId="10" borderId="34" xfId="0" applyNumberFormat="1" applyFont="1" applyFill="1" applyBorder="1" applyAlignment="1">
      <alignment horizontal="center" vertical="center"/>
    </xf>
    <xf numFmtId="172" fontId="39" fillId="10" borderId="30" xfId="0" applyNumberFormat="1" applyFont="1" applyFill="1" applyBorder="1" applyAlignment="1">
      <alignment horizontal="center" vertical="center"/>
    </xf>
    <xf numFmtId="172" fontId="39" fillId="10" borderId="67" xfId="0" applyNumberFormat="1" applyFont="1" applyFill="1" applyBorder="1" applyAlignment="1">
      <alignment horizontal="center" vertical="center"/>
    </xf>
    <xf numFmtId="0" fontId="39" fillId="85" borderId="52" xfId="0" applyFont="1" applyFill="1" applyBorder="1"/>
    <xf numFmtId="0" fontId="70" fillId="0" borderId="35" xfId="0" applyFont="1" applyFill="1" applyBorder="1" applyAlignment="1">
      <alignment vertical="center"/>
    </xf>
    <xf numFmtId="0" fontId="39" fillId="85" borderId="37" xfId="0" applyFont="1" applyFill="1" applyBorder="1"/>
    <xf numFmtId="0" fontId="39" fillId="85" borderId="40" xfId="0" applyFont="1" applyFill="1" applyBorder="1"/>
    <xf numFmtId="172" fontId="38" fillId="0" borderId="0" xfId="0" applyNumberFormat="1" applyFont="1" applyFill="1" applyBorder="1" applyAlignment="1">
      <alignment horizontal="center"/>
    </xf>
    <xf numFmtId="1" fontId="39" fillId="32" borderId="29" xfId="0" applyNumberFormat="1" applyFont="1" applyFill="1" applyBorder="1" applyAlignment="1">
      <alignment horizontal="left" vertical="center"/>
    </xf>
    <xf numFmtId="0" fontId="70" fillId="0" borderId="6" xfId="0" applyFont="1" applyFill="1" applyBorder="1" applyAlignment="1">
      <alignment horizontal="center" vertical="center" wrapText="1"/>
    </xf>
    <xf numFmtId="172" fontId="39" fillId="10" borderId="0" xfId="0" applyNumberFormat="1" applyFont="1" applyFill="1" applyBorder="1" applyAlignment="1">
      <alignment horizontal="center" vertical="center"/>
    </xf>
    <xf numFmtId="0" fontId="5" fillId="0" borderId="0" xfId="0" applyFont="1" applyAlignment="1">
      <alignment vertical="center" wrapText="1"/>
    </xf>
    <xf numFmtId="172" fontId="165" fillId="16" borderId="0" xfId="0" applyNumberFormat="1" applyFont="1" applyFill="1" applyBorder="1" applyAlignment="1">
      <alignment horizontal="center" vertical="center"/>
    </xf>
    <xf numFmtId="172" fontId="12"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2" borderId="33" xfId="0" applyFont="1" applyFill="1" applyBorder="1" applyAlignment="1">
      <alignment vertical="center"/>
    </xf>
    <xf numFmtId="172" fontId="66" fillId="16" borderId="33" xfId="0" applyNumberFormat="1" applyFont="1" applyFill="1" applyBorder="1" applyAlignment="1">
      <alignment horizontal="center" vertical="center"/>
    </xf>
    <xf numFmtId="3" fontId="17" fillId="41" borderId="33" xfId="0" applyNumberFormat="1" applyFont="1" applyFill="1" applyBorder="1" applyAlignment="1">
      <alignment horizontal="center" vertical="center"/>
    </xf>
    <xf numFmtId="0" fontId="164" fillId="24" borderId="0" xfId="0" applyFont="1" applyFill="1" applyBorder="1" applyAlignment="1">
      <alignment horizontal="center"/>
    </xf>
    <xf numFmtId="1" fontId="39" fillId="72" borderId="37" xfId="0" applyNumberFormat="1" applyFont="1" applyFill="1" applyBorder="1" applyAlignment="1">
      <alignment horizontal="center" vertical="center" wrapText="1"/>
    </xf>
    <xf numFmtId="172" fontId="29" fillId="72" borderId="52" xfId="0" applyNumberFormat="1" applyFont="1" applyFill="1" applyBorder="1" applyAlignment="1">
      <alignment horizontal="center"/>
    </xf>
    <xf numFmtId="172" fontId="29" fillId="72" borderId="37" xfId="0" applyNumberFormat="1" applyFont="1" applyFill="1" applyBorder="1" applyAlignment="1">
      <alignment horizontal="center"/>
    </xf>
    <xf numFmtId="172" fontId="29" fillId="72" borderId="40" xfId="0" applyNumberFormat="1" applyFont="1" applyFill="1" applyBorder="1" applyAlignment="1">
      <alignment horizontal="center"/>
    </xf>
    <xf numFmtId="3" fontId="17" fillId="0" borderId="33" xfId="0" applyNumberFormat="1" applyFont="1" applyFill="1" applyBorder="1" applyAlignment="1">
      <alignment horizontal="center" vertical="center"/>
    </xf>
    <xf numFmtId="0" fontId="155" fillId="3" borderId="5" xfId="0" applyFont="1" applyFill="1" applyBorder="1" applyAlignment="1">
      <alignment horizontal="center" vertical="center" wrapText="1"/>
    </xf>
    <xf numFmtId="0" fontId="20" fillId="32" borderId="0" xfId="85" applyFont="1" applyFill="1" applyBorder="1" applyAlignment="1">
      <alignment wrapText="1"/>
    </xf>
    <xf numFmtId="9" fontId="11" fillId="0" borderId="0" xfId="2" applyFont="1" applyAlignment="1">
      <alignment wrapText="1"/>
    </xf>
    <xf numFmtId="0" fontId="103" fillId="0" borderId="0" xfId="0" applyFont="1" applyFill="1"/>
    <xf numFmtId="168" fontId="103" fillId="0" borderId="0" xfId="2" applyNumberFormat="1" applyFont="1" applyFill="1" applyAlignment="1">
      <alignment horizontal="center"/>
    </xf>
    <xf numFmtId="168" fontId="57" fillId="0" borderId="0" xfId="2" applyNumberFormat="1" applyFont="1" applyFill="1" applyAlignment="1">
      <alignment horizontal="center"/>
    </xf>
    <xf numFmtId="3" fontId="108" fillId="0" borderId="0" xfId="0" applyNumberFormat="1" applyFont="1" applyFill="1" applyBorder="1"/>
    <xf numFmtId="168" fontId="133" fillId="72" borderId="40" xfId="2" applyNumberFormat="1" applyFont="1" applyFill="1" applyBorder="1" applyAlignment="1">
      <alignment horizontal="center" vertical="center" wrapText="1"/>
    </xf>
    <xf numFmtId="168" fontId="10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9" fontId="133" fillId="14" borderId="11" xfId="1" applyNumberFormat="1" applyFont="1" applyFill="1" applyBorder="1" applyAlignment="1">
      <alignment horizontal="center" vertical="center"/>
    </xf>
    <xf numFmtId="169" fontId="164" fillId="14" borderId="84" xfId="1" applyNumberFormat="1" applyFont="1" applyFill="1" applyBorder="1" applyAlignment="1">
      <alignment horizontal="center" vertical="center"/>
    </xf>
    <xf numFmtId="169" fontId="133" fillId="72" borderId="11" xfId="1" applyNumberFormat="1" applyFont="1" applyFill="1" applyBorder="1" applyAlignment="1">
      <alignment horizontal="center" vertical="center"/>
    </xf>
    <xf numFmtId="169" fontId="164" fillId="72" borderId="84" xfId="1" applyNumberFormat="1" applyFont="1" applyFill="1" applyBorder="1" applyAlignment="1">
      <alignment horizontal="center" vertical="center"/>
    </xf>
    <xf numFmtId="3" fontId="166" fillId="0" borderId="11" xfId="0" applyNumberFormat="1" applyFont="1" applyBorder="1" applyAlignment="1">
      <alignment horizontal="right"/>
    </xf>
    <xf numFmtId="0" fontId="166" fillId="0" borderId="0" xfId="0" applyFont="1" applyFill="1"/>
    <xf numFmtId="3" fontId="167" fillId="3" borderId="5" xfId="67" applyNumberFormat="1" applyFont="1" applyFill="1" applyBorder="1" applyAlignment="1">
      <alignment horizontal="right"/>
    </xf>
    <xf numFmtId="0" fontId="55" fillId="3" borderId="0" xfId="0" applyFont="1" applyFill="1" applyBorder="1" applyAlignment="1">
      <alignment horizontal="center" vertical="center"/>
    </xf>
    <xf numFmtId="0" fontId="168" fillId="17" borderId="0" xfId="89" applyFill="1" applyBorder="1"/>
    <xf numFmtId="0" fontId="169" fillId="17" borderId="0" xfId="89" applyFont="1" applyFill="1" applyBorder="1"/>
    <xf numFmtId="0" fontId="170" fillId="17" borderId="0" xfId="89" applyFont="1" applyFill="1" applyBorder="1" applyAlignment="1">
      <alignment horizontal="center"/>
    </xf>
    <xf numFmtId="0" fontId="2" fillId="17" borderId="0" xfId="89" applyFont="1" applyFill="1" applyBorder="1"/>
    <xf numFmtId="172" fontId="2" fillId="17" borderId="0" xfId="89" applyNumberFormat="1" applyFont="1" applyFill="1" applyBorder="1" applyAlignment="1">
      <alignment horizontal="center"/>
    </xf>
    <xf numFmtId="0" fontId="2" fillId="17" borderId="0" xfId="89" applyFont="1" applyFill="1" applyBorder="1" applyAlignment="1">
      <alignment horizontal="center"/>
    </xf>
    <xf numFmtId="172" fontId="27" fillId="17" borderId="0" xfId="89" applyNumberFormat="1" applyFont="1" applyFill="1" applyBorder="1" applyAlignment="1">
      <alignment horizontal="center"/>
    </xf>
    <xf numFmtId="0" fontId="168" fillId="0" borderId="0" xfId="89"/>
    <xf numFmtId="0" fontId="171" fillId="15" borderId="34" xfId="89" applyFont="1" applyFill="1" applyBorder="1" applyAlignment="1">
      <alignment horizontal="left" vertical="center"/>
    </xf>
    <xf numFmtId="0" fontId="172" fillId="15" borderId="34" xfId="89" applyFont="1" applyFill="1" applyBorder="1"/>
    <xf numFmtId="0" fontId="173" fillId="15" borderId="34" xfId="89" applyFont="1" applyFill="1" applyBorder="1" applyAlignment="1">
      <alignment horizontal="left" vertical="center"/>
    </xf>
    <xf numFmtId="0" fontId="174" fillId="15" borderId="34" xfId="89" applyFont="1" applyFill="1" applyBorder="1" applyAlignment="1">
      <alignment horizontal="left" vertical="center"/>
    </xf>
    <xf numFmtId="0" fontId="173" fillId="15" borderId="34" xfId="89" applyFont="1" applyFill="1" applyBorder="1" applyAlignment="1">
      <alignment horizontal="center" vertical="center"/>
    </xf>
    <xf numFmtId="0" fontId="173" fillId="12" borderId="0" xfId="89" applyFont="1" applyFill="1" applyBorder="1" applyAlignment="1">
      <alignment horizontal="center" vertical="center"/>
    </xf>
    <xf numFmtId="0" fontId="172" fillId="16" borderId="0" xfId="89" applyFont="1" applyFill="1"/>
    <xf numFmtId="0" fontId="9" fillId="17" borderId="0" xfId="89" applyFont="1" applyFill="1" applyBorder="1" applyAlignment="1">
      <alignment horizontal="left"/>
    </xf>
    <xf numFmtId="0" fontId="29" fillId="16" borderId="25" xfId="89" applyFont="1" applyFill="1" applyBorder="1" applyAlignment="1">
      <alignment horizontal="left" vertical="center"/>
    </xf>
    <xf numFmtId="0" fontId="176" fillId="16" borderId="25" xfId="89" applyFont="1" applyFill="1" applyBorder="1" applyAlignment="1">
      <alignment horizontal="left" vertical="center"/>
    </xf>
    <xf numFmtId="0" fontId="177" fillId="16" borderId="27" xfId="89" applyFont="1" applyFill="1" applyBorder="1" applyAlignment="1">
      <alignment horizontal="left" vertical="center"/>
    </xf>
    <xf numFmtId="0" fontId="178" fillId="16" borderId="27" xfId="89" applyFont="1" applyFill="1" applyBorder="1" applyAlignment="1">
      <alignment horizontal="left" vertical="center"/>
    </xf>
    <xf numFmtId="0" fontId="26" fillId="16" borderId="27" xfId="89" applyFont="1" applyFill="1" applyBorder="1" applyAlignment="1">
      <alignment horizontal="left" vertical="center"/>
    </xf>
    <xf numFmtId="3" fontId="29" fillId="4" borderId="27" xfId="89" applyNumberFormat="1" applyFont="1" applyFill="1" applyBorder="1" applyAlignment="1">
      <alignment horizontal="center"/>
    </xf>
    <xf numFmtId="0" fontId="179" fillId="16" borderId="25" xfId="89" applyFont="1" applyFill="1" applyBorder="1" applyAlignment="1"/>
    <xf numFmtId="0" fontId="179" fillId="16" borderId="25" xfId="89" applyFont="1" applyFill="1" applyBorder="1" applyAlignment="1">
      <alignment horizontal="center"/>
    </xf>
    <xf numFmtId="0" fontId="179" fillId="16" borderId="27" xfId="89" applyFont="1" applyFill="1" applyBorder="1" applyAlignment="1">
      <alignment horizontal="center"/>
    </xf>
    <xf numFmtId="0" fontId="29" fillId="4" borderId="0" xfId="89" applyFont="1" applyFill="1" applyBorder="1" applyAlignment="1">
      <alignment horizontal="left" vertical="center"/>
    </xf>
    <xf numFmtId="0" fontId="180" fillId="88" borderId="0" xfId="89" applyFont="1" applyFill="1" applyBorder="1"/>
    <xf numFmtId="0" fontId="29" fillId="4" borderId="36" xfId="89" applyFont="1" applyFill="1" applyBorder="1"/>
    <xf numFmtId="0" fontId="38" fillId="4" borderId="27" xfId="89" applyFont="1" applyFill="1" applyBorder="1"/>
    <xf numFmtId="0" fontId="29" fillId="4" borderId="27" xfId="89" applyFont="1" applyFill="1" applyBorder="1" applyAlignment="1">
      <alignment horizontal="center"/>
    </xf>
    <xf numFmtId="0" fontId="29" fillId="4" borderId="27" xfId="89" applyFont="1" applyFill="1" applyBorder="1"/>
    <xf numFmtId="0" fontId="29" fillId="4" borderId="59" xfId="89" applyFont="1" applyFill="1" applyBorder="1" applyAlignment="1">
      <alignment horizontal="center"/>
    </xf>
    <xf numFmtId="0" fontId="29" fillId="22" borderId="27" xfId="89" applyFont="1" applyFill="1" applyBorder="1" applyAlignment="1">
      <alignment horizontal="center"/>
    </xf>
    <xf numFmtId="172" fontId="2" fillId="22" borderId="27" xfId="89" applyNumberFormat="1" applyFont="1" applyFill="1" applyBorder="1" applyAlignment="1">
      <alignment horizontal="center"/>
    </xf>
    <xf numFmtId="0" fontId="29" fillId="22" borderId="59" xfId="89" applyFont="1" applyFill="1" applyBorder="1" applyAlignment="1">
      <alignment horizontal="center"/>
    </xf>
    <xf numFmtId="0" fontId="31" fillId="22" borderId="23" xfId="89" applyFont="1" applyFill="1" applyBorder="1" applyAlignment="1">
      <alignment horizontal="center"/>
    </xf>
    <xf numFmtId="0" fontId="31" fillId="22" borderId="0" xfId="89" applyFont="1" applyFill="1" applyBorder="1" applyAlignment="1">
      <alignment horizontal="center"/>
    </xf>
    <xf numFmtId="0" fontId="31" fillId="22" borderId="63" xfId="89" applyFont="1" applyFill="1" applyBorder="1" applyAlignment="1">
      <alignment horizontal="center"/>
    </xf>
    <xf numFmtId="1" fontId="9" fillId="4" borderId="36" xfId="89" applyNumberFormat="1" applyFont="1" applyFill="1" applyBorder="1" applyAlignment="1">
      <alignment horizontal="center"/>
    </xf>
    <xf numFmtId="1" fontId="9" fillId="4" borderId="27" xfId="89" applyNumberFormat="1" applyFont="1" applyFill="1" applyBorder="1" applyAlignment="1">
      <alignment horizontal="center"/>
    </xf>
    <xf numFmtId="1" fontId="31" fillId="89" borderId="27" xfId="89" applyNumberFormat="1" applyFont="1" applyFill="1" applyBorder="1" applyAlignment="1">
      <alignment horizontal="center"/>
    </xf>
    <xf numFmtId="1" fontId="31" fillId="90" borderId="36" xfId="89" applyNumberFormat="1" applyFont="1" applyFill="1" applyBorder="1" applyAlignment="1">
      <alignment horizontal="center"/>
    </xf>
    <xf numFmtId="1" fontId="31" fillId="90" borderId="27" xfId="89" applyNumberFormat="1" applyFont="1" applyFill="1" applyBorder="1" applyAlignment="1">
      <alignment horizontal="center"/>
    </xf>
    <xf numFmtId="1" fontId="31" fillId="18" borderId="36" xfId="89" applyNumberFormat="1" applyFont="1" applyFill="1" applyBorder="1" applyAlignment="1">
      <alignment horizontal="center"/>
    </xf>
    <xf numFmtId="1" fontId="31" fillId="18" borderId="27" xfId="89" applyNumberFormat="1" applyFont="1" applyFill="1" applyBorder="1" applyAlignment="1">
      <alignment horizontal="center"/>
    </xf>
    <xf numFmtId="1" fontId="31" fillId="72" borderId="36" xfId="89" applyNumberFormat="1" applyFont="1" applyFill="1" applyBorder="1" applyAlignment="1">
      <alignment horizontal="center"/>
    </xf>
    <xf numFmtId="1" fontId="31" fillId="72" borderId="27" xfId="89" applyNumberFormat="1" applyFont="1" applyFill="1" applyBorder="1" applyAlignment="1">
      <alignment horizontal="center"/>
    </xf>
    <xf numFmtId="1" fontId="31" fillId="72" borderId="59" xfId="89" applyNumberFormat="1" applyFont="1" applyFill="1" applyBorder="1" applyAlignment="1">
      <alignment horizontal="center"/>
    </xf>
    <xf numFmtId="1" fontId="31" fillId="16" borderId="27" xfId="89" applyNumberFormat="1" applyFont="1" applyFill="1" applyBorder="1" applyAlignment="1">
      <alignment horizontal="center"/>
    </xf>
    <xf numFmtId="1" fontId="31" fillId="16" borderId="59" xfId="89" applyNumberFormat="1" applyFont="1" applyFill="1" applyBorder="1" applyAlignment="1">
      <alignment horizontal="center"/>
    </xf>
    <xf numFmtId="0" fontId="34" fillId="0" borderId="270" xfId="89" applyFont="1" applyFill="1" applyBorder="1" applyAlignment="1">
      <alignment horizontal="center"/>
    </xf>
    <xf numFmtId="0" fontId="34" fillId="0" borderId="27" xfId="89" applyFont="1" applyFill="1" applyBorder="1" applyAlignment="1">
      <alignment horizontal="center"/>
    </xf>
    <xf numFmtId="172" fontId="29" fillId="0" borderId="0" xfId="89" applyNumberFormat="1" applyFont="1" applyFill="1" applyBorder="1" applyAlignment="1">
      <alignment horizontal="center"/>
    </xf>
    <xf numFmtId="172" fontId="32" fillId="9" borderId="29" xfId="8" applyNumberFormat="1" applyFont="1" applyFill="1" applyBorder="1" applyAlignment="1" applyProtection="1">
      <alignment horizontal="center" vertical="distributed" shrinkToFit="1"/>
    </xf>
    <xf numFmtId="0" fontId="29" fillId="4" borderId="34" xfId="89" applyFont="1" applyFill="1" applyBorder="1" applyAlignment="1">
      <alignment horizontal="left" vertical="center"/>
    </xf>
    <xf numFmtId="0" fontId="181" fillId="88" borderId="34" xfId="89" applyFont="1" applyFill="1" applyBorder="1" applyAlignment="1">
      <alignment horizontal="left" vertical="center"/>
    </xf>
    <xf numFmtId="2" fontId="29" fillId="4" borderId="38" xfId="89" applyNumberFormat="1" applyFont="1" applyFill="1" applyBorder="1" applyAlignment="1">
      <alignment horizontal="center"/>
    </xf>
    <xf numFmtId="2" fontId="29" fillId="4" borderId="34" xfId="89" applyNumberFormat="1" applyFont="1" applyFill="1" applyBorder="1" applyAlignment="1">
      <alignment horizontal="center"/>
    </xf>
    <xf numFmtId="3" fontId="29" fillId="4" borderId="34" xfId="89" applyNumberFormat="1" applyFont="1" applyFill="1" applyBorder="1" applyAlignment="1">
      <alignment horizontal="center"/>
    </xf>
    <xf numFmtId="3" fontId="29" fillId="4" borderId="39" xfId="89" applyNumberFormat="1" applyFont="1" applyFill="1" applyBorder="1" applyAlignment="1">
      <alignment horizontal="center"/>
    </xf>
    <xf numFmtId="3" fontId="29" fillId="22" borderId="38" xfId="89" applyNumberFormat="1" applyFont="1" applyFill="1" applyBorder="1" applyAlignment="1">
      <alignment horizontal="center"/>
    </xf>
    <xf numFmtId="3" fontId="29" fillId="22" borderId="34" xfId="89" applyNumberFormat="1" applyFont="1" applyFill="1" applyBorder="1" applyAlignment="1">
      <alignment horizontal="center"/>
    </xf>
    <xf numFmtId="3" fontId="29" fillId="22" borderId="39" xfId="89" applyNumberFormat="1" applyFont="1" applyFill="1" applyBorder="1" applyAlignment="1">
      <alignment horizontal="center"/>
    </xf>
    <xf numFmtId="3" fontId="29" fillId="4" borderId="38" xfId="89" applyNumberFormat="1" applyFont="1" applyFill="1" applyBorder="1" applyAlignment="1">
      <alignment horizontal="center"/>
    </xf>
    <xf numFmtId="3" fontId="31" fillId="22" borderId="34" xfId="89" applyNumberFormat="1" applyFont="1" applyFill="1" applyBorder="1" applyAlignment="1">
      <alignment horizontal="center"/>
    </xf>
    <xf numFmtId="3" fontId="29" fillId="89" borderId="34" xfId="89" applyNumberFormat="1" applyFont="1" applyFill="1" applyBorder="1" applyAlignment="1">
      <alignment horizontal="center"/>
    </xf>
    <xf numFmtId="3" fontId="29" fillId="90" borderId="38" xfId="89" applyNumberFormat="1" applyFont="1" applyFill="1" applyBorder="1" applyAlignment="1">
      <alignment horizontal="center"/>
    </xf>
    <xf numFmtId="3" fontId="29" fillId="90" borderId="34" xfId="89" applyNumberFormat="1" applyFont="1" applyFill="1" applyBorder="1" applyAlignment="1">
      <alignment horizontal="center"/>
    </xf>
    <xf numFmtId="172" fontId="29" fillId="18" borderId="38" xfId="89" applyNumberFormat="1" applyFont="1" applyFill="1" applyBorder="1" applyAlignment="1">
      <alignment horizontal="center"/>
    </xf>
    <xf numFmtId="172" fontId="29" fillId="18" borderId="34" xfId="89" applyNumberFormat="1" applyFont="1" applyFill="1" applyBorder="1" applyAlignment="1">
      <alignment horizontal="center"/>
    </xf>
    <xf numFmtId="172" fontId="29" fillId="0" borderId="38" xfId="89" applyNumberFormat="1" applyFont="1" applyFill="1" applyBorder="1" applyAlignment="1">
      <alignment horizontal="center"/>
    </xf>
    <xf numFmtId="172" fontId="29" fillId="0" borderId="34" xfId="89" applyNumberFormat="1" applyFont="1" applyFill="1" applyBorder="1" applyAlignment="1">
      <alignment horizontal="center"/>
    </xf>
    <xf numFmtId="172" fontId="29" fillId="0" borderId="39" xfId="89" applyNumberFormat="1" applyFont="1" applyFill="1" applyBorder="1" applyAlignment="1">
      <alignment horizontal="center"/>
    </xf>
    <xf numFmtId="172" fontId="29" fillId="16" borderId="34" xfId="89" applyNumberFormat="1" applyFont="1" applyFill="1" applyBorder="1" applyAlignment="1">
      <alignment horizontal="center"/>
    </xf>
    <xf numFmtId="172" fontId="29" fillId="16" borderId="39" xfId="89" applyNumberFormat="1" applyFont="1" applyFill="1" applyBorder="1" applyAlignment="1">
      <alignment horizontal="center"/>
    </xf>
    <xf numFmtId="172" fontId="182" fillId="0" borderId="271" xfId="89" applyNumberFormat="1" applyFont="1" applyFill="1" applyBorder="1" applyAlignment="1">
      <alignment horizontal="center"/>
    </xf>
    <xf numFmtId="17" fontId="182" fillId="0" borderId="34" xfId="89" applyNumberFormat="1" applyFont="1" applyFill="1" applyBorder="1" applyAlignment="1">
      <alignment horizontal="center"/>
    </xf>
    <xf numFmtId="0" fontId="181" fillId="88" borderId="0" xfId="89" applyFont="1" applyFill="1" applyBorder="1" applyAlignment="1">
      <alignment horizontal="left" vertical="center"/>
    </xf>
    <xf numFmtId="2" fontId="29" fillId="4" borderId="0" xfId="89" applyNumberFormat="1" applyFont="1" applyFill="1" applyBorder="1" applyAlignment="1">
      <alignment horizontal="center"/>
    </xf>
    <xf numFmtId="3" fontId="29" fillId="4" borderId="0" xfId="89" applyNumberFormat="1" applyFont="1" applyFill="1" applyBorder="1" applyAlignment="1">
      <alignment horizontal="center"/>
    </xf>
    <xf numFmtId="3" fontId="29" fillId="22" borderId="23" xfId="89" applyNumberFormat="1" applyFont="1" applyFill="1" applyBorder="1" applyAlignment="1">
      <alignment horizontal="center"/>
    </xf>
    <xf numFmtId="3" fontId="29" fillId="22" borderId="0" xfId="89" applyNumberFormat="1" applyFont="1" applyFill="1" applyBorder="1" applyAlignment="1">
      <alignment horizontal="center"/>
    </xf>
    <xf numFmtId="3" fontId="29" fillId="22" borderId="63" xfId="89" applyNumberFormat="1" applyFont="1" applyFill="1" applyBorder="1" applyAlignment="1">
      <alignment horizontal="center"/>
    </xf>
    <xf numFmtId="3" fontId="29" fillId="4" borderId="23" xfId="89" applyNumberFormat="1" applyFont="1" applyFill="1" applyBorder="1" applyAlignment="1">
      <alignment horizontal="center"/>
    </xf>
    <xf numFmtId="3" fontId="29" fillId="4" borderId="63" xfId="89" applyNumberFormat="1" applyFont="1" applyFill="1" applyBorder="1" applyAlignment="1">
      <alignment horizontal="center"/>
    </xf>
    <xf numFmtId="3" fontId="31" fillId="22" borderId="0" xfId="89" applyNumberFormat="1" applyFont="1" applyFill="1" applyBorder="1" applyAlignment="1">
      <alignment horizontal="center"/>
    </xf>
    <xf numFmtId="3" fontId="29" fillId="89" borderId="0" xfId="89" applyNumberFormat="1" applyFont="1" applyFill="1" applyBorder="1" applyAlignment="1">
      <alignment horizontal="center"/>
    </xf>
    <xf numFmtId="3" fontId="29" fillId="90" borderId="23" xfId="89" applyNumberFormat="1" applyFont="1" applyFill="1" applyBorder="1" applyAlignment="1">
      <alignment horizontal="center"/>
    </xf>
    <xf numFmtId="3" fontId="29" fillId="90" borderId="0" xfId="89" applyNumberFormat="1" applyFont="1" applyFill="1" applyBorder="1" applyAlignment="1">
      <alignment horizontal="center"/>
    </xf>
    <xf numFmtId="172" fontId="29" fillId="18" borderId="23" xfId="89" applyNumberFormat="1" applyFont="1" applyFill="1" applyBorder="1" applyAlignment="1">
      <alignment horizontal="center"/>
    </xf>
    <xf numFmtId="172" fontId="29" fillId="18" borderId="0" xfId="89" applyNumberFormat="1" applyFont="1" applyFill="1" applyBorder="1" applyAlignment="1">
      <alignment horizontal="center"/>
    </xf>
    <xf numFmtId="172" fontId="29" fillId="0" borderId="23" xfId="89" applyNumberFormat="1" applyFont="1" applyFill="1" applyBorder="1" applyAlignment="1">
      <alignment horizontal="center"/>
    </xf>
    <xf numFmtId="172" fontId="29" fillId="0" borderId="63" xfId="89" applyNumberFormat="1" applyFont="1" applyFill="1" applyBorder="1" applyAlignment="1">
      <alignment horizontal="center"/>
    </xf>
    <xf numFmtId="172" fontId="29" fillId="16" borderId="0" xfId="89" applyNumberFormat="1" applyFont="1" applyFill="1" applyBorder="1" applyAlignment="1">
      <alignment horizontal="center"/>
    </xf>
    <xf numFmtId="172" fontId="29" fillId="16" borderId="63" xfId="89" applyNumberFormat="1" applyFont="1" applyFill="1" applyBorder="1" applyAlignment="1">
      <alignment horizontal="center"/>
    </xf>
    <xf numFmtId="172" fontId="182" fillId="0" borderId="273" xfId="89" applyNumberFormat="1" applyFont="1" applyFill="1" applyBorder="1" applyAlignment="1">
      <alignment horizontal="center"/>
    </xf>
    <xf numFmtId="17" fontId="182" fillId="0" borderId="0" xfId="89" applyNumberFormat="1" applyFont="1" applyFill="1" applyBorder="1" applyAlignment="1">
      <alignment horizontal="center"/>
    </xf>
    <xf numFmtId="17" fontId="182" fillId="0" borderId="274" xfId="89" applyNumberFormat="1" applyFont="1" applyFill="1" applyBorder="1" applyAlignment="1">
      <alignment horizontal="center"/>
    </xf>
    <xf numFmtId="0" fontId="29" fillId="4" borderId="0" xfId="89" applyFont="1" applyFill="1" applyBorder="1" applyAlignment="1">
      <alignment horizontal="center" vertical="center"/>
    </xf>
    <xf numFmtId="172" fontId="175" fillId="88" borderId="0" xfId="89" applyNumberFormat="1" applyFont="1" applyFill="1" applyBorder="1" applyAlignment="1">
      <alignment horizontal="center"/>
    </xf>
    <xf numFmtId="172" fontId="29" fillId="4" borderId="23" xfId="89" applyNumberFormat="1" applyFont="1" applyFill="1" applyBorder="1" applyAlignment="1">
      <alignment horizontal="center"/>
    </xf>
    <xf numFmtId="172" fontId="29" fillId="4" borderId="0" xfId="89" applyNumberFormat="1" applyFont="1" applyFill="1" applyBorder="1" applyAlignment="1">
      <alignment horizontal="center"/>
    </xf>
    <xf numFmtId="172" fontId="29" fillId="4" borderId="63" xfId="89" applyNumberFormat="1" applyFont="1" applyFill="1" applyBorder="1" applyAlignment="1">
      <alignment horizontal="center"/>
    </xf>
    <xf numFmtId="172" fontId="29" fillId="22" borderId="23" xfId="89" applyNumberFormat="1" applyFont="1" applyFill="1" applyBorder="1" applyAlignment="1">
      <alignment horizontal="center"/>
    </xf>
    <xf numFmtId="172" fontId="29" fillId="22" borderId="0" xfId="89" applyNumberFormat="1" applyFont="1" applyFill="1" applyBorder="1" applyAlignment="1">
      <alignment horizontal="center"/>
    </xf>
    <xf numFmtId="172" fontId="29" fillId="22" borderId="63" xfId="89" applyNumberFormat="1" applyFont="1" applyFill="1" applyBorder="1" applyAlignment="1">
      <alignment horizontal="center"/>
    </xf>
    <xf numFmtId="172" fontId="31" fillId="22" borderId="0" xfId="89" applyNumberFormat="1" applyFont="1" applyFill="1" applyBorder="1" applyAlignment="1">
      <alignment horizontal="center"/>
    </xf>
    <xf numFmtId="172" fontId="29" fillId="89" borderId="0" xfId="89" applyNumberFormat="1" applyFont="1" applyFill="1" applyBorder="1" applyAlignment="1">
      <alignment horizontal="center"/>
    </xf>
    <xf numFmtId="172" fontId="29" fillId="90" borderId="23" xfId="89" applyNumberFormat="1" applyFont="1" applyFill="1" applyBorder="1" applyAlignment="1">
      <alignment horizontal="center"/>
    </xf>
    <xf numFmtId="172" fontId="29" fillId="90" borderId="0" xfId="89" applyNumberFormat="1" applyFont="1" applyFill="1" applyBorder="1" applyAlignment="1">
      <alignment horizontal="center"/>
    </xf>
    <xf numFmtId="172" fontId="29" fillId="72" borderId="23" xfId="89" applyNumberFormat="1" applyFont="1" applyFill="1" applyBorder="1" applyAlignment="1">
      <alignment horizontal="center"/>
    </xf>
    <xf numFmtId="172" fontId="29" fillId="72" borderId="0" xfId="89" applyNumberFormat="1" applyFont="1" applyFill="1" applyBorder="1" applyAlignment="1">
      <alignment horizontal="center"/>
    </xf>
    <xf numFmtId="172" fontId="29" fillId="72" borderId="63" xfId="89" applyNumberFormat="1" applyFont="1" applyFill="1" applyBorder="1" applyAlignment="1">
      <alignment horizontal="center"/>
    </xf>
    <xf numFmtId="172" fontId="34" fillId="0" borderId="273" xfId="89" applyNumberFormat="1" applyFont="1" applyFill="1" applyBorder="1" applyAlignment="1">
      <alignment horizontal="center"/>
    </xf>
    <xf numFmtId="172" fontId="34" fillId="0" borderId="0" xfId="89" applyNumberFormat="1" applyFont="1" applyFill="1" applyBorder="1" applyAlignment="1">
      <alignment horizontal="center"/>
    </xf>
    <xf numFmtId="172" fontId="34" fillId="0" borderId="274" xfId="89" applyNumberFormat="1" applyFont="1" applyFill="1" applyBorder="1" applyAlignment="1">
      <alignment horizontal="center"/>
    </xf>
    <xf numFmtId="0" fontId="34" fillId="4" borderId="0" xfId="89" applyFont="1" applyFill="1" applyBorder="1" applyAlignment="1">
      <alignment horizontal="left"/>
    </xf>
    <xf numFmtId="0" fontId="175" fillId="88" borderId="0" xfId="89" applyFont="1" applyFill="1" applyBorder="1" applyAlignment="1">
      <alignment horizontal="center"/>
    </xf>
    <xf numFmtId="0" fontId="175" fillId="88" borderId="0" xfId="89" applyFont="1" applyFill="1" applyBorder="1" applyAlignment="1">
      <alignment horizontal="left" vertical="center"/>
    </xf>
    <xf numFmtId="172" fontId="180" fillId="88" borderId="0" xfId="89" applyNumberFormat="1" applyFont="1" applyFill="1" applyBorder="1" applyAlignment="1">
      <alignment horizontal="right"/>
    </xf>
    <xf numFmtId="0" fontId="34" fillId="4" borderId="34" xfId="89" applyFont="1" applyFill="1" applyBorder="1" applyAlignment="1">
      <alignment horizontal="left"/>
    </xf>
    <xf numFmtId="0" fontId="175" fillId="88" borderId="34" xfId="89" applyFont="1" applyFill="1" applyBorder="1" applyAlignment="1">
      <alignment horizontal="center"/>
    </xf>
    <xf numFmtId="172" fontId="29" fillId="4" borderId="38" xfId="89" applyNumberFormat="1" applyFont="1" applyFill="1" applyBorder="1" applyAlignment="1">
      <alignment horizontal="center"/>
    </xf>
    <xf numFmtId="172" fontId="29" fillId="4" borderId="34" xfId="89" applyNumberFormat="1" applyFont="1" applyFill="1" applyBorder="1" applyAlignment="1">
      <alignment horizontal="center"/>
    </xf>
    <xf numFmtId="172" fontId="29" fillId="4" borderId="39" xfId="89" applyNumberFormat="1" applyFont="1" applyFill="1" applyBorder="1" applyAlignment="1">
      <alignment horizontal="center"/>
    </xf>
    <xf numFmtId="172" fontId="29" fillId="22" borderId="38" xfId="89" applyNumberFormat="1" applyFont="1" applyFill="1" applyBorder="1" applyAlignment="1">
      <alignment horizontal="center"/>
    </xf>
    <xf numFmtId="172" fontId="29" fillId="22" borderId="34" xfId="89" applyNumberFormat="1" applyFont="1" applyFill="1" applyBorder="1" applyAlignment="1">
      <alignment horizontal="center"/>
    </xf>
    <xf numFmtId="172" fontId="29" fillId="22" borderId="39" xfId="89" applyNumberFormat="1" applyFont="1" applyFill="1" applyBorder="1" applyAlignment="1">
      <alignment horizontal="center"/>
    </xf>
    <xf numFmtId="172" fontId="31" fillId="22" borderId="34" xfId="89" applyNumberFormat="1" applyFont="1" applyFill="1" applyBorder="1" applyAlignment="1">
      <alignment horizontal="center"/>
    </xf>
    <xf numFmtId="172" fontId="29" fillId="89" borderId="34" xfId="89" applyNumberFormat="1" applyFont="1" applyFill="1" applyBorder="1" applyAlignment="1">
      <alignment horizontal="center"/>
    </xf>
    <xf numFmtId="172" fontId="29" fillId="90" borderId="38" xfId="89" applyNumberFormat="1" applyFont="1" applyFill="1" applyBorder="1" applyAlignment="1">
      <alignment horizontal="center"/>
    </xf>
    <xf numFmtId="172" fontId="29" fillId="90" borderId="34" xfId="89" applyNumberFormat="1" applyFont="1" applyFill="1" applyBorder="1" applyAlignment="1">
      <alignment horizontal="center"/>
    </xf>
    <xf numFmtId="172" fontId="29" fillId="72" borderId="38" xfId="89" applyNumberFormat="1" applyFont="1" applyFill="1" applyBorder="1" applyAlignment="1">
      <alignment horizontal="center"/>
    </xf>
    <xf numFmtId="172" fontId="29" fillId="72" borderId="34" xfId="89" applyNumberFormat="1" applyFont="1" applyFill="1" applyBorder="1" applyAlignment="1">
      <alignment horizontal="center"/>
    </xf>
    <xf numFmtId="172" fontId="29" fillId="72" borderId="39" xfId="89" applyNumberFormat="1" applyFont="1" applyFill="1" applyBorder="1" applyAlignment="1">
      <alignment horizontal="center"/>
    </xf>
    <xf numFmtId="172" fontId="34" fillId="0" borderId="271" xfId="89" applyNumberFormat="1" applyFont="1" applyFill="1" applyBorder="1" applyAlignment="1">
      <alignment horizontal="center"/>
    </xf>
    <xf numFmtId="172" fontId="34" fillId="0" borderId="34" xfId="89" applyNumberFormat="1" applyFont="1" applyFill="1" applyBorder="1" applyAlignment="1">
      <alignment horizontal="center"/>
    </xf>
    <xf numFmtId="172" fontId="34" fillId="0" borderId="272" xfId="89" applyNumberFormat="1" applyFont="1" applyFill="1" applyBorder="1" applyAlignment="1">
      <alignment horizontal="center"/>
    </xf>
    <xf numFmtId="0" fontId="183" fillId="17" borderId="0" xfId="89" applyFont="1" applyFill="1" applyBorder="1" applyAlignment="1">
      <alignment horizontal="left"/>
    </xf>
    <xf numFmtId="172" fontId="184" fillId="17" borderId="0" xfId="89" applyNumberFormat="1" applyFont="1" applyFill="1" applyBorder="1" applyAlignment="1">
      <alignment horizontal="center"/>
    </xf>
    <xf numFmtId="0" fontId="177" fillId="16" borderId="25" xfId="89" applyFont="1" applyFill="1" applyBorder="1" applyAlignment="1">
      <alignment horizontal="left" vertical="center"/>
    </xf>
    <xf numFmtId="0" fontId="185" fillId="16" borderId="25" xfId="89" applyFont="1" applyFill="1" applyBorder="1" applyAlignment="1">
      <alignment horizontal="left" vertical="center"/>
    </xf>
    <xf numFmtId="0" fontId="178" fillId="16" borderId="25" xfId="89" applyFont="1" applyFill="1" applyBorder="1" applyAlignment="1">
      <alignment horizontal="left" vertical="center"/>
    </xf>
    <xf numFmtId="0" fontId="26" fillId="16" borderId="25" xfId="89" applyFont="1" applyFill="1" applyBorder="1" applyAlignment="1">
      <alignment horizontal="left" vertical="center"/>
    </xf>
    <xf numFmtId="3" fontId="29" fillId="4" borderId="25" xfId="89" applyNumberFormat="1" applyFont="1" applyFill="1" applyBorder="1" applyAlignment="1">
      <alignment horizontal="center"/>
    </xf>
    <xf numFmtId="0" fontId="29" fillId="9" borderId="0" xfId="89" applyFont="1" applyFill="1" applyBorder="1" applyAlignment="1">
      <alignment horizontal="left"/>
    </xf>
    <xf numFmtId="0" fontId="180" fillId="88" borderId="0" xfId="89" applyFont="1" applyFill="1" applyBorder="1" applyAlignment="1">
      <alignment horizontal="center"/>
    </xf>
    <xf numFmtId="0" fontId="29" fillId="4" borderId="23" xfId="89" applyFont="1" applyFill="1" applyBorder="1" applyAlignment="1">
      <alignment horizontal="center"/>
    </xf>
    <xf numFmtId="0" fontId="29" fillId="4" borderId="0" xfId="89" applyFont="1" applyFill="1" applyBorder="1" applyAlignment="1">
      <alignment horizontal="center"/>
    </xf>
    <xf numFmtId="0" fontId="29" fillId="22" borderId="23" xfId="89" applyFont="1" applyFill="1" applyBorder="1" applyAlignment="1">
      <alignment horizontal="center"/>
    </xf>
    <xf numFmtId="0" fontId="29" fillId="22" borderId="0" xfId="89" applyFont="1" applyFill="1" applyBorder="1" applyAlignment="1">
      <alignment horizontal="center"/>
    </xf>
    <xf numFmtId="0" fontId="168" fillId="22" borderId="0" xfId="89" applyFill="1" applyBorder="1"/>
    <xf numFmtId="0" fontId="2" fillId="4" borderId="23" xfId="89" applyFont="1" applyFill="1" applyBorder="1"/>
    <xf numFmtId="0" fontId="29" fillId="4" borderId="63" xfId="89" applyFont="1" applyFill="1" applyBorder="1" applyAlignment="1">
      <alignment horizontal="center"/>
    </xf>
    <xf numFmtId="1" fontId="9" fillId="4" borderId="23" xfId="89" applyNumberFormat="1" applyFont="1" applyFill="1" applyBorder="1" applyAlignment="1">
      <alignment horizontal="center"/>
    </xf>
    <xf numFmtId="1" fontId="9" fillId="4" borderId="0" xfId="89" applyNumberFormat="1" applyFont="1" applyFill="1" applyBorder="1" applyAlignment="1">
      <alignment horizontal="center"/>
    </xf>
    <xf numFmtId="1" fontId="31" fillId="89" borderId="0" xfId="89" applyNumberFormat="1" applyFont="1" applyFill="1" applyBorder="1" applyAlignment="1">
      <alignment horizontal="center"/>
    </xf>
    <xf numFmtId="1" fontId="31" fillId="90" borderId="23" xfId="89" applyNumberFormat="1" applyFont="1" applyFill="1" applyBorder="1" applyAlignment="1">
      <alignment horizontal="center"/>
    </xf>
    <xf numFmtId="1" fontId="31" fillId="90" borderId="0" xfId="89" applyNumberFormat="1" applyFont="1" applyFill="1" applyBorder="1" applyAlignment="1">
      <alignment horizontal="center"/>
    </xf>
    <xf numFmtId="1" fontId="31" fillId="18" borderId="23" xfId="89" applyNumberFormat="1" applyFont="1" applyFill="1" applyBorder="1" applyAlignment="1">
      <alignment horizontal="center"/>
    </xf>
    <xf numFmtId="1" fontId="31" fillId="18" borderId="0" xfId="89" applyNumberFormat="1" applyFont="1" applyFill="1" applyBorder="1" applyAlignment="1">
      <alignment horizontal="center"/>
    </xf>
    <xf numFmtId="1" fontId="31" fillId="16" borderId="0" xfId="89" applyNumberFormat="1" applyFont="1" applyFill="1" applyBorder="1" applyAlignment="1">
      <alignment horizontal="center"/>
    </xf>
    <xf numFmtId="1" fontId="31" fillId="72" borderId="0" xfId="89" applyNumberFormat="1" applyFont="1" applyFill="1" applyBorder="1" applyAlignment="1">
      <alignment horizontal="center"/>
    </xf>
    <xf numFmtId="0" fontId="34" fillId="0" borderId="0" xfId="89" applyFont="1" applyFill="1" applyBorder="1" applyAlignment="1">
      <alignment horizontal="center"/>
    </xf>
    <xf numFmtId="0" fontId="168" fillId="17" borderId="34" xfId="89" applyFill="1" applyBorder="1"/>
    <xf numFmtId="0" fontId="29" fillId="9" borderId="34" xfId="89" applyFont="1" applyFill="1" applyBorder="1" applyAlignment="1">
      <alignment horizontal="left"/>
    </xf>
    <xf numFmtId="2" fontId="180" fillId="88" borderId="34" xfId="89" applyNumberFormat="1" applyFont="1" applyFill="1" applyBorder="1" applyAlignment="1">
      <alignment horizontal="center"/>
    </xf>
    <xf numFmtId="17" fontId="34" fillId="0" borderId="34" xfId="89" applyNumberFormat="1" applyFont="1" applyFill="1" applyBorder="1" applyAlignment="1">
      <alignment horizontal="center"/>
    </xf>
    <xf numFmtId="0" fontId="34" fillId="9" borderId="0" xfId="89" applyFont="1" applyFill="1" applyBorder="1" applyAlignment="1">
      <alignment horizontal="left"/>
    </xf>
    <xf numFmtId="2" fontId="180" fillId="88" borderId="0" xfId="89" applyNumberFormat="1" applyFont="1" applyFill="1" applyBorder="1" applyAlignment="1">
      <alignment horizontal="center"/>
    </xf>
    <xf numFmtId="0" fontId="38" fillId="9" borderId="0" xfId="89" applyFont="1" applyFill="1" applyBorder="1" applyAlignment="1">
      <alignment horizontal="left"/>
    </xf>
    <xf numFmtId="0" fontId="181" fillId="88" borderId="0" xfId="89" applyFont="1" applyFill="1" applyBorder="1" applyAlignment="1">
      <alignment horizontal="center"/>
    </xf>
    <xf numFmtId="0" fontId="34" fillId="0" borderId="273" xfId="89" applyFont="1" applyFill="1" applyBorder="1" applyAlignment="1">
      <alignment horizontal="center"/>
    </xf>
    <xf numFmtId="2" fontId="175" fillId="88" borderId="0" xfId="89" applyNumberFormat="1" applyFont="1" applyFill="1" applyBorder="1" applyAlignment="1">
      <alignment horizontal="center"/>
    </xf>
    <xf numFmtId="0" fontId="38" fillId="4" borderId="0" xfId="89" applyFont="1" applyFill="1" applyBorder="1" applyAlignment="1">
      <alignment horizontal="left"/>
    </xf>
    <xf numFmtId="2" fontId="38" fillId="0" borderId="0" xfId="89" applyNumberFormat="1" applyFont="1" applyFill="1" applyBorder="1" applyAlignment="1">
      <alignment horizontal="center"/>
    </xf>
    <xf numFmtId="172" fontId="38" fillId="4" borderId="0" xfId="89" applyNumberFormat="1" applyFont="1" applyFill="1" applyBorder="1" applyAlignment="1">
      <alignment horizontal="center"/>
    </xf>
    <xf numFmtId="0" fontId="29" fillId="9" borderId="27" xfId="89" applyFont="1" applyFill="1" applyBorder="1" applyAlignment="1">
      <alignment horizontal="left" vertical="center"/>
    </xf>
    <xf numFmtId="0" fontId="180" fillId="88" borderId="27" xfId="89" applyFont="1" applyFill="1" applyBorder="1" applyAlignment="1">
      <alignment horizontal="center"/>
    </xf>
    <xf numFmtId="0" fontId="29" fillId="4" borderId="36" xfId="89" applyFont="1" applyFill="1" applyBorder="1" applyAlignment="1">
      <alignment horizontal="center"/>
    </xf>
    <xf numFmtId="172" fontId="29" fillId="4" borderId="27" xfId="89" applyNumberFormat="1" applyFont="1" applyFill="1" applyBorder="1" applyAlignment="1">
      <alignment horizontal="center"/>
    </xf>
    <xf numFmtId="0" fontId="29" fillId="22" borderId="36" xfId="89" applyFont="1" applyFill="1" applyBorder="1" applyAlignment="1">
      <alignment horizontal="center"/>
    </xf>
    <xf numFmtId="0" fontId="168" fillId="22" borderId="27" xfId="89" applyFill="1" applyBorder="1"/>
    <xf numFmtId="172" fontId="29" fillId="22" borderId="27" xfId="89" applyNumberFormat="1" applyFont="1" applyFill="1" applyBorder="1" applyAlignment="1">
      <alignment horizontal="center"/>
    </xf>
    <xf numFmtId="1" fontId="29" fillId="22" borderId="27" xfId="89" applyNumberFormat="1" applyFont="1" applyFill="1" applyBorder="1" applyAlignment="1">
      <alignment horizontal="center"/>
    </xf>
    <xf numFmtId="172" fontId="29" fillId="22" borderId="59" xfId="89" applyNumberFormat="1" applyFont="1" applyFill="1" applyBorder="1" applyAlignment="1">
      <alignment horizontal="center"/>
    </xf>
    <xf numFmtId="0" fontId="2" fillId="4" borderId="36" xfId="89" applyFont="1" applyFill="1" applyBorder="1"/>
    <xf numFmtId="0" fontId="31" fillId="22" borderId="36" xfId="89" applyFont="1" applyFill="1" applyBorder="1" applyAlignment="1">
      <alignment horizontal="center"/>
    </xf>
    <xf numFmtId="0" fontId="31" fillId="22" borderId="27" xfId="89" applyFont="1" applyFill="1" applyBorder="1" applyAlignment="1">
      <alignment horizontal="center"/>
    </xf>
    <xf numFmtId="0" fontId="31" fillId="22" borderId="59" xfId="89" applyFont="1" applyFill="1" applyBorder="1" applyAlignment="1">
      <alignment horizontal="center"/>
    </xf>
    <xf numFmtId="0" fontId="29" fillId="9" borderId="34" xfId="89" applyFont="1" applyFill="1" applyBorder="1" applyAlignment="1">
      <alignment horizontal="left" vertical="center"/>
    </xf>
    <xf numFmtId="2" fontId="175" fillId="88" borderId="34" xfId="89" applyNumberFormat="1" applyFont="1" applyFill="1" applyBorder="1" applyAlignment="1">
      <alignment horizontal="center"/>
    </xf>
    <xf numFmtId="3" fontId="34" fillId="0" borderId="271" xfId="89" applyNumberFormat="1" applyFont="1" applyFill="1" applyBorder="1" applyAlignment="1">
      <alignment horizontal="center"/>
    </xf>
    <xf numFmtId="0" fontId="34" fillId="0" borderId="274" xfId="89" applyFont="1" applyFill="1" applyBorder="1" applyAlignment="1">
      <alignment horizontal="center"/>
    </xf>
    <xf numFmtId="172" fontId="186" fillId="22" borderId="0" xfId="89" applyNumberFormat="1" applyFont="1" applyFill="1" applyBorder="1" applyAlignment="1">
      <alignment horizontal="center"/>
    </xf>
    <xf numFmtId="172" fontId="186" fillId="22" borderId="63" xfId="89" applyNumberFormat="1" applyFont="1" applyFill="1" applyBorder="1" applyAlignment="1">
      <alignment horizontal="center"/>
    </xf>
    <xf numFmtId="0" fontId="168" fillId="0" borderId="0" xfId="89" applyBorder="1"/>
    <xf numFmtId="0" fontId="9" fillId="0" borderId="274" xfId="89" applyFont="1" applyBorder="1"/>
    <xf numFmtId="0" fontId="9" fillId="0" borderId="0" xfId="89" applyFont="1" applyBorder="1"/>
    <xf numFmtId="0" fontId="38" fillId="17" borderId="0" xfId="89" applyFont="1" applyFill="1" applyBorder="1" applyAlignment="1">
      <alignment horizontal="center"/>
    </xf>
    <xf numFmtId="0" fontId="29" fillId="17" borderId="0" xfId="89" applyFont="1" applyFill="1" applyBorder="1"/>
    <xf numFmtId="172" fontId="29" fillId="17" borderId="0" xfId="89" applyNumberFormat="1" applyFont="1" applyFill="1" applyBorder="1" applyAlignment="1">
      <alignment horizontal="center"/>
    </xf>
    <xf numFmtId="0" fontId="29" fillId="17" borderId="0" xfId="89" applyFont="1" applyFill="1" applyBorder="1" applyAlignment="1">
      <alignment horizontal="center"/>
    </xf>
    <xf numFmtId="0" fontId="183" fillId="16" borderId="34" xfId="89" applyFont="1" applyFill="1" applyBorder="1" applyAlignment="1">
      <alignment horizontal="left"/>
    </xf>
    <xf numFmtId="0" fontId="38" fillId="16" borderId="34" xfId="89" applyFont="1" applyFill="1" applyBorder="1" applyAlignment="1">
      <alignment horizontal="center"/>
    </xf>
    <xf numFmtId="0" fontId="29" fillId="16" borderId="34" xfId="89" applyFont="1" applyFill="1" applyBorder="1"/>
    <xf numFmtId="0" fontId="29" fillId="16" borderId="34" xfId="89" applyFont="1" applyFill="1" applyBorder="1" applyAlignment="1">
      <alignment horizontal="center"/>
    </xf>
    <xf numFmtId="172" fontId="184" fillId="16" borderId="34" xfId="89" applyNumberFormat="1" applyFont="1" applyFill="1" applyBorder="1" applyAlignment="1">
      <alignment horizontal="center"/>
    </xf>
    <xf numFmtId="172" fontId="184" fillId="16" borderId="0" xfId="89" applyNumberFormat="1" applyFont="1" applyFill="1" applyBorder="1" applyAlignment="1">
      <alignment horizontal="center"/>
    </xf>
    <xf numFmtId="2" fontId="29" fillId="4" borderId="0" xfId="89" applyNumberFormat="1" applyFont="1" applyFill="1" applyBorder="1" applyAlignment="1">
      <alignment horizontal="left"/>
    </xf>
    <xf numFmtId="0" fontId="29" fillId="9" borderId="0" xfId="89" applyFont="1" applyFill="1" applyBorder="1" applyAlignment="1">
      <alignment horizontal="center"/>
    </xf>
    <xf numFmtId="0" fontId="168" fillId="4" borderId="0" xfId="89" applyFill="1" applyBorder="1"/>
    <xf numFmtId="0" fontId="31" fillId="9" borderId="23" xfId="89" applyFont="1" applyFill="1" applyBorder="1" applyAlignment="1">
      <alignment horizontal="center"/>
    </xf>
    <xf numFmtId="0" fontId="31" fillId="9" borderId="0" xfId="89" applyFont="1" applyFill="1" applyBorder="1" applyAlignment="1">
      <alignment horizontal="center"/>
    </xf>
    <xf numFmtId="0" fontId="31" fillId="9" borderId="63" xfId="89" applyFont="1" applyFill="1" applyBorder="1" applyAlignment="1">
      <alignment horizontal="center"/>
    </xf>
    <xf numFmtId="1" fontId="29" fillId="4" borderId="23" xfId="89" applyNumberFormat="1" applyFont="1" applyFill="1" applyBorder="1" applyAlignment="1">
      <alignment horizontal="center"/>
    </xf>
    <xf numFmtId="1" fontId="29" fillId="22" borderId="0" xfId="89" applyNumberFormat="1" applyFont="1" applyFill="1" applyBorder="1" applyAlignment="1">
      <alignment horizontal="center"/>
    </xf>
    <xf numFmtId="2" fontId="29" fillId="4" borderId="34" xfId="89" applyNumberFormat="1" applyFont="1" applyFill="1" applyBorder="1" applyAlignment="1">
      <alignment horizontal="left"/>
    </xf>
    <xf numFmtId="2" fontId="29" fillId="9" borderId="34" xfId="89" applyNumberFormat="1" applyFont="1" applyFill="1" applyBorder="1" applyAlignment="1">
      <alignment horizontal="center"/>
    </xf>
    <xf numFmtId="3" fontId="29" fillId="9" borderId="34" xfId="89" applyNumberFormat="1" applyFont="1" applyFill="1" applyBorder="1" applyAlignment="1">
      <alignment horizontal="center"/>
    </xf>
    <xf numFmtId="3" fontId="31" fillId="9" borderId="34" xfId="89" applyNumberFormat="1" applyFont="1" applyFill="1" applyBorder="1" applyAlignment="1">
      <alignment horizontal="center"/>
    </xf>
    <xf numFmtId="172" fontId="31" fillId="9" borderId="0" xfId="89" applyNumberFormat="1" applyFont="1" applyFill="1" applyBorder="1" applyAlignment="1">
      <alignment horizontal="center"/>
    </xf>
    <xf numFmtId="172" fontId="29" fillId="9" borderId="0" xfId="89" applyNumberFormat="1" applyFont="1" applyFill="1" applyBorder="1" applyAlignment="1">
      <alignment horizontal="center"/>
    </xf>
    <xf numFmtId="2" fontId="29" fillId="9" borderId="0" xfId="89" applyNumberFormat="1" applyFont="1" applyFill="1" applyBorder="1" applyAlignment="1">
      <alignment horizontal="center"/>
    </xf>
    <xf numFmtId="2" fontId="29" fillId="4" borderId="23" xfId="89" applyNumberFormat="1" applyFont="1" applyFill="1" applyBorder="1" applyAlignment="1">
      <alignment horizontal="center"/>
    </xf>
    <xf numFmtId="2" fontId="29" fillId="4" borderId="63" xfId="89" applyNumberFormat="1" applyFont="1" applyFill="1" applyBorder="1" applyAlignment="1">
      <alignment horizontal="center"/>
    </xf>
    <xf numFmtId="2" fontId="31" fillId="9" borderId="0" xfId="89" applyNumberFormat="1" applyFont="1" applyFill="1" applyBorder="1" applyAlignment="1">
      <alignment horizontal="center"/>
    </xf>
    <xf numFmtId="2" fontId="29" fillId="89" borderId="0" xfId="89" applyNumberFormat="1" applyFont="1" applyFill="1" applyBorder="1" applyAlignment="1">
      <alignment horizontal="center"/>
    </xf>
    <xf numFmtId="2" fontId="29" fillId="90" borderId="23" xfId="89" applyNumberFormat="1" applyFont="1" applyFill="1" applyBorder="1" applyAlignment="1">
      <alignment horizontal="center"/>
    </xf>
    <xf numFmtId="2" fontId="29" fillId="90" borderId="0" xfId="89" applyNumberFormat="1" applyFont="1" applyFill="1" applyBorder="1" applyAlignment="1">
      <alignment horizontal="center"/>
    </xf>
    <xf numFmtId="2" fontId="29" fillId="18" borderId="23" xfId="89" applyNumberFormat="1" applyFont="1" applyFill="1" applyBorder="1" applyAlignment="1">
      <alignment horizontal="center"/>
    </xf>
    <xf numFmtId="2" fontId="29" fillId="18" borderId="0" xfId="89" applyNumberFormat="1" applyFont="1" applyFill="1" applyBorder="1" applyAlignment="1">
      <alignment horizontal="center"/>
    </xf>
    <xf numFmtId="2" fontId="29" fillId="72" borderId="23" xfId="89" applyNumberFormat="1" applyFont="1" applyFill="1" applyBorder="1" applyAlignment="1">
      <alignment horizontal="center"/>
    </xf>
    <xf numFmtId="2" fontId="29" fillId="72" borderId="0" xfId="89" applyNumberFormat="1" applyFont="1" applyFill="1" applyBorder="1" applyAlignment="1">
      <alignment horizontal="center"/>
    </xf>
    <xf numFmtId="2" fontId="29" fillId="72" borderId="63" xfId="89" applyNumberFormat="1" applyFont="1" applyFill="1" applyBorder="1" applyAlignment="1">
      <alignment horizontal="center"/>
    </xf>
    <xf numFmtId="2" fontId="29" fillId="16" borderId="0" xfId="89" applyNumberFormat="1" applyFont="1" applyFill="1" applyBorder="1" applyAlignment="1">
      <alignment horizontal="center"/>
    </xf>
    <xf numFmtId="2" fontId="29" fillId="16" borderId="63" xfId="89" applyNumberFormat="1" applyFont="1" applyFill="1" applyBorder="1" applyAlignment="1">
      <alignment horizontal="center"/>
    </xf>
    <xf numFmtId="2" fontId="34" fillId="0" borderId="273" xfId="89" applyNumberFormat="1" applyFont="1" applyFill="1" applyBorder="1" applyAlignment="1">
      <alignment horizontal="center"/>
    </xf>
    <xf numFmtId="2" fontId="34" fillId="0" borderId="0" xfId="89" applyNumberFormat="1" applyFont="1" applyFill="1" applyBorder="1" applyAlignment="1">
      <alignment horizontal="center"/>
    </xf>
    <xf numFmtId="2" fontId="34" fillId="0" borderId="274" xfId="89" applyNumberFormat="1" applyFont="1" applyFill="1" applyBorder="1" applyAlignment="1">
      <alignment horizontal="center"/>
    </xf>
    <xf numFmtId="0" fontId="183" fillId="4" borderId="0" xfId="89" applyFont="1" applyFill="1" applyBorder="1" applyAlignment="1">
      <alignment horizontal="left"/>
    </xf>
    <xf numFmtId="2" fontId="29" fillId="0" borderId="23" xfId="89" applyNumberFormat="1" applyFont="1" applyFill="1" applyBorder="1" applyAlignment="1">
      <alignment horizontal="center"/>
    </xf>
    <xf numFmtId="2" fontId="29" fillId="0" borderId="0" xfId="89" applyNumberFormat="1" applyFont="1" applyFill="1" applyBorder="1" applyAlignment="1">
      <alignment horizontal="center"/>
    </xf>
    <xf numFmtId="2" fontId="29" fillId="0" borderId="63" xfId="89" applyNumberFormat="1" applyFont="1" applyFill="1" applyBorder="1" applyAlignment="1">
      <alignment horizontal="center"/>
    </xf>
    <xf numFmtId="0" fontId="180" fillId="88" borderId="34" xfId="89" applyFont="1" applyFill="1" applyBorder="1"/>
    <xf numFmtId="2" fontId="29" fillId="4" borderId="39" xfId="89" applyNumberFormat="1" applyFont="1" applyFill="1" applyBorder="1" applyAlignment="1">
      <alignment horizontal="center"/>
    </xf>
    <xf numFmtId="2" fontId="31" fillId="9" borderId="34" xfId="89" applyNumberFormat="1" applyFont="1" applyFill="1" applyBorder="1" applyAlignment="1">
      <alignment horizontal="center"/>
    </xf>
    <xf numFmtId="2" fontId="29" fillId="89" borderId="34" xfId="89" applyNumberFormat="1" applyFont="1" applyFill="1" applyBorder="1" applyAlignment="1">
      <alignment horizontal="center"/>
    </xf>
    <xf numFmtId="2" fontId="29" fillId="90" borderId="38" xfId="89" applyNumberFormat="1" applyFont="1" applyFill="1" applyBorder="1" applyAlignment="1">
      <alignment horizontal="center"/>
    </xf>
    <xf numFmtId="2" fontId="29" fillId="90" borderId="34" xfId="89" applyNumberFormat="1" applyFont="1" applyFill="1" applyBorder="1" applyAlignment="1">
      <alignment horizontal="center"/>
    </xf>
    <xf numFmtId="2" fontId="29" fillId="18" borderId="38" xfId="89" applyNumberFormat="1" applyFont="1" applyFill="1" applyBorder="1" applyAlignment="1">
      <alignment horizontal="center"/>
    </xf>
    <xf numFmtId="2" fontId="29" fillId="18" borderId="34" xfId="89" applyNumberFormat="1" applyFont="1" applyFill="1" applyBorder="1" applyAlignment="1">
      <alignment horizontal="center"/>
    </xf>
    <xf numFmtId="2" fontId="29" fillId="72" borderId="38" xfId="89" applyNumberFormat="1" applyFont="1" applyFill="1" applyBorder="1" applyAlignment="1">
      <alignment horizontal="center"/>
    </xf>
    <xf numFmtId="2" fontId="29" fillId="72" borderId="34" xfId="89" applyNumberFormat="1" applyFont="1" applyFill="1" applyBorder="1" applyAlignment="1">
      <alignment horizontal="center"/>
    </xf>
    <xf numFmtId="2" fontId="29" fillId="72" borderId="39" xfId="89" applyNumberFormat="1" applyFont="1" applyFill="1" applyBorder="1" applyAlignment="1">
      <alignment horizontal="center"/>
    </xf>
    <xf numFmtId="2" fontId="29" fillId="16" borderId="34" xfId="89" applyNumberFormat="1" applyFont="1" applyFill="1" applyBorder="1" applyAlignment="1">
      <alignment horizontal="center"/>
    </xf>
    <xf numFmtId="2" fontId="29" fillId="16" borderId="39" xfId="89" applyNumberFormat="1" applyFont="1" applyFill="1" applyBorder="1" applyAlignment="1">
      <alignment horizontal="center"/>
    </xf>
    <xf numFmtId="2" fontId="34" fillId="0" borderId="271" xfId="89" applyNumberFormat="1" applyFont="1" applyFill="1" applyBorder="1" applyAlignment="1">
      <alignment horizontal="center"/>
    </xf>
    <xf numFmtId="2" fontId="34" fillId="0" borderId="34" xfId="89" applyNumberFormat="1" applyFont="1" applyFill="1" applyBorder="1" applyAlignment="1">
      <alignment horizontal="center"/>
    </xf>
    <xf numFmtId="2" fontId="34" fillId="0" borderId="272" xfId="89" applyNumberFormat="1" applyFont="1" applyFill="1" applyBorder="1" applyAlignment="1">
      <alignment horizontal="center"/>
    </xf>
    <xf numFmtId="0" fontId="187" fillId="17" borderId="0" xfId="89" applyFont="1" applyFill="1" applyBorder="1"/>
    <xf numFmtId="0" fontId="183" fillId="17" borderId="0" xfId="89" applyFont="1" applyFill="1" applyBorder="1"/>
    <xf numFmtId="0" fontId="38" fillId="17" borderId="0" xfId="89" applyFont="1" applyFill="1" applyBorder="1"/>
    <xf numFmtId="172" fontId="38" fillId="17" borderId="0" xfId="89" applyNumberFormat="1" applyFont="1" applyFill="1" applyBorder="1" applyAlignment="1">
      <alignment horizontal="center"/>
    </xf>
    <xf numFmtId="0" fontId="188" fillId="16" borderId="0" xfId="89" applyFont="1" applyFill="1" applyBorder="1"/>
    <xf numFmtId="0" fontId="183" fillId="16" borderId="0" xfId="89" applyFont="1" applyFill="1" applyBorder="1"/>
    <xf numFmtId="0" fontId="38" fillId="16" borderId="0" xfId="89" applyFont="1" applyFill="1" applyBorder="1" applyAlignment="1">
      <alignment horizontal="center"/>
    </xf>
    <xf numFmtId="0" fontId="38" fillId="16" borderId="0" xfId="89" applyFont="1" applyFill="1" applyBorder="1"/>
    <xf numFmtId="0" fontId="38" fillId="16" borderId="0" xfId="89" applyFont="1" applyFill="1" applyBorder="1" applyAlignment="1">
      <alignment horizontal="right"/>
    </xf>
    <xf numFmtId="172" fontId="38" fillId="16" borderId="0" xfId="89" applyNumberFormat="1" applyFont="1" applyFill="1" applyBorder="1" applyAlignment="1">
      <alignment horizontal="right"/>
    </xf>
    <xf numFmtId="172" fontId="38" fillId="16" borderId="0" xfId="89" applyNumberFormat="1" applyFont="1" applyFill="1" applyBorder="1" applyAlignment="1"/>
    <xf numFmtId="172" fontId="189" fillId="16" borderId="0" xfId="89" applyNumberFormat="1" applyFont="1" applyFill="1" applyBorder="1" applyAlignment="1">
      <alignment horizontal="right"/>
    </xf>
    <xf numFmtId="172" fontId="184" fillId="16" borderId="0" xfId="89" applyNumberFormat="1" applyFont="1" applyFill="1" applyBorder="1" applyAlignment="1">
      <alignment horizontal="right"/>
    </xf>
    <xf numFmtId="0" fontId="168" fillId="16" borderId="0" xfId="89" applyFill="1"/>
    <xf numFmtId="0" fontId="190" fillId="16" borderId="0" xfId="89" applyFont="1" applyFill="1" applyBorder="1"/>
    <xf numFmtId="0" fontId="191" fillId="16" borderId="0" xfId="89" applyFont="1" applyFill="1" applyBorder="1"/>
    <xf numFmtId="0" fontId="31" fillId="16" borderId="0" xfId="89" applyFont="1" applyFill="1" applyBorder="1"/>
    <xf numFmtId="172" fontId="29" fillId="16" borderId="0" xfId="89" applyNumberFormat="1" applyFont="1" applyFill="1" applyBorder="1"/>
    <xf numFmtId="172" fontId="38" fillId="16" borderId="0" xfId="89" applyNumberFormat="1" applyFont="1" applyFill="1" applyBorder="1"/>
    <xf numFmtId="172" fontId="189" fillId="16" borderId="0" xfId="89" applyNumberFormat="1" applyFont="1" applyFill="1" applyBorder="1"/>
    <xf numFmtId="2" fontId="38" fillId="16" borderId="0" xfId="89" applyNumberFormat="1" applyFont="1" applyFill="1" applyBorder="1"/>
    <xf numFmtId="2" fontId="189" fillId="16" borderId="0" xfId="89" applyNumberFormat="1" applyFont="1" applyFill="1" applyBorder="1"/>
    <xf numFmtId="172" fontId="191" fillId="16" borderId="0" xfId="89" applyNumberFormat="1" applyFont="1" applyFill="1" applyBorder="1"/>
    <xf numFmtId="172" fontId="31" fillId="16" borderId="0" xfId="89" applyNumberFormat="1" applyFont="1" applyFill="1" applyBorder="1"/>
    <xf numFmtId="0" fontId="9" fillId="16" borderId="0" xfId="89" applyFont="1" applyFill="1"/>
    <xf numFmtId="0" fontId="168" fillId="16" borderId="0" xfId="89" applyFill="1" applyBorder="1"/>
    <xf numFmtId="172" fontId="168" fillId="16" borderId="0" xfId="89" applyNumberFormat="1" applyFill="1" applyBorder="1"/>
    <xf numFmtId="172" fontId="38" fillId="16" borderId="0" xfId="89" applyNumberFormat="1" applyFont="1" applyFill="1" applyBorder="1" applyAlignment="1">
      <alignment horizontal="center"/>
    </xf>
    <xf numFmtId="172" fontId="189" fillId="16" borderId="0" xfId="89" applyNumberFormat="1" applyFont="1" applyFill="1" applyBorder="1" applyAlignment="1">
      <alignment horizontal="center"/>
    </xf>
    <xf numFmtId="0" fontId="189" fillId="16" borderId="0" xfId="89" applyFont="1" applyFill="1" applyBorder="1" applyAlignment="1">
      <alignment horizontal="center"/>
    </xf>
    <xf numFmtId="0" fontId="184" fillId="16" borderId="0" xfId="89" applyFont="1" applyFill="1" applyBorder="1" applyAlignment="1">
      <alignment horizontal="center"/>
    </xf>
    <xf numFmtId="2" fontId="29" fillId="16" borderId="0" xfId="89" applyNumberFormat="1" applyFont="1" applyFill="1" applyBorder="1" applyAlignment="1">
      <alignment horizontal="right"/>
    </xf>
    <xf numFmtId="0" fontId="9" fillId="0" borderId="0" xfId="89" applyFont="1"/>
    <xf numFmtId="2" fontId="168" fillId="0" borderId="0" xfId="89" applyNumberFormat="1"/>
    <xf numFmtId="0" fontId="192" fillId="0" borderId="0" xfId="0" applyFont="1" applyAlignment="1">
      <alignment horizontal="center"/>
    </xf>
    <xf numFmtId="0" fontId="132" fillId="0" borderId="0" xfId="0" applyFont="1" applyAlignment="1">
      <alignment horizontal="center"/>
    </xf>
    <xf numFmtId="3" fontId="132" fillId="0" borderId="0" xfId="0" applyNumberFormat="1" applyFont="1" applyBorder="1" applyAlignment="1">
      <alignment horizontal="center"/>
    </xf>
    <xf numFmtId="0" fontId="132" fillId="0" borderId="0" xfId="0" applyFont="1" applyFill="1" applyAlignment="1">
      <alignment horizontal="center"/>
    </xf>
    <xf numFmtId="168" fontId="193" fillId="0" borderId="0" xfId="2" applyNumberFormat="1" applyFont="1" applyFill="1"/>
    <xf numFmtId="168" fontId="132" fillId="0" borderId="0" xfId="2" applyNumberFormat="1" applyFont="1" applyFill="1"/>
    <xf numFmtId="0" fontId="132" fillId="0" borderId="0" xfId="0" applyFont="1"/>
    <xf numFmtId="0" fontId="14" fillId="0" borderId="0" xfId="0" applyFont="1" applyAlignment="1">
      <alignment vertical="center"/>
    </xf>
    <xf numFmtId="2" fontId="0" fillId="0" borderId="0" xfId="0" applyNumberFormat="1" applyAlignment="1">
      <alignment vertical="center"/>
    </xf>
    <xf numFmtId="172" fontId="0" fillId="0" borderId="0" xfId="0" applyNumberFormat="1" applyAlignment="1">
      <alignment vertical="center"/>
    </xf>
    <xf numFmtId="167" fontId="0" fillId="0" borderId="0" xfId="1" applyFont="1" applyAlignment="1">
      <alignment vertical="center"/>
    </xf>
    <xf numFmtId="0" fontId="41" fillId="0" borderId="0" xfId="0" applyFont="1" applyAlignment="1">
      <alignment vertical="center"/>
    </xf>
    <xf numFmtId="172" fontId="129" fillId="32" borderId="7" xfId="0" applyNumberFormat="1" applyFont="1" applyFill="1" applyBorder="1" applyAlignment="1">
      <alignment horizontal="center" vertical="center"/>
    </xf>
    <xf numFmtId="172" fontId="129" fillId="32" borderId="9" xfId="0" applyNumberFormat="1" applyFont="1" applyFill="1" applyBorder="1" applyAlignment="1">
      <alignment horizontal="center" vertical="center"/>
    </xf>
    <xf numFmtId="172" fontId="72" fillId="13" borderId="0" xfId="0" applyNumberFormat="1" applyFont="1" applyFill="1" applyBorder="1" applyAlignment="1">
      <alignment horizontal="center" vertical="center" wrapText="1"/>
    </xf>
    <xf numFmtId="1" fontId="72" fillId="13" borderId="6" xfId="0" applyNumberFormat="1" applyFont="1" applyFill="1" applyBorder="1" applyAlignment="1">
      <alignment horizontal="center" vertical="center" wrapText="1"/>
    </xf>
    <xf numFmtId="1" fontId="39" fillId="32" borderId="6" xfId="0" applyNumberFormat="1" applyFont="1" applyFill="1" applyBorder="1" applyAlignment="1">
      <alignment horizontal="center" vertical="center" wrapText="1"/>
    </xf>
    <xf numFmtId="172" fontId="29" fillId="32" borderId="5" xfId="0" applyNumberFormat="1" applyFont="1" applyFill="1" applyBorder="1" applyAlignment="1">
      <alignment horizontal="center"/>
    </xf>
    <xf numFmtId="172" fontId="29" fillId="32" borderId="6" xfId="0" applyNumberFormat="1" applyFont="1" applyFill="1" applyBorder="1" applyAlignment="1">
      <alignment horizontal="center"/>
    </xf>
    <xf numFmtId="172" fontId="29" fillId="32" borderId="8" xfId="0" applyNumberFormat="1" applyFont="1" applyFill="1" applyBorder="1" applyAlignment="1">
      <alignment horizontal="center"/>
    </xf>
    <xf numFmtId="0" fontId="194" fillId="13" borderId="7" xfId="0" applyFont="1" applyFill="1" applyBorder="1" applyAlignment="1">
      <alignment horizontal="center"/>
    </xf>
    <xf numFmtId="0" fontId="168" fillId="32" borderId="0" xfId="89" applyFill="1"/>
    <xf numFmtId="0" fontId="172" fillId="32" borderId="0" xfId="89" applyFont="1" applyFill="1"/>
    <xf numFmtId="0" fontId="34" fillId="32" borderId="27" xfId="89" applyFont="1" applyFill="1" applyBorder="1" applyAlignment="1">
      <alignment horizontal="center"/>
    </xf>
    <xf numFmtId="17" fontId="182" fillId="32" borderId="34" xfId="89" applyNumberFormat="1" applyFont="1" applyFill="1" applyBorder="1" applyAlignment="1">
      <alignment horizontal="center"/>
    </xf>
    <xf numFmtId="17" fontId="182" fillId="32" borderId="0" xfId="0" applyNumberFormat="1" applyFont="1" applyFill="1" applyBorder="1" applyAlignment="1">
      <alignment horizontal="center"/>
    </xf>
    <xf numFmtId="172" fontId="34" fillId="32" borderId="0" xfId="0" applyNumberFormat="1" applyFont="1" applyFill="1" applyBorder="1" applyAlignment="1">
      <alignment horizontal="center"/>
    </xf>
    <xf numFmtId="172" fontId="34" fillId="32" borderId="34" xfId="0" applyNumberFormat="1" applyFont="1" applyFill="1" applyBorder="1" applyAlignment="1">
      <alignment horizontal="center"/>
    </xf>
    <xf numFmtId="0" fontId="183" fillId="32" borderId="0" xfId="0" applyFont="1" applyFill="1" applyBorder="1" applyAlignment="1">
      <alignment horizontal="left"/>
    </xf>
    <xf numFmtId="0" fontId="173" fillId="32" borderId="0" xfId="0" applyFont="1" applyFill="1" applyBorder="1" applyAlignment="1">
      <alignment horizontal="center" vertical="center"/>
    </xf>
    <xf numFmtId="0" fontId="179" fillId="32" borderId="25" xfId="0" applyFont="1" applyFill="1" applyBorder="1" applyAlignment="1">
      <alignment horizontal="center"/>
    </xf>
    <xf numFmtId="172" fontId="34" fillId="32" borderId="274" xfId="0" applyNumberFormat="1" applyFont="1" applyFill="1" applyBorder="1" applyAlignment="1">
      <alignment horizontal="center"/>
    </xf>
    <xf numFmtId="172" fontId="29" fillId="32" borderId="0" xfId="0" applyNumberFormat="1" applyFont="1" applyFill="1" applyBorder="1" applyAlignment="1">
      <alignment horizontal="center"/>
    </xf>
    <xf numFmtId="172" fontId="184" fillId="32" borderId="0" xfId="0" applyNumberFormat="1" applyFont="1" applyFill="1" applyBorder="1" applyAlignment="1">
      <alignment horizontal="center"/>
    </xf>
    <xf numFmtId="0" fontId="34" fillId="32" borderId="0" xfId="0" applyFont="1" applyFill="1" applyBorder="1" applyAlignment="1">
      <alignment horizontal="center"/>
    </xf>
    <xf numFmtId="0" fontId="9" fillId="32" borderId="0" xfId="0" applyFont="1" applyFill="1" applyBorder="1"/>
    <xf numFmtId="172" fontId="184" fillId="32" borderId="34" xfId="0" applyNumberFormat="1" applyFont="1" applyFill="1" applyBorder="1" applyAlignment="1">
      <alignment horizontal="center"/>
    </xf>
    <xf numFmtId="2" fontId="34" fillId="32" borderId="0" xfId="0" applyNumberFormat="1" applyFont="1" applyFill="1" applyBorder="1" applyAlignment="1">
      <alignment horizontal="center"/>
    </xf>
    <xf numFmtId="2" fontId="34" fillId="32" borderId="34" xfId="0" applyNumberFormat="1" applyFont="1" applyFill="1" applyBorder="1" applyAlignment="1">
      <alignment horizontal="center"/>
    </xf>
    <xf numFmtId="172" fontId="184" fillId="32" borderId="0" xfId="0" applyNumberFormat="1" applyFont="1" applyFill="1" applyBorder="1" applyAlignment="1">
      <alignment horizontal="right"/>
    </xf>
    <xf numFmtId="172" fontId="29" fillId="32" borderId="0" xfId="0" applyNumberFormat="1" applyFont="1" applyFill="1" applyBorder="1"/>
    <xf numFmtId="0" fontId="191" fillId="32" borderId="0" xfId="0" applyFont="1" applyFill="1" applyBorder="1"/>
    <xf numFmtId="0" fontId="9" fillId="32" borderId="0" xfId="89" applyFont="1" applyFill="1"/>
    <xf numFmtId="10" fontId="195" fillId="0" borderId="0" xfId="2" applyNumberFormat="1" applyFont="1" applyFill="1" applyBorder="1" applyAlignment="1">
      <alignment horizontal="center"/>
    </xf>
    <xf numFmtId="0" fontId="5" fillId="3" borderId="0" xfId="0" applyFont="1" applyFill="1"/>
    <xf numFmtId="0" fontId="5" fillId="3" borderId="0" xfId="0" applyFont="1" applyFill="1" applyAlignment="1">
      <alignment horizontal="center"/>
    </xf>
    <xf numFmtId="169" fontId="5" fillId="3" borderId="0" xfId="1" applyNumberFormat="1" applyFont="1" applyFill="1"/>
    <xf numFmtId="167" fontId="5" fillId="3" borderId="0" xfId="1" applyFont="1" applyFill="1"/>
    <xf numFmtId="167" fontId="5" fillId="0" borderId="0" xfId="1" applyFont="1" applyAlignment="1">
      <alignment horizontal="center"/>
    </xf>
    <xf numFmtId="0" fontId="0" fillId="0" borderId="34" xfId="0" applyFont="1" applyBorder="1"/>
    <xf numFmtId="178" fontId="35" fillId="0" borderId="0" xfId="0" applyNumberFormat="1" applyFont="1" applyAlignment="1">
      <alignment horizontal="center"/>
    </xf>
    <xf numFmtId="172" fontId="0" fillId="0" borderId="0" xfId="0" applyNumberFormat="1" applyFont="1"/>
    <xf numFmtId="1" fontId="73" fillId="13" borderId="11" xfId="0" applyNumberFormat="1" applyFont="1" applyFill="1" applyBorder="1" applyAlignment="1">
      <alignment horizontal="center"/>
    </xf>
    <xf numFmtId="172" fontId="0" fillId="0" borderId="0" xfId="0" applyNumberFormat="1" applyFont="1" applyAlignment="1">
      <alignment horizontal="center"/>
    </xf>
    <xf numFmtId="172" fontId="0" fillId="13" borderId="0" xfId="0" applyNumberFormat="1" applyFont="1" applyFill="1" applyAlignment="1">
      <alignment horizontal="center"/>
    </xf>
    <xf numFmtId="0" fontId="196" fillId="0" borderId="0" xfId="0" applyFont="1" applyFill="1"/>
    <xf numFmtId="9" fontId="197" fillId="0" borderId="0" xfId="2" applyFont="1" applyFill="1" applyAlignment="1">
      <alignment horizontal="center"/>
    </xf>
    <xf numFmtId="3" fontId="196" fillId="0" borderId="0" xfId="0" applyNumberFormat="1" applyFont="1" applyFill="1" applyBorder="1"/>
    <xf numFmtId="0" fontId="196" fillId="0" borderId="0" xfId="0" applyFont="1" applyFill="1" applyBorder="1" applyAlignment="1">
      <alignment horizontal="center" vertical="center"/>
    </xf>
    <xf numFmtId="168" fontId="97" fillId="0" borderId="0" xfId="2" applyNumberFormat="1" applyFont="1" applyFill="1" applyBorder="1" applyAlignment="1">
      <alignment horizontal="center"/>
    </xf>
    <xf numFmtId="168" fontId="197" fillId="0" borderId="0" xfId="2" applyNumberFormat="1" applyFont="1" applyFill="1" applyAlignment="1">
      <alignment horizontal="center"/>
    </xf>
    <xf numFmtId="0" fontId="196" fillId="0" borderId="0" xfId="0" applyFont="1" applyFill="1" applyBorder="1" applyAlignment="1">
      <alignment horizontal="center" vertical="center" wrapText="1"/>
    </xf>
    <xf numFmtId="169" fontId="196" fillId="0" borderId="0" xfId="1" applyNumberFormat="1" applyFont="1" applyFill="1" applyBorder="1" applyAlignment="1">
      <alignment horizontal="center" vertical="center"/>
    </xf>
    <xf numFmtId="167" fontId="196" fillId="0" borderId="0" xfId="1" applyFont="1" applyFill="1" applyBorder="1" applyAlignment="1">
      <alignment horizontal="center" vertical="top"/>
    </xf>
    <xf numFmtId="0" fontId="197" fillId="0" borderId="0" xfId="0" applyFont="1" applyFill="1" applyBorder="1" applyAlignment="1">
      <alignment horizontal="center"/>
    </xf>
    <xf numFmtId="0" fontId="0" fillId="0" borderId="0" xfId="0" applyAlignment="1">
      <alignment horizontal="center"/>
    </xf>
    <xf numFmtId="0" fontId="18" fillId="95" borderId="13" xfId="0" applyFont="1" applyFill="1" applyBorder="1" applyAlignment="1">
      <alignment vertical="center" wrapText="1"/>
    </xf>
    <xf numFmtId="0" fontId="19" fillId="5" borderId="13" xfId="0" applyFont="1" applyFill="1" applyBorder="1" applyAlignment="1">
      <alignment vertical="center" wrapText="1"/>
    </xf>
    <xf numFmtId="0" fontId="18" fillId="95" borderId="44" xfId="0" applyFont="1" applyFill="1" applyBorder="1" applyAlignment="1">
      <alignment horizontal="center" vertical="center" wrapText="1"/>
    </xf>
    <xf numFmtId="0" fontId="18" fillId="95" borderId="45" xfId="0" applyFont="1" applyFill="1" applyBorder="1" applyAlignment="1">
      <alignment horizontal="center" vertical="center" wrapText="1"/>
    </xf>
    <xf numFmtId="0" fontId="19" fillId="5" borderId="44" xfId="0" applyFont="1" applyFill="1" applyBorder="1" applyAlignment="1">
      <alignment horizontal="center" vertical="center" wrapText="1"/>
    </xf>
    <xf numFmtId="0" fontId="19" fillId="5" borderId="45" xfId="0" applyFont="1" applyFill="1" applyBorder="1" applyAlignment="1">
      <alignment horizontal="center" vertical="center" wrapText="1"/>
    </xf>
    <xf numFmtId="0" fontId="18" fillId="95" borderId="46" xfId="0" applyFont="1" applyFill="1" applyBorder="1" applyAlignment="1">
      <alignment horizontal="center" vertical="center" wrapText="1"/>
    </xf>
    <xf numFmtId="0" fontId="18" fillId="95" borderId="47" xfId="0" applyFont="1" applyFill="1" applyBorder="1" applyAlignment="1">
      <alignment vertical="center" wrapText="1"/>
    </xf>
    <xf numFmtId="0" fontId="18" fillId="95" borderId="48" xfId="0" applyFont="1" applyFill="1" applyBorder="1" applyAlignment="1">
      <alignment horizontal="center" vertical="center" wrapText="1"/>
    </xf>
    <xf numFmtId="0" fontId="18" fillId="95" borderId="284" xfId="0" applyFont="1" applyFill="1" applyBorder="1" applyAlignment="1">
      <alignment horizontal="center" vertical="center" wrapText="1"/>
    </xf>
    <xf numFmtId="0" fontId="18" fillId="95" borderId="20" xfId="0" applyFont="1" applyFill="1" applyBorder="1" applyAlignment="1">
      <alignment vertical="center" wrapText="1"/>
    </xf>
    <xf numFmtId="0" fontId="18" fillId="95" borderId="55" xfId="0" applyFont="1" applyFill="1" applyBorder="1" applyAlignment="1">
      <alignment horizontal="center" vertical="center" wrapText="1"/>
    </xf>
    <xf numFmtId="0" fontId="56" fillId="96" borderId="5" xfId="0" applyFont="1" applyFill="1" applyBorder="1" applyAlignment="1">
      <alignment horizontal="center" vertical="center" wrapText="1"/>
    </xf>
    <xf numFmtId="0" fontId="56" fillId="96" borderId="84" xfId="0" applyFont="1" applyFill="1" applyBorder="1" applyAlignment="1">
      <alignment horizontal="center" vertical="center" wrapText="1"/>
    </xf>
    <xf numFmtId="0" fontId="56" fillId="96" borderId="49" xfId="0" applyFont="1" applyFill="1" applyBorder="1" applyAlignment="1">
      <alignment horizontal="center" vertical="center" wrapText="1"/>
    </xf>
    <xf numFmtId="0" fontId="56" fillId="96" borderId="50" xfId="0" applyFont="1" applyFill="1" applyBorder="1" applyAlignment="1">
      <alignment horizontal="center" vertical="center" wrapText="1"/>
    </xf>
    <xf numFmtId="0" fontId="56" fillId="96" borderId="51" xfId="0" applyFont="1" applyFill="1" applyBorder="1" applyAlignment="1">
      <alignment horizontal="center" vertical="center" wrapText="1"/>
    </xf>
    <xf numFmtId="0" fontId="7" fillId="95" borderId="285" xfId="0" applyFont="1" applyFill="1" applyBorder="1" applyAlignment="1">
      <alignment horizontal="center" vertical="center" wrapText="1"/>
    </xf>
    <xf numFmtId="0" fontId="7" fillId="95" borderId="283" xfId="0" applyFont="1" applyFill="1" applyBorder="1" applyAlignment="1">
      <alignment vertical="center" wrapText="1"/>
    </xf>
    <xf numFmtId="0" fontId="6" fillId="32" borderId="286" xfId="0" applyFont="1" applyFill="1" applyBorder="1" applyAlignment="1">
      <alignment horizontal="center" vertical="center" wrapText="1"/>
    </xf>
    <xf numFmtId="0" fontId="6" fillId="32" borderId="9" xfId="0" applyFont="1" applyFill="1" applyBorder="1" applyAlignment="1">
      <alignment vertical="center" wrapText="1"/>
    </xf>
    <xf numFmtId="0" fontId="75" fillId="97" borderId="12" xfId="0" applyFont="1" applyFill="1" applyBorder="1" applyAlignment="1"/>
    <xf numFmtId="17" fontId="35" fillId="0" borderId="0" xfId="0" applyNumberFormat="1" applyFont="1" applyAlignment="1">
      <alignment horizontal="left" indent="1"/>
    </xf>
    <xf numFmtId="0" fontId="77" fillId="0" borderId="111" xfId="23" applyFont="1" applyBorder="1" applyAlignment="1">
      <alignment horizontal="left" wrapText="1" indent="1"/>
    </xf>
    <xf numFmtId="3" fontId="77" fillId="0" borderId="112" xfId="23" applyNumberFormat="1" applyFont="1" applyBorder="1" applyAlignment="1">
      <alignment horizontal="center" wrapText="1"/>
    </xf>
    <xf numFmtId="0" fontId="77" fillId="0" borderId="113" xfId="23" applyFont="1" applyBorder="1" applyAlignment="1">
      <alignment horizontal="center" wrapText="1"/>
    </xf>
    <xf numFmtId="0" fontId="77" fillId="0" borderId="287" xfId="23" applyFont="1" applyBorder="1" applyAlignment="1">
      <alignment horizontal="left" vertical="top" wrapText="1" indent="1"/>
    </xf>
    <xf numFmtId="3" fontId="77" fillId="0" borderId="288" xfId="23" applyNumberFormat="1" applyFont="1" applyBorder="1" applyAlignment="1">
      <alignment horizontal="center" vertical="center"/>
    </xf>
    <xf numFmtId="174" fontId="77" fillId="0" borderId="289" xfId="23" applyNumberFormat="1" applyFont="1" applyBorder="1" applyAlignment="1">
      <alignment horizontal="center" vertical="center"/>
    </xf>
    <xf numFmtId="3" fontId="78" fillId="28" borderId="115" xfId="23" applyNumberFormat="1" applyFont="1" applyFill="1" applyBorder="1" applyAlignment="1">
      <alignment horizontal="center" vertical="center"/>
    </xf>
    <xf numFmtId="174" fontId="78" fillId="28" borderId="116" xfId="23" applyNumberFormat="1" applyFont="1" applyFill="1" applyBorder="1" applyAlignment="1">
      <alignment horizontal="center" vertical="center"/>
    </xf>
    <xf numFmtId="174" fontId="77" fillId="0" borderId="116" xfId="23" applyNumberFormat="1" applyFont="1" applyBorder="1" applyAlignment="1">
      <alignment horizontal="center" vertical="center"/>
    </xf>
    <xf numFmtId="0" fontId="10" fillId="16" borderId="114" xfId="23" applyFont="1" applyFill="1" applyBorder="1" applyAlignment="1">
      <alignment horizontal="left" vertical="top" wrapText="1" indent="1"/>
    </xf>
    <xf numFmtId="3" fontId="10" fillId="16" borderId="115" xfId="23" applyNumberFormat="1" applyFont="1" applyFill="1" applyBorder="1" applyAlignment="1">
      <alignment horizontal="center" vertical="center"/>
    </xf>
    <xf numFmtId="174" fontId="10" fillId="16" borderId="116" xfId="23" applyNumberFormat="1" applyFont="1" applyFill="1" applyBorder="1" applyAlignment="1">
      <alignment horizontal="center" vertical="center"/>
    </xf>
    <xf numFmtId="3" fontId="0" fillId="0" borderId="0" xfId="0" applyNumberFormat="1" applyFill="1"/>
    <xf numFmtId="175" fontId="77" fillId="0" borderId="116" xfId="23" applyNumberFormat="1" applyFont="1" applyBorder="1" applyAlignment="1">
      <alignment horizontal="center" vertical="center"/>
    </xf>
    <xf numFmtId="3" fontId="77" fillId="28" borderId="115" xfId="23" applyNumberFormat="1" applyFont="1" applyFill="1" applyBorder="1" applyAlignment="1">
      <alignment horizontal="center" vertical="center"/>
    </xf>
    <xf numFmtId="3" fontId="0" fillId="12" borderId="0" xfId="0" applyNumberFormat="1" applyFill="1"/>
    <xf numFmtId="0" fontId="10" fillId="16" borderId="117" xfId="23" applyFont="1" applyFill="1" applyBorder="1" applyAlignment="1">
      <alignment horizontal="left" vertical="top" wrapText="1" indent="1"/>
    </xf>
    <xf numFmtId="3" fontId="10" fillId="16" borderId="118" xfId="23" applyNumberFormat="1" applyFont="1" applyFill="1" applyBorder="1" applyAlignment="1">
      <alignment horizontal="center" vertical="center"/>
    </xf>
    <xf numFmtId="174" fontId="10" fillId="16" borderId="119" xfId="23" applyNumberFormat="1" applyFont="1" applyFill="1" applyBorder="1" applyAlignment="1">
      <alignment horizontal="center" vertical="center"/>
    </xf>
    <xf numFmtId="0" fontId="78" fillId="28" borderId="119" xfId="23" applyFont="1" applyFill="1" applyBorder="1" applyAlignment="1">
      <alignment horizontal="center" vertical="center" wrapText="1"/>
    </xf>
    <xf numFmtId="172" fontId="78" fillId="28" borderId="119" xfId="23" applyNumberFormat="1" applyFont="1" applyFill="1" applyBorder="1" applyAlignment="1">
      <alignment horizontal="center" vertical="center" wrapText="1"/>
    </xf>
    <xf numFmtId="174" fontId="78" fillId="0" borderId="116" xfId="23" applyNumberFormat="1" applyFont="1" applyFill="1" applyBorder="1" applyAlignment="1">
      <alignment horizontal="center" vertical="center"/>
    </xf>
    <xf numFmtId="174" fontId="78" fillId="0" borderId="289" xfId="23" applyNumberFormat="1" applyFont="1" applyFill="1" applyBorder="1" applyAlignment="1">
      <alignment horizontal="center" vertical="center"/>
    </xf>
    <xf numFmtId="174" fontId="77" fillId="0" borderId="116" xfId="23" applyNumberFormat="1" applyFont="1" applyFill="1" applyBorder="1" applyAlignment="1">
      <alignment horizontal="center" vertical="center"/>
    </xf>
    <xf numFmtId="0" fontId="77" fillId="28" borderId="117" xfId="23" applyFont="1" applyFill="1" applyBorder="1" applyAlignment="1">
      <alignment horizontal="left" vertical="top" wrapText="1" indent="1"/>
    </xf>
    <xf numFmtId="3" fontId="77" fillId="28" borderId="118" xfId="23" applyNumberFormat="1" applyFont="1" applyFill="1" applyBorder="1" applyAlignment="1">
      <alignment horizontal="center" vertical="center"/>
    </xf>
    <xf numFmtId="174" fontId="77" fillId="0" borderId="119" xfId="23" applyNumberFormat="1" applyFont="1" applyFill="1" applyBorder="1" applyAlignment="1">
      <alignment horizontal="center" vertical="center" wrapText="1"/>
    </xf>
    <xf numFmtId="0" fontId="77" fillId="0" borderId="117" xfId="23" applyFont="1" applyBorder="1" applyAlignment="1">
      <alignment horizontal="left" vertical="top" wrapText="1" indent="1"/>
    </xf>
    <xf numFmtId="3" fontId="77" fillId="0" borderId="118" xfId="23" applyNumberFormat="1" applyFont="1" applyBorder="1" applyAlignment="1">
      <alignment horizontal="center" vertical="center"/>
    </xf>
    <xf numFmtId="174" fontId="77" fillId="0" borderId="119" xfId="23" applyNumberFormat="1" applyFont="1" applyBorder="1" applyAlignment="1">
      <alignment horizontal="center" vertical="center"/>
    </xf>
    <xf numFmtId="0" fontId="101" fillId="14" borderId="50" xfId="0" applyFont="1" applyFill="1" applyBorder="1" applyAlignment="1">
      <alignment horizontal="center" vertical="center" wrapText="1"/>
    </xf>
    <xf numFmtId="172" fontId="73" fillId="0" borderId="0" xfId="0" applyNumberFormat="1" applyFont="1" applyFill="1" applyBorder="1" applyAlignment="1">
      <alignment horizontal="center"/>
    </xf>
    <xf numFmtId="172" fontId="73" fillId="0" borderId="33" xfId="0" applyNumberFormat="1" applyFont="1" applyFill="1" applyBorder="1" applyAlignment="1">
      <alignment horizontal="center"/>
    </xf>
    <xf numFmtId="10" fontId="201" fillId="0" borderId="0" xfId="2" applyNumberFormat="1" applyFont="1" applyFill="1" applyBorder="1" applyAlignment="1">
      <alignment horizontal="center"/>
    </xf>
    <xf numFmtId="168" fontId="143" fillId="0" borderId="0" xfId="2" applyNumberFormat="1" applyFont="1" applyAlignment="1">
      <alignment horizontal="center" vertical="center"/>
    </xf>
    <xf numFmtId="168" fontId="97" fillId="0" borderId="0" xfId="2" applyNumberFormat="1" applyFont="1" applyAlignment="1">
      <alignment horizontal="center" vertical="center"/>
    </xf>
    <xf numFmtId="10" fontId="50" fillId="13" borderId="0" xfId="2" applyNumberFormat="1" applyFont="1" applyFill="1" applyAlignment="1">
      <alignment horizontal="center" vertical="center"/>
    </xf>
    <xf numFmtId="10" fontId="21" fillId="0" borderId="0" xfId="2" applyNumberFormat="1" applyFont="1" applyFill="1" applyBorder="1" applyAlignment="1">
      <alignment horizontal="center"/>
    </xf>
    <xf numFmtId="0" fontId="203" fillId="72" borderId="52" xfId="0" applyFont="1" applyFill="1" applyBorder="1" applyAlignment="1">
      <alignment horizontal="center"/>
    </xf>
    <xf numFmtId="167" fontId="193" fillId="0" borderId="0" xfId="1" applyFont="1" applyFill="1"/>
    <xf numFmtId="9" fontId="162" fillId="0" borderId="0" xfId="2" applyFont="1" applyFill="1"/>
    <xf numFmtId="3" fontId="101" fillId="40" borderId="0" xfId="7" applyNumberFormat="1" applyFont="1" applyFill="1"/>
    <xf numFmtId="0" fontId="41" fillId="0" borderId="0" xfId="0" applyFont="1"/>
    <xf numFmtId="0" fontId="204" fillId="0" borderId="0" xfId="0" applyFont="1" applyFill="1" applyAlignment="1">
      <alignment horizontal="left"/>
    </xf>
    <xf numFmtId="9" fontId="205" fillId="0" borderId="0" xfId="2" applyFont="1" applyFill="1" applyAlignment="1">
      <alignment horizontal="center"/>
    </xf>
    <xf numFmtId="0" fontId="205" fillId="0" borderId="0" xfId="0" applyFont="1" applyFill="1" applyAlignment="1">
      <alignment horizontal="left"/>
    </xf>
    <xf numFmtId="0" fontId="208" fillId="0" borderId="29" xfId="0" applyFont="1" applyBorder="1" applyAlignment="1">
      <alignment horizontal="center" vertical="center" wrapText="1"/>
    </xf>
    <xf numFmtId="2" fontId="47" fillId="80" borderId="42" xfId="0" applyNumberFormat="1" applyFont="1" applyFill="1" applyBorder="1" applyAlignment="1">
      <alignment wrapText="1"/>
    </xf>
    <xf numFmtId="2" fontId="47" fillId="80" borderId="13" xfId="0" applyNumberFormat="1" applyFont="1" applyFill="1" applyBorder="1" applyAlignment="1">
      <alignment wrapText="1"/>
    </xf>
    <xf numFmtId="2" fontId="47" fillId="80" borderId="47" xfId="0" applyNumberFormat="1" applyFont="1" applyFill="1" applyBorder="1" applyAlignment="1">
      <alignment wrapText="1"/>
    </xf>
    <xf numFmtId="9" fontId="209" fillId="0" borderId="0" xfId="2" applyFont="1" applyAlignment="1">
      <alignment wrapText="1"/>
    </xf>
    <xf numFmtId="0" fontId="210" fillId="0" borderId="0" xfId="0" applyFont="1" applyAlignment="1">
      <alignment wrapText="1"/>
    </xf>
    <xf numFmtId="0" fontId="211" fillId="0" borderId="0" xfId="0" applyFont="1" applyAlignment="1">
      <alignment horizontal="center" wrapText="1"/>
    </xf>
    <xf numFmtId="0" fontId="35" fillId="98" borderId="29" xfId="0" applyFont="1" applyFill="1" applyBorder="1" applyAlignment="1">
      <alignment horizontal="center" vertical="center" wrapText="1"/>
    </xf>
    <xf numFmtId="2" fontId="0" fillId="98" borderId="42" xfId="0" applyNumberFormat="1" applyFill="1" applyBorder="1" applyAlignment="1">
      <alignment wrapText="1"/>
    </xf>
    <xf numFmtId="2" fontId="0" fillId="98" borderId="13" xfId="0" applyNumberFormat="1" applyFill="1" applyBorder="1" applyAlignment="1">
      <alignment wrapText="1"/>
    </xf>
    <xf numFmtId="2" fontId="0" fillId="98" borderId="47" xfId="0" applyNumberFormat="1" applyFill="1" applyBorder="1" applyAlignment="1">
      <alignment wrapText="1"/>
    </xf>
    <xf numFmtId="9" fontId="11" fillId="98" borderId="0" xfId="2" applyFont="1" applyFill="1" applyAlignment="1">
      <alignment wrapText="1"/>
    </xf>
    <xf numFmtId="0" fontId="212" fillId="0" borderId="0" xfId="0" applyFont="1"/>
    <xf numFmtId="3" fontId="50" fillId="5" borderId="84" xfId="0" applyNumberFormat="1" applyFont="1" applyFill="1" applyBorder="1" applyAlignment="1">
      <alignment horizontal="right"/>
    </xf>
    <xf numFmtId="3" fontId="50" fillId="13" borderId="84" xfId="0" applyNumberFormat="1" applyFont="1" applyFill="1" applyBorder="1" applyAlignment="1">
      <alignment horizontal="right"/>
    </xf>
    <xf numFmtId="0" fontId="0" fillId="3" borderId="0" xfId="0" applyFill="1"/>
    <xf numFmtId="3" fontId="0" fillId="3" borderId="0" xfId="0" applyNumberFormat="1" applyFill="1" applyBorder="1"/>
    <xf numFmtId="3" fontId="0" fillId="3" borderId="11" xfId="0" applyNumberFormat="1" applyFill="1" applyBorder="1"/>
    <xf numFmtId="10" fontId="97" fillId="0" borderId="0" xfId="2" applyNumberFormat="1" applyFont="1" applyAlignment="1">
      <alignment horizontal="center" vertical="center"/>
    </xf>
    <xf numFmtId="10" fontId="143" fillId="0" borderId="0" xfId="2" applyNumberFormat="1" applyFont="1" applyAlignment="1">
      <alignment horizontal="center" vertical="center"/>
    </xf>
    <xf numFmtId="9" fontId="0" fillId="0" borderId="0" xfId="2" applyFont="1" applyAlignment="1">
      <alignment horizontal="left"/>
    </xf>
    <xf numFmtId="168" fontId="133" fillId="0" borderId="0" xfId="2" applyNumberFormat="1" applyFont="1" applyFill="1" applyBorder="1" applyAlignment="1">
      <alignment horizontal="center" vertical="center" wrapText="1"/>
    </xf>
    <xf numFmtId="168" fontId="0" fillId="0" borderId="0" xfId="2" applyNumberFormat="1" applyFont="1" applyFill="1"/>
    <xf numFmtId="0" fontId="107" fillId="7" borderId="5" xfId="0" applyFont="1" applyFill="1" applyBorder="1" applyAlignment="1">
      <alignment horizontal="center" vertical="center" wrapText="1"/>
    </xf>
    <xf numFmtId="168" fontId="132" fillId="0" borderId="68" xfId="2" applyNumberFormat="1" applyFont="1" applyFill="1" applyBorder="1" applyAlignment="1">
      <alignment horizontal="center"/>
    </xf>
    <xf numFmtId="169" fontId="133" fillId="0" borderId="0" xfId="1" applyNumberFormat="1" applyFont="1" applyFill="1" applyBorder="1" applyAlignment="1">
      <alignment horizontal="center" vertical="center"/>
    </xf>
    <xf numFmtId="169" fontId="164" fillId="0" borderId="0" xfId="1" applyNumberFormat="1" applyFont="1" applyFill="1" applyBorder="1" applyAlignment="1">
      <alignment horizontal="center" vertical="center"/>
    </xf>
    <xf numFmtId="168" fontId="132" fillId="0" borderId="6" xfId="2" applyNumberFormat="1" applyFont="1" applyFill="1" applyBorder="1" applyAlignment="1">
      <alignment horizontal="center"/>
    </xf>
    <xf numFmtId="168" fontId="214" fillId="99" borderId="40" xfId="2" applyNumberFormat="1" applyFont="1" applyFill="1" applyBorder="1" applyAlignment="1">
      <alignment horizontal="center" vertical="center" wrapText="1"/>
    </xf>
    <xf numFmtId="169" fontId="214" fillId="99" borderId="8" xfId="1" applyNumberFormat="1" applyFont="1" applyFill="1" applyBorder="1"/>
    <xf numFmtId="0" fontId="215" fillId="99" borderId="114" xfId="23" applyFont="1" applyFill="1" applyBorder="1" applyAlignment="1">
      <alignment horizontal="left" vertical="top" wrapText="1" indent="1"/>
    </xf>
    <xf numFmtId="168" fontId="215" fillId="99" borderId="114" xfId="2" applyNumberFormat="1" applyFont="1" applyFill="1" applyBorder="1" applyAlignment="1">
      <alignment horizontal="center" vertical="top" wrapText="1"/>
    </xf>
    <xf numFmtId="3" fontId="215" fillId="99" borderId="115" xfId="23" applyNumberFormat="1" applyFont="1" applyFill="1" applyBorder="1" applyAlignment="1">
      <alignment horizontal="center" vertical="center"/>
    </xf>
    <xf numFmtId="168" fontId="214" fillId="100" borderId="129" xfId="2" applyNumberFormat="1" applyFont="1" applyFill="1" applyBorder="1" applyAlignment="1">
      <alignment horizontal="center" vertical="center" wrapText="1"/>
    </xf>
    <xf numFmtId="169" fontId="214" fillId="100" borderId="68" xfId="1" applyNumberFormat="1" applyFont="1" applyFill="1" applyBorder="1"/>
    <xf numFmtId="168" fontId="214" fillId="101" borderId="44" xfId="2" applyNumberFormat="1" applyFont="1" applyFill="1" applyBorder="1" applyAlignment="1">
      <alignment horizontal="center" vertical="center" wrapText="1"/>
    </xf>
    <xf numFmtId="169" fontId="214" fillId="101" borderId="70" xfId="1" applyNumberFormat="1" applyFont="1" applyFill="1" applyBorder="1"/>
    <xf numFmtId="168" fontId="132" fillId="0" borderId="70" xfId="2" applyNumberFormat="1" applyFont="1" applyFill="1" applyBorder="1" applyAlignment="1">
      <alignment horizontal="center"/>
    </xf>
    <xf numFmtId="169" fontId="214" fillId="100" borderId="110" xfId="1" applyNumberFormat="1" applyFont="1" applyFill="1" applyBorder="1"/>
    <xf numFmtId="169" fontId="214" fillId="101" borderId="6" xfId="1" applyNumberFormat="1" applyFont="1" applyFill="1" applyBorder="1"/>
    <xf numFmtId="168" fontId="214" fillId="100" borderId="110" xfId="2" applyNumberFormat="1" applyFont="1" applyFill="1" applyBorder="1"/>
    <xf numFmtId="168" fontId="217" fillId="99" borderId="8" xfId="2" applyNumberFormat="1" applyFont="1" applyFill="1" applyBorder="1"/>
    <xf numFmtId="168" fontId="217" fillId="101" borderId="6" xfId="2" applyNumberFormat="1" applyFont="1" applyFill="1" applyBorder="1"/>
    <xf numFmtId="168" fontId="214" fillId="100" borderId="284" xfId="2" applyNumberFormat="1" applyFont="1" applyFill="1" applyBorder="1" applyAlignment="1">
      <alignment horizontal="right" vertical="center" wrapText="1"/>
    </xf>
    <xf numFmtId="168" fontId="214" fillId="101" borderId="37" xfId="2" applyNumberFormat="1" applyFont="1" applyFill="1" applyBorder="1" applyAlignment="1">
      <alignment horizontal="right" vertical="center" wrapText="1"/>
    </xf>
    <xf numFmtId="168" fontId="214" fillId="99" borderId="40" xfId="2" applyNumberFormat="1" applyFont="1" applyFill="1" applyBorder="1" applyAlignment="1">
      <alignment horizontal="right" vertical="center" wrapText="1"/>
    </xf>
    <xf numFmtId="0" fontId="153" fillId="8" borderId="0" xfId="85" applyFont="1" applyFill="1" applyBorder="1" applyAlignment="1">
      <alignment horizontal="center"/>
    </xf>
    <xf numFmtId="0" fontId="0" fillId="17" borderId="0" xfId="0" applyFill="1"/>
    <xf numFmtId="0" fontId="219" fillId="4" borderId="0" xfId="0" applyFont="1" applyFill="1"/>
    <xf numFmtId="0" fontId="219" fillId="4" borderId="0" xfId="0" applyFont="1" applyFill="1" applyBorder="1"/>
    <xf numFmtId="0" fontId="220" fillId="15" borderId="0" xfId="0" applyFont="1" applyFill="1" applyAlignment="1">
      <alignment horizontal="center"/>
    </xf>
    <xf numFmtId="0" fontId="222" fillId="0" borderId="0" xfId="0" applyFont="1" applyFill="1" applyAlignment="1">
      <alignment horizontal="center"/>
    </xf>
    <xf numFmtId="0" fontId="221" fillId="4" borderId="0" xfId="0" applyFont="1" applyFill="1" applyBorder="1"/>
    <xf numFmtId="0" fontId="220" fillId="0" borderId="292" xfId="0" applyFont="1" applyFill="1" applyBorder="1" applyAlignment="1">
      <alignment horizontal="center"/>
    </xf>
    <xf numFmtId="0" fontId="220" fillId="102" borderId="0" xfId="0" applyFont="1" applyFill="1" applyBorder="1" applyAlignment="1">
      <alignment horizontal="center"/>
    </xf>
    <xf numFmtId="0" fontId="220" fillId="3" borderId="131" xfId="0" applyFont="1" applyFill="1" applyBorder="1" applyAlignment="1">
      <alignment horizontal="center"/>
    </xf>
    <xf numFmtId="0" fontId="184" fillId="16" borderId="295" xfId="0" applyFont="1" applyFill="1" applyBorder="1" applyAlignment="1">
      <alignment horizontal="center"/>
    </xf>
    <xf numFmtId="0" fontId="184" fillId="16" borderId="131" xfId="0" applyFont="1" applyFill="1" applyBorder="1" applyAlignment="1">
      <alignment horizontal="center"/>
    </xf>
    <xf numFmtId="3" fontId="223" fillId="16" borderId="102" xfId="0" applyNumberFormat="1" applyFont="1" applyFill="1" applyBorder="1"/>
    <xf numFmtId="3" fontId="223" fillId="16" borderId="184" xfId="0" applyNumberFormat="1" applyFont="1" applyFill="1" applyBorder="1"/>
    <xf numFmtId="3" fontId="223" fillId="16" borderId="77" xfId="0" applyNumberFormat="1" applyFont="1" applyFill="1" applyBorder="1"/>
    <xf numFmtId="3" fontId="223" fillId="16" borderId="296" xfId="0" applyNumberFormat="1" applyFont="1" applyFill="1" applyBorder="1"/>
    <xf numFmtId="3" fontId="223" fillId="16" borderId="297" xfId="0" applyNumberFormat="1" applyFont="1" applyFill="1" applyBorder="1"/>
    <xf numFmtId="3" fontId="223" fillId="16" borderId="298" xfId="0" applyNumberFormat="1" applyFont="1" applyFill="1" applyBorder="1"/>
    <xf numFmtId="3" fontId="223" fillId="16" borderId="299" xfId="0" applyNumberFormat="1" applyFont="1" applyFill="1" applyBorder="1"/>
    <xf numFmtId="3" fontId="223" fillId="16" borderId="300" xfId="0" applyNumberFormat="1" applyFont="1" applyFill="1" applyBorder="1"/>
    <xf numFmtId="3" fontId="223" fillId="16" borderId="301" xfId="0" applyNumberFormat="1" applyFont="1" applyFill="1" applyBorder="1"/>
    <xf numFmtId="3" fontId="225" fillId="4" borderId="0" xfId="0" applyNumberFormat="1" applyFont="1" applyFill="1" applyBorder="1"/>
    <xf numFmtId="3" fontId="226" fillId="4" borderId="0" xfId="0" applyNumberFormat="1" applyFont="1" applyFill="1" applyBorder="1"/>
    <xf numFmtId="3" fontId="227" fillId="4" borderId="0" xfId="0" applyNumberFormat="1" applyFont="1" applyFill="1" applyBorder="1"/>
    <xf numFmtId="0" fontId="220" fillId="0" borderId="302" xfId="0" applyFont="1" applyFill="1" applyBorder="1" applyAlignment="1">
      <alignment horizontal="center"/>
    </xf>
    <xf numFmtId="0" fontId="184" fillId="16" borderId="0" xfId="0" applyFont="1" applyFill="1" applyBorder="1" applyAlignment="1">
      <alignment horizontal="center"/>
    </xf>
    <xf numFmtId="3" fontId="180" fillId="0" borderId="0" xfId="0" applyNumberFormat="1" applyFont="1" applyBorder="1" applyAlignment="1">
      <alignment horizontal="center"/>
    </xf>
    <xf numFmtId="0" fontId="220" fillId="102" borderId="72" xfId="0" applyFont="1" applyFill="1" applyBorder="1" applyAlignment="1">
      <alignment horizontal="center"/>
    </xf>
    <xf numFmtId="3" fontId="223" fillId="16" borderId="133" xfId="0" applyNumberFormat="1" applyFont="1" applyFill="1" applyBorder="1"/>
    <xf numFmtId="3" fontId="223" fillId="16" borderId="132" xfId="0" applyNumberFormat="1" applyFont="1" applyFill="1" applyBorder="1"/>
    <xf numFmtId="3" fontId="228" fillId="16" borderId="133" xfId="0" applyNumberFormat="1" applyFont="1" applyFill="1" applyBorder="1" applyAlignment="1">
      <alignment horizontal="center"/>
    </xf>
    <xf numFmtId="3" fontId="228" fillId="16" borderId="132" xfId="0" applyNumberFormat="1" applyFont="1" applyFill="1" applyBorder="1" applyAlignment="1">
      <alignment horizontal="center"/>
    </xf>
    <xf numFmtId="3" fontId="223" fillId="16" borderId="77" xfId="0" applyNumberFormat="1" applyFont="1" applyFill="1" applyBorder="1" applyAlignment="1">
      <alignment horizontal="center"/>
    </xf>
    <xf numFmtId="3" fontId="223" fillId="16" borderId="102" xfId="0" applyNumberFormat="1" applyFont="1" applyFill="1" applyBorder="1" applyAlignment="1">
      <alignment horizontal="center"/>
    </xf>
    <xf numFmtId="3" fontId="223" fillId="16" borderId="296" xfId="0" applyNumberFormat="1" applyFont="1" applyFill="1" applyBorder="1" applyAlignment="1">
      <alignment horizontal="center"/>
    </xf>
    <xf numFmtId="3" fontId="229" fillId="0" borderId="0" xfId="0" applyNumberFormat="1" applyFont="1" applyBorder="1"/>
    <xf numFmtId="3" fontId="228" fillId="16" borderId="133" xfId="0" applyNumberFormat="1" applyFont="1" applyFill="1" applyBorder="1"/>
    <xf numFmtId="3" fontId="228" fillId="16" borderId="132" xfId="0" applyNumberFormat="1" applyFont="1" applyFill="1" applyBorder="1"/>
    <xf numFmtId="3" fontId="228" fillId="16" borderId="77" xfId="0" applyNumberFormat="1" applyFont="1" applyFill="1" applyBorder="1"/>
    <xf numFmtId="3" fontId="223" fillId="16" borderId="303" xfId="0" applyNumberFormat="1" applyFont="1" applyFill="1" applyBorder="1"/>
    <xf numFmtId="3" fontId="228" fillId="16" borderId="184" xfId="0" applyNumberFormat="1" applyFont="1" applyFill="1" applyBorder="1"/>
    <xf numFmtId="3" fontId="228" fillId="16" borderId="296" xfId="0" applyNumberFormat="1" applyFont="1" applyFill="1" applyBorder="1"/>
    <xf numFmtId="3" fontId="228" fillId="16" borderId="296" xfId="0" applyNumberFormat="1" applyFont="1" applyFill="1" applyBorder="1" applyAlignment="1">
      <alignment horizontal="right"/>
    </xf>
    <xf numFmtId="3" fontId="228" fillId="16" borderId="300" xfId="0" applyNumberFormat="1" applyFont="1" applyFill="1" applyBorder="1"/>
    <xf numFmtId="3" fontId="228" fillId="16" borderId="301" xfId="0" applyNumberFormat="1" applyFont="1" applyFill="1" applyBorder="1" applyAlignment="1">
      <alignment horizontal="right"/>
    </xf>
    <xf numFmtId="3" fontId="230" fillId="0" borderId="0" xfId="0" applyNumberFormat="1" applyFont="1" applyBorder="1"/>
    <xf numFmtId="0" fontId="13" fillId="17" borderId="0" xfId="0" applyFont="1" applyFill="1"/>
    <xf numFmtId="3" fontId="0" fillId="0" borderId="0" xfId="0" applyNumberFormat="1" applyFill="1" applyBorder="1"/>
    <xf numFmtId="0" fontId="0" fillId="4" borderId="0" xfId="0" applyFill="1" applyBorder="1"/>
    <xf numFmtId="0" fontId="220" fillId="0" borderId="145" xfId="0" applyFont="1" applyFill="1" applyBorder="1" applyAlignment="1">
      <alignment horizontal="center"/>
    </xf>
    <xf numFmtId="0" fontId="220" fillId="0" borderId="0" xfId="0" applyFont="1" applyFill="1" applyBorder="1" applyAlignment="1">
      <alignment horizontal="center"/>
    </xf>
    <xf numFmtId="0" fontId="220" fillId="3" borderId="0" xfId="0" applyFont="1" applyFill="1" applyBorder="1" applyAlignment="1">
      <alignment horizontal="center"/>
    </xf>
    <xf numFmtId="3" fontId="228" fillId="77" borderId="0" xfId="0" applyNumberFormat="1" applyFont="1" applyFill="1" applyBorder="1"/>
    <xf numFmtId="3" fontId="0" fillId="4" borderId="0" xfId="0" applyNumberFormat="1" applyFill="1" applyBorder="1"/>
    <xf numFmtId="0" fontId="231" fillId="17" borderId="0" xfId="0" applyFont="1" applyFill="1"/>
    <xf numFmtId="0" fontId="232" fillId="4" borderId="0" xfId="0" applyFont="1" applyFill="1"/>
    <xf numFmtId="0" fontId="233" fillId="4" borderId="0" xfId="0" applyFont="1" applyFill="1"/>
    <xf numFmtId="0" fontId="232" fillId="4" borderId="0" xfId="0" applyFont="1" applyFill="1" applyBorder="1"/>
    <xf numFmtId="0" fontId="233" fillId="4" borderId="0" xfId="0" applyFont="1" applyFill="1" applyBorder="1"/>
    <xf numFmtId="0" fontId="234" fillId="74" borderId="0" xfId="0" applyFont="1" applyFill="1" applyBorder="1" applyAlignment="1">
      <alignment horizontal="center"/>
    </xf>
    <xf numFmtId="0" fontId="235" fillId="74" borderId="0" xfId="0" applyFont="1" applyFill="1" applyBorder="1" applyAlignment="1">
      <alignment horizontal="center"/>
    </xf>
    <xf numFmtId="0" fontId="234" fillId="0" borderId="0" xfId="0" applyFont="1" applyFill="1" applyBorder="1" applyAlignment="1">
      <alignment horizontal="center"/>
    </xf>
    <xf numFmtId="0" fontId="235" fillId="0" borderId="0" xfId="0" applyFont="1" applyFill="1" applyBorder="1" applyAlignment="1">
      <alignment horizontal="center"/>
    </xf>
    <xf numFmtId="0" fontId="236" fillId="0" borderId="0" xfId="0" applyFont="1" applyFill="1" applyBorder="1" applyAlignment="1">
      <alignment horizontal="center"/>
    </xf>
    <xf numFmtId="0" fontId="237" fillId="28" borderId="0" xfId="0" applyFont="1" applyFill="1" applyBorder="1" applyAlignment="1">
      <alignment horizontal="center"/>
    </xf>
    <xf numFmtId="0" fontId="238" fillId="30" borderId="0" xfId="0" applyFont="1" applyFill="1" applyBorder="1" applyAlignment="1">
      <alignment horizontal="center"/>
    </xf>
    <xf numFmtId="0" fontId="239" fillId="4" borderId="0" xfId="0" applyFont="1" applyFill="1" applyBorder="1" applyAlignment="1">
      <alignment horizontal="center"/>
    </xf>
    <xf numFmtId="0" fontId="240" fillId="103" borderId="0" xfId="0" applyFont="1" applyFill="1" applyBorder="1" applyAlignment="1">
      <alignment horizontal="center"/>
    </xf>
    <xf numFmtId="3" fontId="223" fillId="28" borderId="0" xfId="0" applyNumberFormat="1" applyFont="1" applyFill="1" applyBorder="1"/>
    <xf numFmtId="3" fontId="241" fillId="103" borderId="0" xfId="0" applyNumberFormat="1" applyFont="1" applyFill="1" applyBorder="1"/>
    <xf numFmtId="0" fontId="224" fillId="4" borderId="0" xfId="0" applyFont="1" applyFill="1" applyBorder="1"/>
    <xf numFmtId="172" fontId="221" fillId="4" borderId="0" xfId="0" applyNumberFormat="1" applyFont="1" applyFill="1" applyBorder="1"/>
    <xf numFmtId="172" fontId="242" fillId="4" borderId="0" xfId="0" applyNumberFormat="1" applyFont="1" applyFill="1" applyBorder="1"/>
    <xf numFmtId="0" fontId="243" fillId="4" borderId="0" xfId="0" applyFont="1" applyFill="1" applyBorder="1"/>
    <xf numFmtId="0" fontId="242" fillId="4" borderId="0" xfId="0" applyFont="1" applyFill="1" applyBorder="1"/>
    <xf numFmtId="3" fontId="244" fillId="0" borderId="0" xfId="0" applyNumberFormat="1" applyFont="1" applyAlignment="1">
      <alignment horizontal="center"/>
    </xf>
    <xf numFmtId="3" fontId="245" fillId="0" borderId="0" xfId="0" applyNumberFormat="1" applyFont="1" applyAlignment="1">
      <alignment horizontal="center"/>
    </xf>
    <xf numFmtId="0" fontId="240" fillId="4" borderId="0" xfId="0" applyFont="1" applyFill="1" applyBorder="1" applyAlignment="1">
      <alignment horizontal="center"/>
    </xf>
    <xf numFmtId="3" fontId="223" fillId="28" borderId="0" xfId="0" applyNumberFormat="1" applyFont="1" applyFill="1" applyBorder="1" applyAlignment="1">
      <alignment horizontal="center"/>
    </xf>
    <xf numFmtId="3" fontId="241" fillId="103" borderId="0" xfId="0" applyNumberFormat="1" applyFont="1" applyFill="1" applyBorder="1" applyAlignment="1">
      <alignment horizontal="center"/>
    </xf>
    <xf numFmtId="3" fontId="246" fillId="0" borderId="0" xfId="0" applyNumberFormat="1" applyFont="1"/>
    <xf numFmtId="3" fontId="231" fillId="0" borderId="0" xfId="0" applyNumberFormat="1" applyFont="1"/>
    <xf numFmtId="3" fontId="229" fillId="0" borderId="0" xfId="0" applyNumberFormat="1" applyFont="1"/>
    <xf numFmtId="0" fontId="8" fillId="14" borderId="0" xfId="0" applyFont="1" applyFill="1" applyBorder="1" applyAlignment="1">
      <alignment horizontal="center"/>
    </xf>
    <xf numFmtId="0" fontId="238" fillId="14" borderId="0" xfId="0" applyFont="1" applyFill="1" applyBorder="1" applyAlignment="1">
      <alignment horizontal="center"/>
    </xf>
    <xf numFmtId="3" fontId="247" fillId="0" borderId="0" xfId="0" applyNumberFormat="1" applyFont="1" applyBorder="1"/>
    <xf numFmtId="3" fontId="248" fillId="0" borderId="0" xfId="0" applyNumberFormat="1" applyFont="1" applyBorder="1"/>
    <xf numFmtId="0" fontId="249" fillId="17" borderId="0" xfId="0" applyFont="1" applyFill="1"/>
    <xf numFmtId="0" fontId="250" fillId="17" borderId="0" xfId="0" applyFont="1" applyFill="1"/>
    <xf numFmtId="0" fontId="246" fillId="4" borderId="0" xfId="0" applyFont="1" applyFill="1" applyBorder="1"/>
    <xf numFmtId="0" fontId="231" fillId="4" borderId="0" xfId="0" applyFont="1" applyFill="1" applyBorder="1"/>
    <xf numFmtId="3" fontId="246" fillId="4" borderId="0" xfId="0" applyNumberFormat="1" applyFont="1" applyFill="1" applyBorder="1"/>
    <xf numFmtId="3" fontId="231" fillId="4" borderId="0" xfId="0" applyNumberFormat="1" applyFont="1" applyFill="1" applyBorder="1"/>
    <xf numFmtId="0" fontId="225" fillId="0" borderId="0" xfId="0" applyFont="1" applyFill="1"/>
    <xf numFmtId="0" fontId="251" fillId="0" borderId="0" xfId="0" applyFont="1" applyFill="1" applyBorder="1" applyAlignment="1">
      <alignment horizontal="center"/>
    </xf>
    <xf numFmtId="3" fontId="253" fillId="0" borderId="80" xfId="0" applyNumberFormat="1" applyFont="1" applyFill="1" applyBorder="1"/>
    <xf numFmtId="171" fontId="252" fillId="0" borderId="0" xfId="0" applyNumberFormat="1" applyFont="1" applyFill="1" applyBorder="1" applyAlignment="1">
      <alignment horizontal="center"/>
    </xf>
    <xf numFmtId="3" fontId="254" fillId="0" borderId="0" xfId="0" applyNumberFormat="1" applyFont="1" applyFill="1" applyBorder="1"/>
    <xf numFmtId="3" fontId="225" fillId="0" borderId="0" xfId="0" applyNumberFormat="1" applyFont="1" applyFill="1"/>
    <xf numFmtId="3" fontId="255" fillId="0" borderId="0" xfId="0" applyNumberFormat="1" applyFont="1" applyFill="1" applyBorder="1"/>
    <xf numFmtId="0" fontId="255" fillId="0" borderId="0" xfId="0" applyFont="1" applyFill="1"/>
    <xf numFmtId="3" fontId="256" fillId="0" borderId="0" xfId="0" applyNumberFormat="1" applyFont="1" applyFill="1" applyBorder="1"/>
    <xf numFmtId="3" fontId="225" fillId="0" borderId="0" xfId="0" applyNumberFormat="1" applyFont="1" applyFill="1" applyBorder="1"/>
    <xf numFmtId="0" fontId="257" fillId="17" borderId="0" xfId="0" applyFont="1" applyFill="1"/>
    <xf numFmtId="0" fontId="225" fillId="0" borderId="0" xfId="0" applyFont="1" applyFill="1" applyBorder="1"/>
    <xf numFmtId="0" fontId="39" fillId="106" borderId="52" xfId="0" applyFont="1" applyFill="1" applyBorder="1"/>
    <xf numFmtId="0" fontId="69" fillId="106" borderId="37" xfId="0" applyFont="1" applyFill="1" applyBorder="1"/>
    <xf numFmtId="0" fontId="69" fillId="106" borderId="40" xfId="0" applyFont="1" applyFill="1" applyBorder="1"/>
    <xf numFmtId="0" fontId="39" fillId="107" borderId="52" xfId="0" applyFont="1" applyFill="1" applyBorder="1"/>
    <xf numFmtId="0" fontId="69" fillId="107" borderId="37" xfId="0" applyFont="1" applyFill="1" applyBorder="1"/>
    <xf numFmtId="0" fontId="69" fillId="107" borderId="40" xfId="0" applyFont="1" applyFill="1" applyBorder="1"/>
    <xf numFmtId="0" fontId="39" fillId="108" borderId="52" xfId="0" applyFont="1" applyFill="1" applyBorder="1"/>
    <xf numFmtId="0" fontId="69" fillId="108" borderId="37" xfId="0" applyFont="1" applyFill="1" applyBorder="1"/>
    <xf numFmtId="0" fontId="69" fillId="108" borderId="40" xfId="0" applyFont="1" applyFill="1" applyBorder="1"/>
    <xf numFmtId="0" fontId="39" fillId="109" borderId="52" xfId="0" applyFont="1" applyFill="1" applyBorder="1"/>
    <xf numFmtId="0" fontId="69" fillId="109" borderId="37" xfId="0" applyFont="1" applyFill="1" applyBorder="1"/>
    <xf numFmtId="0" fontId="69" fillId="109" borderId="40" xfId="0" applyFont="1" applyFill="1" applyBorder="1"/>
    <xf numFmtId="0" fontId="39" fillId="110" borderId="52" xfId="0" applyFont="1" applyFill="1" applyBorder="1"/>
    <xf numFmtId="0" fontId="69" fillId="110" borderId="37" xfId="0" applyFont="1" applyFill="1" applyBorder="1"/>
    <xf numFmtId="0" fontId="69" fillId="110" borderId="40" xfId="0" applyFont="1" applyFill="1" applyBorder="1"/>
    <xf numFmtId="0" fontId="258" fillId="16" borderId="0" xfId="0" applyFont="1" applyFill="1" applyBorder="1" applyAlignment="1">
      <alignment horizontal="right" vertical="center"/>
    </xf>
    <xf numFmtId="0" fontId="202" fillId="0" borderId="0" xfId="0" applyFont="1" applyBorder="1" applyAlignment="1">
      <alignment horizontal="center" vertical="center"/>
    </xf>
    <xf numFmtId="0" fontId="6" fillId="111" borderId="13" xfId="0" applyFont="1" applyFill="1" applyBorder="1" applyAlignment="1">
      <alignment horizontal="center" vertical="center" wrapText="1"/>
    </xf>
    <xf numFmtId="0" fontId="10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9" fontId="5" fillId="0" borderId="13" xfId="0" applyNumberFormat="1" applyFont="1" applyFill="1" applyBorder="1" applyAlignment="1">
      <alignment horizontal="center" vertical="center" wrapText="1"/>
    </xf>
    <xf numFmtId="169" fontId="164" fillId="72" borderId="0" xfId="1" applyNumberFormat="1" applyFont="1" applyFill="1" applyBorder="1" applyAlignment="1">
      <alignment horizontal="center" vertical="center"/>
    </xf>
    <xf numFmtId="169" fontId="164" fillId="14" borderId="0" xfId="1" applyNumberFormat="1" applyFont="1" applyFill="1" applyBorder="1" applyAlignment="1">
      <alignment horizontal="center" vertical="center"/>
    </xf>
    <xf numFmtId="167" fontId="162" fillId="0" borderId="0" xfId="1" applyFont="1" applyFill="1"/>
    <xf numFmtId="43" fontId="162" fillId="0" borderId="0" xfId="0" applyNumberFormat="1" applyFont="1" applyFill="1"/>
    <xf numFmtId="3" fontId="106" fillId="3" borderId="6" xfId="67" applyNumberFormat="1" applyFont="1" applyFill="1" applyBorder="1" applyAlignment="1">
      <alignment horizontal="right"/>
    </xf>
    <xf numFmtId="0" fontId="153" fillId="8" borderId="0" xfId="85" applyFont="1" applyFill="1" applyBorder="1" applyAlignment="1">
      <alignment horizontal="center"/>
    </xf>
    <xf numFmtId="0" fontId="200" fillId="0" borderId="13" xfId="0" applyFont="1" applyFill="1" applyBorder="1" applyAlignment="1">
      <alignment vertical="center"/>
    </xf>
    <xf numFmtId="0" fontId="35" fillId="0" borderId="49" xfId="0" applyFont="1" applyFill="1" applyBorder="1" applyAlignment="1">
      <alignment horizontal="center" vertical="center" wrapText="1"/>
    </xf>
    <xf numFmtId="0" fontId="35"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4" fillId="0" borderId="0" xfId="0" applyFont="1" applyAlignment="1">
      <alignment horizontal="left" vertical="center"/>
    </xf>
    <xf numFmtId="0" fontId="14"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8" fontId="0" fillId="0" borderId="0" xfId="0" applyNumberFormat="1" applyFont="1" applyAlignment="1">
      <alignment vertical="center"/>
    </xf>
    <xf numFmtId="0" fontId="0" fillId="0" borderId="0" xfId="0" applyFont="1" applyFill="1" applyAlignment="1">
      <alignment vertical="center"/>
    </xf>
    <xf numFmtId="0" fontId="56" fillId="0" borderId="69" xfId="0" applyFont="1" applyBorder="1" applyAlignment="1">
      <alignment horizontal="center" vertical="center" wrapText="1"/>
    </xf>
    <xf numFmtId="0" fontId="56" fillId="0" borderId="50" xfId="0" applyFont="1" applyBorder="1" applyAlignment="1">
      <alignment horizontal="center" vertical="center" wrapText="1"/>
    </xf>
    <xf numFmtId="0" fontId="56" fillId="3" borderId="50" xfId="0" applyFont="1" applyFill="1" applyBorder="1" applyAlignment="1">
      <alignment horizontal="center" vertical="center" wrapText="1"/>
    </xf>
    <xf numFmtId="0" fontId="56" fillId="0" borderId="88" xfId="0" applyFont="1" applyBorder="1" applyAlignment="1">
      <alignment horizontal="center" vertical="center" wrapText="1"/>
    </xf>
    <xf numFmtId="0" fontId="56" fillId="0" borderId="5" xfId="0" applyFont="1" applyBorder="1" applyAlignment="1">
      <alignment horizontal="center" vertical="center" wrapText="1"/>
    </xf>
    <xf numFmtId="10" fontId="56" fillId="0" borderId="5" xfId="2" applyNumberFormat="1" applyFont="1" applyBorder="1" applyAlignment="1">
      <alignment horizontal="center" vertical="center" wrapText="1"/>
    </xf>
    <xf numFmtId="169" fontId="200" fillId="0" borderId="13" xfId="1" applyNumberFormat="1" applyFont="1" applyBorder="1" applyAlignment="1">
      <alignment vertical="center"/>
    </xf>
    <xf numFmtId="169" fontId="200" fillId="3" borderId="13" xfId="1" applyNumberFormat="1" applyFont="1" applyFill="1" applyBorder="1" applyAlignment="1">
      <alignment vertical="center"/>
    </xf>
    <xf numFmtId="169" fontId="200" fillId="0" borderId="24" xfId="1" applyNumberFormat="1" applyFont="1" applyBorder="1" applyAlignment="1">
      <alignment vertical="center"/>
    </xf>
    <xf numFmtId="169" fontId="200" fillId="0" borderId="70" xfId="1" applyNumberFormat="1" applyFont="1" applyBorder="1" applyAlignment="1">
      <alignment vertical="center"/>
    </xf>
    <xf numFmtId="169" fontId="200" fillId="0" borderId="44" xfId="1" applyNumberFormat="1" applyFont="1" applyBorder="1" applyAlignment="1">
      <alignment vertical="center"/>
    </xf>
    <xf numFmtId="169" fontId="200" fillId="0" borderId="44" xfId="1" applyNumberFormat="1" applyFont="1" applyBorder="1"/>
    <xf numFmtId="169" fontId="200" fillId="0" borderId="13" xfId="1" applyNumberFormat="1" applyFont="1" applyBorder="1"/>
    <xf numFmtId="169" fontId="200" fillId="0" borderId="24" xfId="1" applyNumberFormat="1" applyFont="1" applyBorder="1"/>
    <xf numFmtId="0" fontId="200" fillId="0" borderId="13" xfId="0" applyFont="1" applyFill="1" applyBorder="1" applyAlignment="1">
      <alignment horizontal="center" vertical="center"/>
    </xf>
    <xf numFmtId="0" fontId="24" fillId="0" borderId="0" xfId="0" applyFont="1" applyAlignment="1">
      <alignment horizontal="left"/>
    </xf>
    <xf numFmtId="168" fontId="21" fillId="32" borderId="40" xfId="2" applyNumberFormat="1" applyFont="1" applyFill="1" applyBorder="1" applyAlignment="1">
      <alignment horizontal="right" vertical="center" wrapText="1"/>
    </xf>
    <xf numFmtId="169" fontId="21" fillId="32" borderId="8" xfId="1" applyNumberFormat="1" applyFont="1" applyFill="1" applyBorder="1"/>
    <xf numFmtId="168" fontId="12" fillId="32" borderId="8" xfId="2" applyNumberFormat="1" applyFont="1" applyFill="1" applyBorder="1"/>
    <xf numFmtId="168" fontId="132" fillId="0" borderId="129" xfId="2" applyNumberFormat="1" applyFont="1" applyFill="1" applyBorder="1" applyAlignment="1">
      <alignment horizontal="center" wrapText="1"/>
    </xf>
    <xf numFmtId="168" fontId="132" fillId="0" borderId="44" xfId="2" applyNumberFormat="1" applyFont="1" applyFill="1" applyBorder="1" applyAlignment="1">
      <alignment horizontal="center" wrapText="1"/>
    </xf>
    <xf numFmtId="168" fontId="132" fillId="0" borderId="130" xfId="2" applyNumberFormat="1" applyFont="1" applyFill="1" applyBorder="1" applyAlignment="1">
      <alignment horizontal="center" wrapText="1"/>
    </xf>
    <xf numFmtId="0" fontId="39" fillId="0" borderId="0" xfId="0" applyFont="1"/>
    <xf numFmtId="0" fontId="70" fillId="0" borderId="0" xfId="0" applyFont="1"/>
    <xf numFmtId="0" fontId="39" fillId="0" borderId="0" xfId="0" applyFont="1" applyAlignment="1">
      <alignment horizontal="center" vertical="center"/>
    </xf>
    <xf numFmtId="0" fontId="39" fillId="0" borderId="129" xfId="0" applyFont="1" applyBorder="1" applyAlignment="1">
      <alignment horizontal="center" vertical="center"/>
    </xf>
    <xf numFmtId="0" fontId="39" fillId="0" borderId="42" xfId="0" applyFont="1" applyBorder="1" applyAlignment="1">
      <alignment horizontal="center" vertical="center" wrapText="1"/>
    </xf>
    <xf numFmtId="1" fontId="39" fillId="0" borderId="42" xfId="0" applyNumberFormat="1" applyFont="1" applyBorder="1" applyAlignment="1">
      <alignment horizontal="center" vertical="center" wrapText="1"/>
    </xf>
    <xf numFmtId="1" fontId="39" fillId="0" borderId="43" xfId="0" applyNumberFormat="1" applyFont="1" applyBorder="1" applyAlignment="1">
      <alignment horizontal="center" vertical="center" wrapText="1"/>
    </xf>
    <xf numFmtId="0" fontId="70" fillId="0" borderId="0" xfId="0" applyFont="1" applyFill="1" applyAlignment="1">
      <alignment horizontal="center" vertical="center"/>
    </xf>
    <xf numFmtId="0" fontId="70" fillId="0" borderId="0" xfId="0" applyFont="1" applyAlignment="1">
      <alignment horizontal="center" vertical="center"/>
    </xf>
    <xf numFmtId="0" fontId="70" fillId="0" borderId="44" xfId="0" applyFont="1" applyBorder="1" applyAlignment="1">
      <alignment horizontal="center" vertical="center"/>
    </xf>
    <xf numFmtId="0" fontId="70" fillId="0" borderId="13" xfId="0" applyFont="1" applyBorder="1" applyAlignment="1">
      <alignment horizontal="center" vertical="center" wrapText="1"/>
    </xf>
    <xf numFmtId="169" fontId="70" fillId="0" borderId="13" xfId="1" applyNumberFormat="1" applyFont="1" applyBorder="1" applyAlignment="1">
      <alignment horizontal="center" vertical="center" wrapText="1"/>
    </xf>
    <xf numFmtId="169" fontId="70" fillId="0" borderId="45" xfId="1" applyNumberFormat="1" applyFont="1" applyBorder="1" applyAlignment="1">
      <alignment horizontal="center" vertical="center"/>
    </xf>
    <xf numFmtId="0" fontId="12" fillId="0" borderId="0" xfId="0" applyFont="1" applyFill="1" applyAlignment="1">
      <alignment horizontal="left" vertical="center"/>
    </xf>
    <xf numFmtId="169" fontId="70" fillId="0" borderId="13" xfId="1" applyNumberFormat="1" applyFont="1" applyBorder="1" applyAlignment="1">
      <alignment horizontal="center" vertical="center"/>
    </xf>
    <xf numFmtId="169" fontId="70" fillId="0" borderId="13" xfId="1" applyNumberFormat="1" applyFont="1" applyFill="1" applyBorder="1" applyAlignment="1">
      <alignment horizontal="center" vertical="center"/>
    </xf>
    <xf numFmtId="169" fontId="70" fillId="0" borderId="0" xfId="0" applyNumberFormat="1" applyFont="1"/>
    <xf numFmtId="169" fontId="70" fillId="0" borderId="0" xfId="0" applyNumberFormat="1" applyFont="1" applyFill="1"/>
    <xf numFmtId="0" fontId="7" fillId="16" borderId="53" xfId="0" applyFont="1" applyFill="1" applyBorder="1" applyAlignment="1">
      <alignment horizontal="center" vertical="center" wrapText="1"/>
    </xf>
    <xf numFmtId="0" fontId="7" fillId="16" borderId="314" xfId="0" applyFont="1" applyFill="1" applyBorder="1" applyAlignment="1">
      <alignment horizontal="center" vertical="center" wrapText="1"/>
    </xf>
    <xf numFmtId="0" fontId="7" fillId="16" borderId="313" xfId="0" applyFont="1" applyFill="1" applyBorder="1" applyAlignment="1">
      <alignment horizontal="center" vertical="center" wrapText="1"/>
    </xf>
    <xf numFmtId="0" fontId="7" fillId="16" borderId="43" xfId="0" applyFont="1" applyFill="1" applyBorder="1" applyAlignment="1">
      <alignment horizontal="center" vertical="center" wrapText="1"/>
    </xf>
    <xf numFmtId="0" fontId="70" fillId="16" borderId="37" xfId="0" applyFont="1" applyFill="1" applyBorder="1" applyAlignment="1">
      <alignment vertical="center" wrapText="1"/>
    </xf>
    <xf numFmtId="0" fontId="70" fillId="16" borderId="315" xfId="0" applyFont="1" applyFill="1" applyBorder="1" applyAlignment="1">
      <alignment vertical="center" wrapText="1"/>
    </xf>
    <xf numFmtId="3" fontId="70" fillId="16" borderId="263" xfId="0" applyNumberFormat="1" applyFont="1" applyFill="1" applyBorder="1" applyAlignment="1">
      <alignment vertical="center" wrapText="1"/>
    </xf>
    <xf numFmtId="3" fontId="70" fillId="16" borderId="90" xfId="0" applyNumberFormat="1" applyFont="1" applyFill="1" applyBorder="1" applyAlignment="1">
      <alignment vertical="center" wrapText="1"/>
    </xf>
    <xf numFmtId="0" fontId="15" fillId="16" borderId="0" xfId="0" applyFont="1" applyFill="1" applyBorder="1" applyAlignment="1">
      <alignment horizontal="left"/>
    </xf>
    <xf numFmtId="168" fontId="15" fillId="16" borderId="0" xfId="0" applyNumberFormat="1" applyFont="1" applyFill="1"/>
    <xf numFmtId="0" fontId="15" fillId="16" borderId="0" xfId="0" applyFont="1" applyFill="1"/>
    <xf numFmtId="10" fontId="50" fillId="72" borderId="9" xfId="0" applyNumberFormat="1" applyFont="1" applyFill="1" applyBorder="1"/>
    <xf numFmtId="10" fontId="50" fillId="13" borderId="33" xfId="0" applyNumberFormat="1" applyFont="1" applyFill="1" applyBorder="1"/>
    <xf numFmtId="0" fontId="15" fillId="0" borderId="35" xfId="0" applyFont="1" applyFill="1" applyBorder="1" applyAlignment="1">
      <alignment horizontal="left"/>
    </xf>
    <xf numFmtId="0" fontId="15" fillId="0" borderId="29" xfId="0" applyFont="1" applyFill="1" applyBorder="1" applyAlignment="1">
      <alignment horizontal="left"/>
    </xf>
    <xf numFmtId="168" fontId="15" fillId="0" borderId="29" xfId="0" applyNumberFormat="1" applyFont="1" applyFill="1" applyBorder="1"/>
    <xf numFmtId="168" fontId="15" fillId="0" borderId="30" xfId="0" applyNumberFormat="1" applyFont="1" applyFill="1" applyBorder="1"/>
    <xf numFmtId="0" fontId="220" fillId="0" borderId="293" xfId="0" applyFont="1" applyFill="1" applyBorder="1" applyAlignment="1">
      <alignment horizontal="center"/>
    </xf>
    <xf numFmtId="3" fontId="223" fillId="16" borderId="0" xfId="0" applyNumberFormat="1" applyFont="1" applyFill="1" applyBorder="1"/>
    <xf numFmtId="3" fontId="223" fillId="16" borderId="304" xfId="0" applyNumberFormat="1" applyFont="1" applyFill="1" applyBorder="1"/>
    <xf numFmtId="3" fontId="223" fillId="16" borderId="0" xfId="0" applyNumberFormat="1" applyFont="1" applyFill="1" applyBorder="1" applyAlignment="1">
      <alignment horizontal="center"/>
    </xf>
    <xf numFmtId="3" fontId="228" fillId="16" borderId="0" xfId="0" applyNumberFormat="1" applyFont="1" applyFill="1" applyBorder="1"/>
    <xf numFmtId="3" fontId="228" fillId="16" borderId="0" xfId="0" applyNumberFormat="1" applyFont="1" applyFill="1" applyBorder="1" applyAlignment="1">
      <alignment horizontal="right"/>
    </xf>
    <xf numFmtId="3" fontId="228" fillId="16" borderId="304" xfId="0" applyNumberFormat="1" applyFont="1" applyFill="1" applyBorder="1" applyAlignment="1">
      <alignment horizontal="right"/>
    </xf>
    <xf numFmtId="3" fontId="223" fillId="16" borderId="316" xfId="0" applyNumberFormat="1" applyFont="1" applyFill="1" applyBorder="1"/>
    <xf numFmtId="3" fontId="228" fillId="77" borderId="327" xfId="0" applyNumberFormat="1" applyFont="1" applyFill="1" applyBorder="1"/>
    <xf numFmtId="3" fontId="228" fillId="77" borderId="1" xfId="0" applyNumberFormat="1" applyFont="1" applyFill="1" applyBorder="1"/>
    <xf numFmtId="3" fontId="228" fillId="77" borderId="328" xfId="0" applyNumberFormat="1" applyFont="1" applyFill="1" applyBorder="1"/>
    <xf numFmtId="3" fontId="265" fillId="28" borderId="327" xfId="0" applyNumberFormat="1" applyFont="1" applyFill="1" applyBorder="1"/>
    <xf numFmtId="3" fontId="265" fillId="28" borderId="1" xfId="0" applyNumberFormat="1" applyFont="1" applyFill="1" applyBorder="1"/>
    <xf numFmtId="3" fontId="265" fillId="28" borderId="328" xfId="0" applyNumberFormat="1" applyFont="1" applyFill="1" applyBorder="1"/>
    <xf numFmtId="3" fontId="265" fillId="0" borderId="325" xfId="0" applyNumberFormat="1" applyFont="1" applyBorder="1"/>
    <xf numFmtId="3" fontId="265" fillId="0" borderId="73" xfId="0" applyNumberFormat="1" applyFont="1" applyBorder="1"/>
    <xf numFmtId="3" fontId="265" fillId="0" borderId="326" xfId="0" applyNumberFormat="1" applyFont="1" applyBorder="1"/>
    <xf numFmtId="3" fontId="265" fillId="78" borderId="325" xfId="0" applyNumberFormat="1" applyFont="1" applyFill="1" applyBorder="1"/>
    <xf numFmtId="3" fontId="265" fillId="78" borderId="73" xfId="0" applyNumberFormat="1" applyFont="1" applyFill="1" applyBorder="1"/>
    <xf numFmtId="3" fontId="265" fillId="78" borderId="326" xfId="0" applyNumberFormat="1" applyFont="1" applyFill="1" applyBorder="1"/>
    <xf numFmtId="3" fontId="228" fillId="16" borderId="163" xfId="0" applyNumberFormat="1" applyFont="1" applyFill="1" applyBorder="1"/>
    <xf numFmtId="3" fontId="228" fillId="16" borderId="164" xfId="0" applyNumberFormat="1" applyFont="1" applyFill="1" applyBorder="1"/>
    <xf numFmtId="3" fontId="228" fillId="16" borderId="179" xfId="0" applyNumberFormat="1" applyFont="1" applyFill="1" applyBorder="1"/>
    <xf numFmtId="3" fontId="228" fillId="16" borderId="180" xfId="0" applyNumberFormat="1" applyFont="1" applyFill="1" applyBorder="1"/>
    <xf numFmtId="3" fontId="228" fillId="16" borderId="181" xfId="0" applyNumberFormat="1" applyFont="1" applyFill="1" applyBorder="1"/>
    <xf numFmtId="3" fontId="228" fillId="16" borderId="221" xfId="0" applyNumberFormat="1" applyFont="1" applyFill="1" applyBorder="1"/>
    <xf numFmtId="3" fontId="228" fillId="16" borderId="222" xfId="0" applyNumberFormat="1" applyFont="1" applyFill="1" applyBorder="1"/>
    <xf numFmtId="3" fontId="228" fillId="16" borderId="325" xfId="0" applyNumberFormat="1" applyFont="1" applyFill="1" applyBorder="1"/>
    <xf numFmtId="3" fontId="228" fillId="16" borderId="73" xfId="0" applyNumberFormat="1" applyFont="1" applyFill="1" applyBorder="1"/>
    <xf numFmtId="3" fontId="228" fillId="16" borderId="326" xfId="0" applyNumberFormat="1" applyFont="1" applyFill="1" applyBorder="1"/>
    <xf numFmtId="3" fontId="266" fillId="16" borderId="316" xfId="0" applyNumberFormat="1" applyFont="1" applyFill="1" applyBorder="1"/>
    <xf numFmtId="3" fontId="266" fillId="16" borderId="132" xfId="0" applyNumberFormat="1" applyFont="1" applyFill="1" applyBorder="1"/>
    <xf numFmtId="3" fontId="266" fillId="16" borderId="77" xfId="0" applyNumberFormat="1" applyFont="1" applyFill="1" applyBorder="1"/>
    <xf numFmtId="3" fontId="266" fillId="16" borderId="317" xfId="0" applyNumberFormat="1" applyFont="1" applyFill="1" applyBorder="1"/>
    <xf numFmtId="3" fontId="228" fillId="72" borderId="186" xfId="0" applyNumberFormat="1" applyFont="1" applyFill="1" applyBorder="1"/>
    <xf numFmtId="3" fontId="228" fillId="72" borderId="1" xfId="0" applyNumberFormat="1" applyFont="1" applyFill="1" applyBorder="1"/>
    <xf numFmtId="3" fontId="228" fillId="72" borderId="187" xfId="0" applyNumberFormat="1" applyFont="1" applyFill="1" applyBorder="1"/>
    <xf numFmtId="3" fontId="228" fillId="27" borderId="186" xfId="0" applyNumberFormat="1" applyFont="1" applyFill="1" applyBorder="1"/>
    <xf numFmtId="3" fontId="228" fillId="27" borderId="1" xfId="0" applyNumberFormat="1" applyFont="1" applyFill="1" applyBorder="1"/>
    <xf numFmtId="3" fontId="228" fillId="27" borderId="187" xfId="0" applyNumberFormat="1" applyFont="1" applyFill="1" applyBorder="1"/>
    <xf numFmtId="3" fontId="228" fillId="29" borderId="188" xfId="0" applyNumberFormat="1" applyFont="1" applyFill="1" applyBorder="1"/>
    <xf numFmtId="3" fontId="228" fillId="29" borderId="0" xfId="0" applyNumberFormat="1" applyFont="1" applyFill="1" applyBorder="1"/>
    <xf numFmtId="3" fontId="228" fillId="29" borderId="135" xfId="0" applyNumberFormat="1" applyFont="1" applyFill="1" applyBorder="1"/>
    <xf numFmtId="3" fontId="228" fillId="14" borderId="131" xfId="0" applyNumberFormat="1" applyFont="1" applyFill="1" applyBorder="1"/>
    <xf numFmtId="3" fontId="228" fillId="14" borderId="0" xfId="0" applyNumberFormat="1" applyFont="1" applyFill="1" applyBorder="1"/>
    <xf numFmtId="3" fontId="228" fillId="14" borderId="72" xfId="0" applyNumberFormat="1" applyFont="1" applyFill="1" applyBorder="1"/>
    <xf numFmtId="3" fontId="228" fillId="30" borderId="131" xfId="0" applyNumberFormat="1" applyFont="1" applyFill="1" applyBorder="1"/>
    <xf numFmtId="3" fontId="228" fillId="30" borderId="0" xfId="0" applyNumberFormat="1" applyFont="1" applyFill="1" applyBorder="1"/>
    <xf numFmtId="3" fontId="228" fillId="30" borderId="72" xfId="0" applyNumberFormat="1" applyFont="1" applyFill="1" applyBorder="1"/>
    <xf numFmtId="3" fontId="267" fillId="27" borderId="0" xfId="0" applyNumberFormat="1" applyFont="1" applyFill="1" applyBorder="1"/>
    <xf numFmtId="3" fontId="267" fillId="2" borderId="0" xfId="0" applyNumberFormat="1" applyFont="1" applyFill="1" applyBorder="1"/>
    <xf numFmtId="3" fontId="267" fillId="76" borderId="0" xfId="0" applyNumberFormat="1" applyFont="1" applyFill="1" applyBorder="1"/>
    <xf numFmtId="3" fontId="268" fillId="14" borderId="0" xfId="0" applyNumberFormat="1" applyFont="1" applyFill="1" applyBorder="1"/>
    <xf numFmtId="3" fontId="265" fillId="0" borderId="31" xfId="0" applyNumberFormat="1" applyFont="1" applyFill="1" applyBorder="1"/>
    <xf numFmtId="3" fontId="265" fillId="0" borderId="32" xfId="0" applyNumberFormat="1" applyFont="1" applyFill="1" applyBorder="1"/>
    <xf numFmtId="3" fontId="228" fillId="16" borderId="152" xfId="0" applyNumberFormat="1" applyFont="1" applyFill="1" applyBorder="1"/>
    <xf numFmtId="3" fontId="228" fillId="77" borderId="23" xfId="0" applyNumberFormat="1" applyFont="1" applyFill="1" applyBorder="1"/>
    <xf numFmtId="3" fontId="228" fillId="77" borderId="63" xfId="0" applyNumberFormat="1" applyFont="1" applyFill="1" applyBorder="1"/>
    <xf numFmtId="9" fontId="224" fillId="0" borderId="0" xfId="2" applyFont="1" applyFill="1" applyAlignment="1">
      <alignment horizontal="center"/>
    </xf>
    <xf numFmtId="0" fontId="7" fillId="0" borderId="0" xfId="85" applyFont="1" applyFill="1"/>
    <xf numFmtId="0" fontId="6" fillId="0" borderId="0" xfId="85" applyFont="1" applyFill="1"/>
    <xf numFmtId="9" fontId="2" fillId="0" borderId="0" xfId="2" applyFont="1" applyFill="1" applyAlignment="1">
      <alignment horizontal="center"/>
    </xf>
    <xf numFmtId="0" fontId="7" fillId="0" borderId="0" xfId="85" applyFont="1" applyFill="1" applyBorder="1"/>
    <xf numFmtId="0" fontId="6" fillId="0" borderId="0" xfId="85" applyFont="1" applyFill="1" applyAlignment="1">
      <alignment vertical="center" wrapText="1"/>
    </xf>
    <xf numFmtId="0" fontId="7" fillId="0" borderId="0" xfId="85" applyFont="1" applyFill="1" applyAlignment="1">
      <alignment vertical="center"/>
    </xf>
    <xf numFmtId="9" fontId="109" fillId="0" borderId="33" xfId="2" applyFont="1" applyBorder="1" applyAlignment="1">
      <alignment vertical="center"/>
    </xf>
    <xf numFmtId="169" fontId="269" fillId="28" borderId="232" xfId="1" applyNumberFormat="1" applyFont="1" applyFill="1" applyBorder="1" applyAlignment="1">
      <alignment vertical="center" wrapText="1"/>
    </xf>
    <xf numFmtId="169" fontId="269" fillId="28" borderId="233" xfId="1" applyNumberFormat="1" applyFont="1" applyFill="1" applyBorder="1" applyAlignment="1">
      <alignment vertical="center" wrapText="1"/>
    </xf>
    <xf numFmtId="169" fontId="269" fillId="28" borderId="234" xfId="1" applyNumberFormat="1" applyFont="1" applyFill="1" applyBorder="1" applyAlignment="1">
      <alignment vertical="center" wrapText="1"/>
    </xf>
    <xf numFmtId="169" fontId="19" fillId="17" borderId="0" xfId="1" applyNumberFormat="1" applyFont="1" applyFill="1" applyAlignment="1">
      <alignment vertical="center"/>
    </xf>
    <xf numFmtId="168" fontId="153" fillId="0" borderId="33" xfId="2" applyNumberFormat="1" applyFont="1" applyBorder="1" applyAlignment="1">
      <alignment horizontal="center" vertical="center"/>
    </xf>
    <xf numFmtId="168" fontId="153" fillId="0" borderId="0" xfId="2" applyNumberFormat="1" applyFont="1" applyBorder="1" applyAlignment="1">
      <alignment horizontal="center"/>
    </xf>
    <xf numFmtId="167" fontId="5" fillId="0" borderId="34" xfId="1" applyFont="1" applyBorder="1" applyAlignment="1">
      <alignment horizontal="center"/>
    </xf>
    <xf numFmtId="167" fontId="19" fillId="0" borderId="0" xfId="1" applyFont="1"/>
    <xf numFmtId="167" fontId="0" fillId="0" borderId="0" xfId="1" applyFont="1"/>
    <xf numFmtId="168" fontId="45" fillId="0" borderId="0" xfId="2" applyNumberFormat="1" applyFont="1"/>
    <xf numFmtId="2" fontId="73" fillId="0" borderId="11" xfId="0" applyNumberFormat="1" applyFont="1" applyFill="1" applyBorder="1" applyAlignment="1">
      <alignment horizontal="center"/>
    </xf>
    <xf numFmtId="2" fontId="73" fillId="13" borderId="11" xfId="0" applyNumberFormat="1" applyFont="1" applyFill="1" applyBorder="1" applyAlignment="1">
      <alignment horizontal="center"/>
    </xf>
    <xf numFmtId="2" fontId="129" fillId="32" borderId="84" xfId="0" applyNumberFormat="1" applyFont="1" applyFill="1" applyBorder="1" applyAlignment="1">
      <alignment horizontal="center" vertical="center"/>
    </xf>
    <xf numFmtId="0" fontId="107" fillId="0" borderId="0" xfId="0" applyFont="1" applyAlignment="1">
      <alignment horizontal="left" vertical="center" wrapText="1"/>
    </xf>
    <xf numFmtId="0" fontId="23" fillId="0" borderId="0" xfId="4" applyAlignment="1" applyProtection="1"/>
    <xf numFmtId="168" fontId="58" fillId="32" borderId="0" xfId="2" applyNumberFormat="1" applyFont="1" applyFill="1" applyBorder="1" applyAlignment="1">
      <alignment horizontal="center"/>
    </xf>
    <xf numFmtId="0" fontId="155" fillId="3" borderId="0" xfId="0" applyFont="1" applyFill="1" applyBorder="1" applyAlignment="1">
      <alignment horizontal="center" vertical="center" wrapText="1"/>
    </xf>
    <xf numFmtId="168" fontId="214" fillId="100" borderId="66" xfId="2" applyNumberFormat="1" applyFont="1" applyFill="1" applyBorder="1"/>
    <xf numFmtId="3" fontId="272" fillId="72" borderId="6" xfId="67" applyNumberFormat="1" applyFont="1" applyFill="1" applyBorder="1" applyAlignment="1">
      <alignment horizontal="right"/>
    </xf>
    <xf numFmtId="10" fontId="15" fillId="28" borderId="0" xfId="0" applyNumberFormat="1" applyFont="1" applyFill="1" applyBorder="1"/>
    <xf numFmtId="10" fontId="15" fillId="28"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98" fillId="0" borderId="12" xfId="0" applyFont="1" applyFill="1" applyBorder="1" applyAlignment="1">
      <alignment vertical="center"/>
    </xf>
    <xf numFmtId="0" fontId="35" fillId="0" borderId="0" xfId="0" applyFont="1" applyAlignment="1">
      <alignment horizontal="left" vertical="center"/>
    </xf>
    <xf numFmtId="17" fontId="35" fillId="0" borderId="0" xfId="0" applyNumberFormat="1" applyFont="1" applyAlignment="1">
      <alignment horizontal="left" vertical="center"/>
    </xf>
    <xf numFmtId="0" fontId="76" fillId="0" borderId="0" xfId="23" applyFont="1" applyBorder="1" applyAlignment="1">
      <alignment horizontal="left" vertical="center" wrapText="1"/>
    </xf>
    <xf numFmtId="0" fontId="0" fillId="0" borderId="0" xfId="0" applyAlignment="1">
      <alignment horizontal="left" vertical="center"/>
    </xf>
    <xf numFmtId="0" fontId="77" fillId="0" borderId="111" xfId="23" applyFont="1" applyBorder="1" applyAlignment="1">
      <alignment horizontal="center" vertical="center" wrapText="1"/>
    </xf>
    <xf numFmtId="3" fontId="77" fillId="0" borderId="112" xfId="23" applyNumberFormat="1" applyFont="1" applyBorder="1" applyAlignment="1">
      <alignment horizontal="center" vertical="center" wrapText="1"/>
    </xf>
    <xf numFmtId="0" fontId="77" fillId="0" borderId="113" xfId="23" applyFont="1" applyBorder="1" applyAlignment="1">
      <alignment horizontal="center" vertical="center" wrapText="1"/>
    </xf>
    <xf numFmtId="169" fontId="78" fillId="0" borderId="0" xfId="1" applyNumberFormat="1" applyFont="1" applyFill="1" applyBorder="1" applyAlignment="1">
      <alignment horizontal="center" vertical="center"/>
    </xf>
    <xf numFmtId="169" fontId="77" fillId="0" borderId="0" xfId="1" applyNumberFormat="1" applyFont="1" applyFill="1" applyBorder="1" applyAlignment="1">
      <alignment horizontal="center" vertical="center"/>
    </xf>
    <xf numFmtId="169" fontId="273" fillId="0" borderId="0" xfId="1" applyNumberFormat="1" applyFont="1" applyFill="1" applyBorder="1" applyAlignment="1">
      <alignment horizontal="center" vertical="center"/>
    </xf>
    <xf numFmtId="3" fontId="101" fillId="0" borderId="88" xfId="0" applyNumberFormat="1" applyFont="1" applyFill="1" applyBorder="1" applyAlignment="1">
      <alignment horizontal="center" vertical="center" wrapText="1"/>
    </xf>
    <xf numFmtId="174" fontId="10" fillId="0" borderId="332" xfId="23" applyNumberFormat="1" applyFont="1" applyFill="1" applyBorder="1" applyAlignment="1">
      <alignment horizontal="center" vertical="center"/>
    </xf>
    <xf numFmtId="174" fontId="215" fillId="99" borderId="332" xfId="23" applyNumberFormat="1" applyFont="1" applyFill="1" applyBorder="1" applyAlignment="1">
      <alignment horizontal="center" vertical="center"/>
    </xf>
    <xf numFmtId="0" fontId="10" fillId="0" borderId="333" xfId="23" applyFont="1" applyFill="1" applyBorder="1" applyAlignment="1">
      <alignment horizontal="center" vertical="center" wrapText="1"/>
    </xf>
    <xf numFmtId="0" fontId="70" fillId="0" borderId="13" xfId="0" applyFont="1" applyFill="1" applyBorder="1"/>
    <xf numFmtId="168" fontId="10" fillId="0" borderId="13" xfId="2" applyNumberFormat="1" applyFont="1" applyFill="1" applyBorder="1" applyAlignment="1">
      <alignment horizontal="center" vertical="top" wrapText="1"/>
    </xf>
    <xf numFmtId="3" fontId="70" fillId="0" borderId="13" xfId="0" applyNumberFormat="1" applyFont="1" applyFill="1" applyBorder="1" applyAlignment="1">
      <alignment horizontal="center" vertical="center"/>
    </xf>
    <xf numFmtId="0" fontId="70" fillId="0" borderId="13" xfId="0" applyFont="1" applyFill="1" applyBorder="1" applyAlignment="1">
      <alignment horizontal="center" vertical="center"/>
    </xf>
    <xf numFmtId="2" fontId="70" fillId="0" borderId="13" xfId="0" applyNumberFormat="1" applyFont="1" applyFill="1" applyBorder="1" applyAlignment="1">
      <alignment horizontal="center" vertical="center"/>
    </xf>
    <xf numFmtId="3" fontId="0" fillId="0" borderId="13" xfId="0" applyNumberFormat="1" applyBorder="1" applyAlignment="1">
      <alignment horizontal="center"/>
    </xf>
    <xf numFmtId="0" fontId="0" fillId="0" borderId="13" xfId="0" applyBorder="1" applyAlignment="1">
      <alignment horizontal="left" indent="1"/>
    </xf>
    <xf numFmtId="9" fontId="14" fillId="0" borderId="13" xfId="2" applyFont="1" applyBorder="1" applyAlignment="1">
      <alignment horizontal="left" indent="1"/>
    </xf>
    <xf numFmtId="3" fontId="0" fillId="0" borderId="13" xfId="0" applyNumberFormat="1" applyFill="1" applyBorder="1" applyAlignment="1">
      <alignment horizontal="center"/>
    </xf>
    <xf numFmtId="4" fontId="200" fillId="0" borderId="13" xfId="0" applyNumberFormat="1" applyFont="1" applyFill="1" applyBorder="1" applyAlignment="1">
      <alignment horizontal="center" vertical="center"/>
    </xf>
    <xf numFmtId="0" fontId="96" fillId="99" borderId="13" xfId="0" applyFont="1" applyFill="1" applyBorder="1" applyAlignment="1">
      <alignment horizontal="left" indent="1"/>
    </xf>
    <xf numFmtId="9" fontId="217" fillId="99" borderId="13" xfId="2" applyFont="1" applyFill="1" applyBorder="1" applyAlignment="1">
      <alignment horizontal="left" indent="1"/>
    </xf>
    <xf numFmtId="3" fontId="96" fillId="99" borderId="13" xfId="0" applyNumberFormat="1" applyFont="1" applyFill="1" applyBorder="1" applyAlignment="1">
      <alignment horizontal="center"/>
    </xf>
    <xf numFmtId="4" fontId="96" fillId="99" borderId="13" xfId="0" applyNumberFormat="1" applyFont="1" applyFill="1" applyBorder="1" applyAlignment="1">
      <alignment horizontal="center" vertical="center"/>
    </xf>
    <xf numFmtId="0" fontId="52"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9" fontId="52"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9" fillId="0" borderId="47" xfId="0" applyNumberFormat="1" applyFont="1" applyFill="1" applyBorder="1" applyAlignment="1">
      <alignment horizontal="center" vertical="center"/>
    </xf>
    <xf numFmtId="2" fontId="39" fillId="0" borderId="47" xfId="0" applyNumberFormat="1" applyFont="1" applyFill="1" applyBorder="1" applyAlignment="1">
      <alignment horizontal="center" vertical="center"/>
    </xf>
    <xf numFmtId="0" fontId="70" fillId="0" borderId="47" xfId="0" applyFont="1" applyFill="1" applyBorder="1"/>
    <xf numFmtId="0" fontId="35" fillId="0" borderId="47" xfId="0" applyFont="1" applyBorder="1" applyAlignment="1">
      <alignment horizontal="left" indent="1"/>
    </xf>
    <xf numFmtId="9" fontId="22" fillId="0" borderId="47" xfId="2" applyFont="1" applyBorder="1" applyAlignment="1">
      <alignment horizontal="left" indent="1"/>
    </xf>
    <xf numFmtId="3" fontId="35" fillId="0" borderId="47" xfId="0" applyNumberFormat="1" applyFont="1" applyBorder="1" applyAlignment="1">
      <alignment horizontal="center"/>
    </xf>
    <xf numFmtId="3" fontId="35" fillId="0" borderId="47" xfId="0" applyNumberFormat="1" applyFont="1" applyFill="1" applyBorder="1" applyAlignment="1">
      <alignment horizontal="center"/>
    </xf>
    <xf numFmtId="4" fontId="39" fillId="0" borderId="47" xfId="0" applyNumberFormat="1" applyFont="1" applyFill="1" applyBorder="1" applyAlignment="1">
      <alignment horizontal="center" vertical="center"/>
    </xf>
    <xf numFmtId="0" fontId="70" fillId="0" borderId="48" xfId="0" applyFont="1" applyFill="1" applyBorder="1"/>
    <xf numFmtId="0" fontId="7" fillId="0" borderId="284" xfId="0" applyFont="1" applyFill="1" applyBorder="1" applyAlignment="1">
      <alignment horizontal="left" vertical="center" indent="1"/>
    </xf>
    <xf numFmtId="168" fontId="10" fillId="0" borderId="20" xfId="2" applyNumberFormat="1" applyFont="1" applyFill="1" applyBorder="1" applyAlignment="1">
      <alignment horizontal="center" vertical="top" wrapText="1"/>
    </xf>
    <xf numFmtId="3" fontId="70" fillId="0" borderId="20" xfId="0" applyNumberFormat="1" applyFont="1" applyFill="1" applyBorder="1" applyAlignment="1">
      <alignment horizontal="center" vertical="center"/>
    </xf>
    <xf numFmtId="0" fontId="70" fillId="0" borderId="20" xfId="0" applyFont="1" applyFill="1" applyBorder="1" applyAlignment="1">
      <alignment horizontal="center" vertical="center"/>
    </xf>
    <xf numFmtId="2" fontId="70" fillId="0" borderId="20" xfId="0" applyNumberFormat="1" applyFont="1" applyFill="1" applyBorder="1" applyAlignment="1">
      <alignment horizontal="center" vertical="center"/>
    </xf>
    <xf numFmtId="0" fontId="70" fillId="0" borderId="20" xfId="0" applyFont="1" applyFill="1" applyBorder="1"/>
    <xf numFmtId="0" fontId="18" fillId="0" borderId="20" xfId="0" applyFont="1" applyFill="1" applyBorder="1" applyAlignment="1">
      <alignment horizontal="left" vertical="center" indent="1"/>
    </xf>
    <xf numFmtId="9" fontId="216" fillId="0" borderId="20" xfId="2" applyFont="1" applyFill="1" applyBorder="1" applyAlignment="1">
      <alignment horizontal="left" vertical="center" indent="1"/>
    </xf>
    <xf numFmtId="3" fontId="0" fillId="0" borderId="20" xfId="0" applyNumberFormat="1" applyBorder="1" applyAlignment="1">
      <alignment horizontal="center"/>
    </xf>
    <xf numFmtId="0" fontId="0" fillId="0" borderId="20" xfId="0" applyFill="1" applyBorder="1"/>
    <xf numFmtId="3" fontId="200" fillId="0" borderId="20" xfId="0" applyNumberFormat="1" applyFont="1" applyFill="1" applyBorder="1" applyAlignment="1">
      <alignment horizontal="center" vertical="center"/>
    </xf>
    <xf numFmtId="169" fontId="52" fillId="0" borderId="55" xfId="1" applyNumberFormat="1" applyFont="1" applyFill="1" applyBorder="1" applyAlignment="1">
      <alignment horizontal="center" vertical="center"/>
    </xf>
    <xf numFmtId="3" fontId="101" fillId="0" borderId="50" xfId="0" applyNumberFormat="1" applyFont="1" applyFill="1" applyBorder="1" applyAlignment="1">
      <alignment horizontal="center" vertical="center" wrapText="1"/>
    </xf>
    <xf numFmtId="0" fontId="100" fillId="0" borderId="50" xfId="83" applyFont="1" applyFill="1" applyBorder="1" applyAlignment="1">
      <alignment horizontal="center" vertical="center" wrapText="1"/>
    </xf>
    <xf numFmtId="0" fontId="70" fillId="0" borderId="50" xfId="0" applyFont="1" applyFill="1" applyBorder="1"/>
    <xf numFmtId="3" fontId="199" fillId="14" borderId="50" xfId="0" applyNumberFormat="1" applyFont="1" applyFill="1" applyBorder="1" applyAlignment="1">
      <alignment horizontal="center" vertical="center" wrapText="1"/>
    </xf>
    <xf numFmtId="0" fontId="50" fillId="14" borderId="50" xfId="83" applyFont="1" applyFill="1" applyBorder="1" applyAlignment="1">
      <alignment horizontal="center" vertical="center" wrapText="1"/>
    </xf>
    <xf numFmtId="0" fontId="52" fillId="0" borderId="51" xfId="23" applyFont="1" applyBorder="1" applyAlignment="1">
      <alignment horizontal="center" vertical="center" wrapText="1"/>
    </xf>
    <xf numFmtId="3" fontId="12" fillId="0" borderId="0" xfId="0" applyNumberFormat="1" applyFont="1" applyFill="1"/>
    <xf numFmtId="0" fontId="12" fillId="0" borderId="0" xfId="0" applyFont="1" applyFill="1" applyAlignment="1">
      <alignment horizontal="center"/>
    </xf>
    <xf numFmtId="0" fontId="270" fillId="0" borderId="0" xfId="0" applyFont="1" applyFill="1" applyAlignment="1">
      <alignment horizontal="center" vertical="center"/>
    </xf>
    <xf numFmtId="9" fontId="270" fillId="0" borderId="0" xfId="2" applyFont="1" applyFill="1"/>
    <xf numFmtId="3" fontId="12" fillId="86" borderId="13" xfId="0" applyNumberFormat="1" applyFont="1" applyFill="1" applyBorder="1" applyAlignment="1">
      <alignment vertical="center"/>
    </xf>
    <xf numFmtId="4" fontId="12" fillId="86" borderId="13" xfId="0" applyNumberFormat="1" applyFont="1" applyFill="1" applyBorder="1" applyAlignment="1">
      <alignment vertical="center"/>
    </xf>
    <xf numFmtId="9" fontId="12" fillId="86" borderId="13" xfId="2" applyFont="1" applyFill="1" applyBorder="1" applyAlignment="1">
      <alignment vertical="center"/>
    </xf>
    <xf numFmtId="0" fontId="12" fillId="86" borderId="44" xfId="0" applyFont="1" applyFill="1" applyBorder="1" applyAlignment="1">
      <alignment vertical="center"/>
    </xf>
    <xf numFmtId="169" fontId="12" fillId="86" borderId="45" xfId="1" applyNumberFormat="1" applyFont="1" applyFill="1" applyBorder="1" applyAlignment="1">
      <alignment vertical="center"/>
    </xf>
    <xf numFmtId="0" fontId="12" fillId="86" borderId="46" xfId="0" applyFont="1" applyFill="1" applyBorder="1" applyAlignment="1">
      <alignment vertical="center"/>
    </xf>
    <xf numFmtId="3" fontId="12" fillId="86" borderId="47" xfId="0" applyNumberFormat="1" applyFont="1" applyFill="1" applyBorder="1" applyAlignment="1">
      <alignment vertical="center"/>
    </xf>
    <xf numFmtId="4" fontId="12" fillId="86" borderId="47" xfId="0" applyNumberFormat="1" applyFont="1" applyFill="1" applyBorder="1" applyAlignment="1">
      <alignment vertical="center"/>
    </xf>
    <xf numFmtId="9" fontId="12" fillId="86" borderId="47" xfId="2" applyFont="1" applyFill="1" applyBorder="1" applyAlignment="1">
      <alignment vertical="center"/>
    </xf>
    <xf numFmtId="169" fontId="12" fillId="86" borderId="48" xfId="1" applyNumberFormat="1" applyFont="1" applyFill="1" applyBorder="1" applyAlignment="1">
      <alignment vertical="center"/>
    </xf>
    <xf numFmtId="0" fontId="12" fillId="86" borderId="284" xfId="0" applyFont="1" applyFill="1" applyBorder="1" applyAlignment="1">
      <alignment vertical="center"/>
    </xf>
    <xf numFmtId="3" fontId="12" fillId="86" borderId="20" xfId="0" applyNumberFormat="1" applyFont="1" applyFill="1" applyBorder="1" applyAlignment="1">
      <alignment vertical="center"/>
    </xf>
    <xf numFmtId="4" fontId="12" fillId="86" borderId="20" xfId="0" applyNumberFormat="1" applyFont="1" applyFill="1" applyBorder="1" applyAlignment="1">
      <alignment vertical="center"/>
    </xf>
    <xf numFmtId="9" fontId="12" fillId="86" borderId="20" xfId="2" applyFont="1" applyFill="1" applyBorder="1" applyAlignment="1">
      <alignment vertical="center"/>
    </xf>
    <xf numFmtId="169" fontId="12" fillId="86" borderId="55" xfId="1" applyNumberFormat="1" applyFont="1" applyFill="1" applyBorder="1" applyAlignment="1">
      <alignment vertical="center"/>
    </xf>
    <xf numFmtId="17" fontId="12" fillId="86" borderId="49" xfId="0" applyNumberFormat="1" applyFont="1" applyFill="1" applyBorder="1" applyAlignment="1">
      <alignment horizontal="center" vertical="center"/>
    </xf>
    <xf numFmtId="0" fontId="12" fillId="86" borderId="50" xfId="0" applyFont="1" applyFill="1" applyBorder="1" applyAlignment="1">
      <alignment horizontal="center" vertical="center"/>
    </xf>
    <xf numFmtId="0" fontId="12" fillId="86" borderId="51" xfId="0" applyFont="1" applyFill="1" applyBorder="1" applyAlignment="1">
      <alignment horizontal="center" vertical="center" wrapText="1"/>
    </xf>
    <xf numFmtId="0" fontId="0" fillId="0" borderId="0" xfId="0" applyFill="1" applyAlignment="1">
      <alignment horizontal="center"/>
    </xf>
    <xf numFmtId="0" fontId="76" fillId="0" borderId="0" xfId="23" applyFont="1" applyFill="1" applyBorder="1" applyAlignment="1">
      <alignment horizontal="center" vertical="center" wrapText="1"/>
    </xf>
    <xf numFmtId="0" fontId="52" fillId="0" borderId="0" xfId="23" applyFont="1" applyFill="1" applyBorder="1" applyAlignment="1">
      <alignment horizontal="center" vertical="center" wrapText="1"/>
    </xf>
    <xf numFmtId="174" fontId="77" fillId="0" borderId="0" xfId="23" applyNumberFormat="1" applyFont="1" applyFill="1" applyBorder="1" applyAlignment="1">
      <alignment horizontal="center" vertical="center"/>
    </xf>
    <xf numFmtId="169" fontId="101" fillId="0" borderId="0" xfId="1" applyNumberFormat="1" applyFont="1" applyFill="1" applyBorder="1" applyAlignment="1">
      <alignment horizontal="center" vertical="center"/>
    </xf>
    <xf numFmtId="169" fontId="78"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78" fillId="28" borderId="13" xfId="23" applyNumberFormat="1" applyFont="1" applyFill="1" applyBorder="1" applyAlignment="1">
      <alignment horizontal="center" vertical="center"/>
    </xf>
    <xf numFmtId="179" fontId="78" fillId="28" borderId="13" xfId="23" applyNumberFormat="1" applyFont="1" applyFill="1" applyBorder="1" applyAlignment="1">
      <alignment horizontal="center" vertical="center"/>
    </xf>
    <xf numFmtId="3" fontId="77" fillId="0" borderId="13" xfId="23" applyNumberFormat="1" applyFont="1" applyBorder="1" applyAlignment="1">
      <alignment horizontal="center" vertical="center"/>
    </xf>
    <xf numFmtId="174" fontId="77" fillId="0" borderId="13" xfId="23" applyNumberFormat="1" applyFont="1" applyBorder="1" applyAlignment="1">
      <alignment horizontal="center" vertical="center"/>
    </xf>
    <xf numFmtId="179" fontId="77" fillId="0" borderId="13" xfId="23" applyNumberFormat="1" applyFont="1" applyBorder="1" applyAlignment="1">
      <alignment horizontal="center" vertical="center"/>
    </xf>
    <xf numFmtId="3" fontId="101" fillId="28" borderId="13" xfId="23" applyNumberFormat="1" applyFont="1" applyFill="1" applyBorder="1" applyAlignment="1">
      <alignment horizontal="center" vertical="center"/>
    </xf>
    <xf numFmtId="179" fontId="101" fillId="28" borderId="13" xfId="23" applyNumberFormat="1" applyFont="1" applyFill="1" applyBorder="1" applyAlignment="1">
      <alignment horizontal="center" vertical="center"/>
    </xf>
    <xf numFmtId="3" fontId="77" fillId="16" borderId="13" xfId="23" applyNumberFormat="1" applyFont="1" applyFill="1" applyBorder="1" applyAlignment="1">
      <alignment horizontal="center" vertical="center"/>
    </xf>
    <xf numFmtId="3" fontId="10" fillId="0" borderId="13" xfId="23" applyNumberFormat="1" applyFont="1" applyFill="1" applyBorder="1" applyAlignment="1">
      <alignment horizontal="center" vertical="center"/>
    </xf>
    <xf numFmtId="0" fontId="77" fillId="0" borderId="129" xfId="23" applyFont="1" applyBorder="1" applyAlignment="1">
      <alignment horizontal="center" vertical="center" wrapText="1"/>
    </xf>
    <xf numFmtId="3" fontId="77" fillId="0" borderId="42" xfId="23" applyNumberFormat="1" applyFont="1" applyBorder="1" applyAlignment="1">
      <alignment horizontal="center" vertical="center" wrapText="1"/>
    </xf>
    <xf numFmtId="0" fontId="78" fillId="28" borderId="44" xfId="23" applyFont="1" applyFill="1" applyBorder="1" applyAlignment="1">
      <alignment horizontal="left" vertical="center" wrapText="1"/>
    </xf>
    <xf numFmtId="0" fontId="77" fillId="0" borderId="44" xfId="23" applyFont="1" applyBorder="1" applyAlignment="1">
      <alignment horizontal="left" vertical="center" wrapText="1"/>
    </xf>
    <xf numFmtId="0" fontId="78" fillId="28" borderId="44" xfId="23" applyFont="1" applyFill="1" applyBorder="1" applyAlignment="1">
      <alignment horizontal="center" vertical="center" wrapText="1"/>
    </xf>
    <xf numFmtId="0" fontId="78" fillId="28" borderId="46" xfId="23" applyFont="1" applyFill="1" applyBorder="1" applyAlignment="1">
      <alignment horizontal="left" vertical="center" wrapText="1"/>
    </xf>
    <xf numFmtId="3" fontId="78" fillId="28" borderId="47" xfId="23" applyNumberFormat="1" applyFont="1" applyFill="1" applyBorder="1" applyAlignment="1">
      <alignment horizontal="center" vertical="center"/>
    </xf>
    <xf numFmtId="0" fontId="77" fillId="0" borderId="42" xfId="23" applyFont="1" applyBorder="1" applyAlignment="1">
      <alignment horizontal="center" vertical="center" wrapText="1"/>
    </xf>
    <xf numFmtId="169" fontId="78" fillId="28" borderId="45" xfId="1" applyNumberFormat="1" applyFont="1" applyFill="1" applyBorder="1" applyAlignment="1">
      <alignment horizontal="center" vertical="center"/>
    </xf>
    <xf numFmtId="169" fontId="77" fillId="0" borderId="45" xfId="1" applyNumberFormat="1" applyFont="1" applyBorder="1" applyAlignment="1">
      <alignment horizontal="center" vertical="center"/>
    </xf>
    <xf numFmtId="169" fontId="101" fillId="28" borderId="45" xfId="1" applyNumberFormat="1" applyFont="1" applyFill="1" applyBorder="1" applyAlignment="1">
      <alignment horizontal="center" vertical="center"/>
    </xf>
    <xf numFmtId="172" fontId="78" fillId="28" borderId="47" xfId="23" applyNumberFormat="1" applyFont="1" applyFill="1" applyBorder="1" applyAlignment="1">
      <alignment horizontal="center" vertical="center" wrapText="1"/>
    </xf>
    <xf numFmtId="169" fontId="78" fillId="28" borderId="48" xfId="1" applyNumberFormat="1" applyFont="1" applyFill="1" applyBorder="1" applyAlignment="1">
      <alignment horizontal="center" vertical="center" wrapText="1"/>
    </xf>
    <xf numFmtId="0" fontId="78" fillId="28" borderId="284" xfId="23" applyFont="1" applyFill="1" applyBorder="1" applyAlignment="1">
      <alignment horizontal="center" vertical="center" wrapText="1"/>
    </xf>
    <xf numFmtId="3" fontId="78" fillId="28" borderId="20" xfId="23" applyNumberFormat="1" applyFont="1" applyFill="1" applyBorder="1" applyAlignment="1">
      <alignment horizontal="center" vertical="center"/>
    </xf>
    <xf numFmtId="179" fontId="78" fillId="28" borderId="20" xfId="23" applyNumberFormat="1" applyFont="1" applyFill="1" applyBorder="1" applyAlignment="1">
      <alignment horizontal="center" vertical="center"/>
    </xf>
    <xf numFmtId="169" fontId="78" fillId="28" borderId="55" xfId="1" applyNumberFormat="1" applyFont="1" applyFill="1" applyBorder="1" applyAlignment="1">
      <alignment horizontal="center" vertical="center"/>
    </xf>
    <xf numFmtId="0" fontId="77" fillId="0" borderId="46" xfId="23" applyFont="1" applyBorder="1" applyAlignment="1">
      <alignment horizontal="left" vertical="center" wrapText="1"/>
    </xf>
    <xf numFmtId="3" fontId="77" fillId="0" borderId="47" xfId="23" applyNumberFormat="1" applyFont="1" applyBorder="1" applyAlignment="1">
      <alignment horizontal="center" vertical="center"/>
    </xf>
    <xf numFmtId="174" fontId="77" fillId="0" borderId="47" xfId="23" applyNumberFormat="1" applyFont="1" applyBorder="1" applyAlignment="1">
      <alignment horizontal="center" vertical="center"/>
    </xf>
    <xf numFmtId="174" fontId="77" fillId="0" borderId="48" xfId="23" applyNumberFormat="1" applyFont="1" applyBorder="1" applyAlignment="1">
      <alignment horizontal="center" vertical="center"/>
    </xf>
    <xf numFmtId="0" fontId="107" fillId="0" borderId="0" xfId="0" applyFont="1" applyAlignment="1">
      <alignment horizontal="left" vertical="center" wrapText="1"/>
    </xf>
    <xf numFmtId="0" fontId="0" fillId="0" borderId="0" xfId="0" applyAlignment="1">
      <alignment horizontal="center"/>
    </xf>
    <xf numFmtId="0" fontId="275" fillId="114" borderId="0" xfId="0" applyFont="1" applyFill="1" applyAlignment="1">
      <alignment vertical="center"/>
    </xf>
    <xf numFmtId="3" fontId="200" fillId="114" borderId="0" xfId="0" applyNumberFormat="1" applyFont="1" applyFill="1" applyAlignment="1">
      <alignment horizontal="right" vertical="center"/>
    </xf>
    <xf numFmtId="0" fontId="275" fillId="0" borderId="0" xfId="0" applyFont="1" applyAlignment="1">
      <alignment vertical="center"/>
    </xf>
    <xf numFmtId="3" fontId="200" fillId="0" borderId="0" xfId="0" applyNumberFormat="1" applyFont="1" applyAlignment="1">
      <alignment horizontal="right" vertical="center"/>
    </xf>
    <xf numFmtId="0" fontId="275" fillId="27" borderId="0" xfId="0" applyFont="1" applyFill="1" applyAlignment="1">
      <alignment vertical="center"/>
    </xf>
    <xf numFmtId="0" fontId="275" fillId="115" borderId="0" xfId="0" applyFont="1" applyFill="1" applyAlignment="1">
      <alignment vertical="center"/>
    </xf>
    <xf numFmtId="0" fontId="278" fillId="0" borderId="0" xfId="0" applyFont="1" applyAlignment="1">
      <alignment horizontal="left" vertical="center"/>
    </xf>
    <xf numFmtId="0" fontId="279" fillId="0" borderId="0" xfId="0" applyFont="1" applyAlignment="1">
      <alignment horizontal="left" vertical="center"/>
    </xf>
    <xf numFmtId="0" fontId="280" fillId="0" borderId="0" xfId="0" applyFont="1" applyAlignment="1">
      <alignment horizontal="left" vertical="center"/>
    </xf>
    <xf numFmtId="0" fontId="281" fillId="0" borderId="0" xfId="0" applyFont="1" applyAlignment="1">
      <alignment horizontal="left" vertical="center"/>
    </xf>
    <xf numFmtId="0" fontId="282" fillId="0" borderId="0" xfId="0" applyFont="1" applyAlignment="1">
      <alignment horizontal="left" vertical="center"/>
    </xf>
    <xf numFmtId="3" fontId="35" fillId="0" borderId="0" xfId="0" applyNumberFormat="1" applyFont="1"/>
    <xf numFmtId="0" fontId="0" fillId="0" borderId="0" xfId="0" applyAlignment="1">
      <alignment horizontal="right"/>
    </xf>
    <xf numFmtId="0" fontId="0" fillId="0" borderId="0" xfId="0" applyAlignment="1">
      <alignment horizontal="center" vertical="top"/>
    </xf>
    <xf numFmtId="0" fontId="275" fillId="0" borderId="0" xfId="0" applyFont="1" applyAlignment="1">
      <alignment horizontal="center" vertical="center"/>
    </xf>
    <xf numFmtId="0" fontId="0" fillId="0" borderId="0" xfId="0" applyAlignment="1">
      <alignment horizontal="center"/>
    </xf>
    <xf numFmtId="0" fontId="0" fillId="0" borderId="0" xfId="0" applyAlignment="1">
      <alignment horizontal="center" wrapText="1"/>
    </xf>
    <xf numFmtId="168" fontId="132" fillId="0" borderId="53" xfId="2" applyNumberFormat="1" applyFont="1" applyFill="1" applyBorder="1" applyAlignment="1">
      <alignment horizontal="center"/>
    </xf>
    <xf numFmtId="0" fontId="155" fillId="3" borderId="30" xfId="0" applyFont="1" applyFill="1" applyBorder="1" applyAlignment="1">
      <alignment horizontal="center" vertical="center" wrapText="1"/>
    </xf>
    <xf numFmtId="168" fontId="132" fillId="0" borderId="37" xfId="2" applyNumberFormat="1" applyFont="1" applyFill="1" applyBorder="1" applyAlignment="1">
      <alignment horizontal="center"/>
    </xf>
    <xf numFmtId="168" fontId="132" fillId="0" borderId="334" xfId="2" applyNumberFormat="1" applyFont="1" applyFill="1" applyBorder="1" applyAlignment="1">
      <alignment horizontal="center"/>
    </xf>
    <xf numFmtId="168" fontId="132" fillId="0" borderId="70" xfId="2" applyNumberFormat="1" applyFont="1" applyFill="1" applyBorder="1" applyAlignment="1">
      <alignment horizontal="center" wrapText="1"/>
    </xf>
    <xf numFmtId="3" fontId="7" fillId="0" borderId="0" xfId="0" applyNumberFormat="1" applyFont="1" applyFill="1"/>
    <xf numFmtId="0" fontId="283" fillId="0" borderId="0" xfId="0" applyFont="1" applyFill="1"/>
    <xf numFmtId="9" fontId="284" fillId="0" borderId="0" xfId="2" applyFont="1" applyFill="1" applyAlignment="1">
      <alignment horizontal="center"/>
    </xf>
    <xf numFmtId="3" fontId="283" fillId="0" borderId="0" xfId="0" applyNumberFormat="1" applyFont="1" applyFill="1" applyBorder="1"/>
    <xf numFmtId="0" fontId="283" fillId="0" borderId="0" xfId="0" applyFont="1" applyFill="1" applyBorder="1" applyAlignment="1">
      <alignment horizontal="center" vertical="center"/>
    </xf>
    <xf numFmtId="168" fontId="287" fillId="0" borderId="0" xfId="2" applyNumberFormat="1" applyFont="1" applyFill="1" applyBorder="1" applyAlignment="1">
      <alignment horizontal="center"/>
    </xf>
    <xf numFmtId="168" fontId="284" fillId="0" borderId="0" xfId="2" applyNumberFormat="1" applyFont="1" applyFill="1" applyAlignment="1">
      <alignment horizontal="center"/>
    </xf>
    <xf numFmtId="0" fontId="283" fillId="0" borderId="0" xfId="0" applyFont="1" applyFill="1" applyBorder="1" applyAlignment="1">
      <alignment horizontal="center" vertical="center" wrapText="1"/>
    </xf>
    <xf numFmtId="169" fontId="283" fillId="0" borderId="0" xfId="1" applyNumberFormat="1" applyFont="1" applyFill="1" applyBorder="1" applyAlignment="1">
      <alignment horizontal="center" vertical="center"/>
    </xf>
    <xf numFmtId="0" fontId="284" fillId="0" borderId="0" xfId="0" applyFont="1" applyFill="1" applyBorder="1" applyAlignment="1">
      <alignment horizontal="center"/>
    </xf>
    <xf numFmtId="169" fontId="271" fillId="72" borderId="37" xfId="1" applyNumberFormat="1" applyFont="1" applyFill="1" applyBorder="1" applyAlignment="1">
      <alignment horizontal="right"/>
    </xf>
    <xf numFmtId="172" fontId="21" fillId="16" borderId="0" xfId="0" applyNumberFormat="1" applyFont="1" applyFill="1" applyBorder="1" applyAlignment="1">
      <alignment horizontal="left" vertical="center"/>
    </xf>
    <xf numFmtId="0" fontId="21" fillId="0" borderId="0" xfId="0" applyFont="1"/>
    <xf numFmtId="0" fontId="20" fillId="14" borderId="0" xfId="85" applyFont="1" applyFill="1" applyBorder="1" applyAlignment="1">
      <alignment horizontal="center"/>
    </xf>
    <xf numFmtId="0" fontId="112" fillId="74" borderId="0" xfId="85" applyFont="1" applyFill="1" applyBorder="1" applyAlignment="1">
      <alignment horizontal="center"/>
    </xf>
    <xf numFmtId="0" fontId="111" fillId="0" borderId="0" xfId="85" applyFont="1" applyFill="1"/>
    <xf numFmtId="0" fontId="121" fillId="0" borderId="0" xfId="85" applyFont="1" applyFill="1" applyBorder="1"/>
    <xf numFmtId="3" fontId="289" fillId="0" borderId="0" xfId="85" applyNumberFormat="1" applyFont="1" applyFill="1" applyBorder="1"/>
    <xf numFmtId="3" fontId="0" fillId="0" borderId="37" xfId="0" applyNumberFormat="1" applyBorder="1"/>
    <xf numFmtId="0" fontId="13" fillId="17" borderId="37" xfId="0" applyFont="1" applyFill="1" applyBorder="1"/>
    <xf numFmtId="0" fontId="13" fillId="17" borderId="0" xfId="0" applyFont="1" applyFill="1" applyBorder="1"/>
    <xf numFmtId="0" fontId="13" fillId="17" borderId="7" xfId="0" applyFont="1" applyFill="1" applyBorder="1"/>
    <xf numFmtId="3" fontId="0" fillId="0" borderId="37" xfId="0" applyNumberFormat="1" applyFill="1" applyBorder="1"/>
    <xf numFmtId="3" fontId="0" fillId="0" borderId="7" xfId="0" applyNumberFormat="1" applyFill="1" applyBorder="1"/>
    <xf numFmtId="0" fontId="0" fillId="0" borderId="37" xfId="0" applyFill="1" applyBorder="1"/>
    <xf numFmtId="0" fontId="0" fillId="0" borderId="7" xfId="0" applyFill="1" applyBorder="1"/>
    <xf numFmtId="169" fontId="19" fillId="17" borderId="0" xfId="1" applyNumberFormat="1" applyFont="1" applyFill="1" applyBorder="1" applyAlignment="1">
      <alignment vertical="center"/>
    </xf>
    <xf numFmtId="9" fontId="109" fillId="0" borderId="40" xfId="2" applyFont="1" applyBorder="1" applyAlignment="1">
      <alignment vertical="center"/>
    </xf>
    <xf numFmtId="9" fontId="109" fillId="0" borderId="9" xfId="2" applyFont="1" applyBorder="1" applyAlignment="1">
      <alignment vertical="center"/>
    </xf>
    <xf numFmtId="0" fontId="7" fillId="0" borderId="0" xfId="85" applyFont="1" applyFill="1" applyBorder="1" applyAlignment="1">
      <alignment horizontal="center"/>
    </xf>
    <xf numFmtId="3" fontId="267" fillId="27" borderId="37" xfId="0" applyNumberFormat="1" applyFont="1" applyFill="1" applyBorder="1"/>
    <xf numFmtId="0" fontId="224" fillId="4" borderId="337" xfId="0" applyFont="1" applyFill="1" applyBorder="1"/>
    <xf numFmtId="0" fontId="107" fillId="7" borderId="50" xfId="0" applyFont="1" applyFill="1" applyBorder="1" applyAlignment="1">
      <alignment horizontal="center" vertical="center" wrapText="1"/>
    </xf>
    <xf numFmtId="0" fontId="290" fillId="0" borderId="13" xfId="0" applyFont="1" applyFill="1" applyBorder="1" applyAlignment="1">
      <alignment horizontal="center"/>
    </xf>
    <xf numFmtId="3" fontId="21" fillId="5" borderId="13" xfId="0" applyNumberFormat="1" applyFont="1" applyFill="1" applyBorder="1" applyAlignment="1">
      <alignment horizontal="left"/>
    </xf>
    <xf numFmtId="3" fontId="21" fillId="81" borderId="13" xfId="0" applyNumberFormat="1" applyFont="1" applyFill="1" applyBorder="1" applyAlignment="1">
      <alignment horizontal="left"/>
    </xf>
    <xf numFmtId="3" fontId="21" fillId="3" borderId="13" xfId="96" applyNumberFormat="1" applyFont="1" applyFill="1" applyBorder="1" applyAlignment="1">
      <alignment horizontal="left"/>
    </xf>
    <xf numFmtId="168" fontId="35" fillId="72" borderId="0" xfId="2" applyNumberFormat="1" applyFont="1" applyFill="1" applyAlignment="1">
      <alignment horizontal="center"/>
    </xf>
    <xf numFmtId="0" fontId="206" fillId="0" borderId="0" xfId="0" applyFont="1" applyFill="1" applyBorder="1"/>
    <xf numFmtId="165" fontId="207" fillId="0" borderId="0" xfId="0" applyNumberFormat="1" applyFont="1" applyFill="1" applyBorder="1" applyAlignment="1">
      <alignment vertical="center"/>
    </xf>
    <xf numFmtId="172" fontId="7" fillId="16" borderId="0" xfId="0" applyNumberFormat="1" applyFont="1" applyFill="1" applyBorder="1" applyAlignment="1">
      <alignment horizontal="left" vertical="center" wrapText="1"/>
    </xf>
    <xf numFmtId="0" fontId="0" fillId="0" borderId="0" xfId="0" applyAlignment="1">
      <alignment horizontal="center"/>
    </xf>
    <xf numFmtId="172" fontId="39" fillId="75" borderId="29" xfId="0" applyNumberFormat="1" applyFont="1" applyFill="1" applyBorder="1" applyAlignment="1">
      <alignment horizontal="center" vertical="center"/>
    </xf>
    <xf numFmtId="172" fontId="39" fillId="75" borderId="30" xfId="0" applyNumberFormat="1" applyFont="1" applyFill="1" applyBorder="1" applyAlignment="1">
      <alignment horizontal="center" vertical="center"/>
    </xf>
    <xf numFmtId="172" fontId="72" fillId="3" borderId="0" xfId="0" applyNumberFormat="1" applyFont="1" applyFill="1" applyBorder="1" applyAlignment="1">
      <alignment horizontal="center" vertical="center" wrapText="1"/>
    </xf>
    <xf numFmtId="1" fontId="72" fillId="3" borderId="6" xfId="0" applyNumberFormat="1" applyFont="1" applyFill="1" applyBorder="1" applyAlignment="1">
      <alignment horizontal="center" vertical="center" wrapText="1"/>
    </xf>
    <xf numFmtId="172" fontId="39" fillId="16" borderId="0" xfId="0" applyNumberFormat="1" applyFont="1" applyFill="1" applyBorder="1" applyAlignment="1">
      <alignment horizontal="center" vertical="center" wrapText="1"/>
    </xf>
    <xf numFmtId="9" fontId="39" fillId="16" borderId="52" xfId="2" applyFont="1" applyFill="1" applyBorder="1" applyAlignment="1">
      <alignment horizontal="center" vertical="center"/>
    </xf>
    <xf numFmtId="9" fontId="39" fillId="16" borderId="11" xfId="2" applyFont="1" applyFill="1" applyBorder="1" applyAlignment="1">
      <alignment horizontal="center" vertical="center"/>
    </xf>
    <xf numFmtId="9" fontId="39" fillId="16" borderId="0" xfId="2" applyFont="1" applyFill="1" applyBorder="1" applyAlignment="1">
      <alignment horizontal="center" vertical="center"/>
    </xf>
    <xf numFmtId="172" fontId="39" fillId="14" borderId="42" xfId="0" applyNumberFormat="1" applyFont="1" applyFill="1" applyBorder="1" applyAlignment="1">
      <alignment horizontal="center"/>
    </xf>
    <xf numFmtId="172" fontId="259" fillId="14" borderId="42" xfId="0" applyNumberFormat="1" applyFont="1" applyFill="1" applyBorder="1" applyAlignment="1">
      <alignment horizontal="center"/>
    </xf>
    <xf numFmtId="172" fontId="72" fillId="14" borderId="42" xfId="0" applyNumberFormat="1" applyFont="1" applyFill="1" applyBorder="1" applyAlignment="1">
      <alignment horizontal="center"/>
    </xf>
    <xf numFmtId="172" fontId="39" fillId="14" borderId="43" xfId="0" applyNumberFormat="1" applyFont="1" applyFill="1" applyBorder="1" applyAlignment="1">
      <alignment horizontal="center"/>
    </xf>
    <xf numFmtId="172" fontId="70" fillId="14" borderId="13" xfId="0" applyNumberFormat="1" applyFont="1" applyFill="1" applyBorder="1" applyAlignment="1">
      <alignment horizontal="center"/>
    </xf>
    <xf numFmtId="172" fontId="70" fillId="14" borderId="45" xfId="0" applyNumberFormat="1" applyFont="1" applyFill="1" applyBorder="1" applyAlignment="1">
      <alignment horizontal="center"/>
    </xf>
    <xf numFmtId="172" fontId="70" fillId="14" borderId="47" xfId="0" applyNumberFormat="1" applyFont="1" applyFill="1" applyBorder="1" applyAlignment="1">
      <alignment horizontal="center"/>
    </xf>
    <xf numFmtId="172" fontId="70" fillId="14" borderId="48" xfId="0" applyNumberFormat="1" applyFont="1" applyFill="1" applyBorder="1" applyAlignment="1">
      <alignment horizontal="center"/>
    </xf>
    <xf numFmtId="172" fontId="39" fillId="16" borderId="0" xfId="0" applyNumberFormat="1" applyFont="1" applyFill="1" applyBorder="1" applyAlignment="1">
      <alignment horizontal="center"/>
    </xf>
    <xf numFmtId="9" fontId="291" fillId="16" borderId="52" xfId="2" applyFont="1" applyFill="1" applyBorder="1" applyAlignment="1">
      <alignment horizontal="center" vertical="center"/>
    </xf>
    <xf numFmtId="9" fontId="291" fillId="16" borderId="11" xfId="2" applyFont="1" applyFill="1" applyBorder="1" applyAlignment="1">
      <alignment horizontal="center" vertical="center"/>
    </xf>
    <xf numFmtId="172" fontId="39" fillId="72" borderId="264" xfId="0" applyNumberFormat="1" applyFont="1" applyFill="1" applyBorder="1" applyAlignment="1">
      <alignment horizontal="center"/>
    </xf>
    <xf numFmtId="172" fontId="39" fillId="72" borderId="236" xfId="0" applyNumberFormat="1" applyFont="1" applyFill="1" applyBorder="1" applyAlignment="1">
      <alignment horizontal="center"/>
    </xf>
    <xf numFmtId="172" fontId="39" fillId="72" borderId="236" xfId="22" applyNumberFormat="1" applyFont="1" applyFill="1" applyBorder="1" applyAlignment="1">
      <alignment horizontal="center"/>
    </xf>
    <xf numFmtId="172" fontId="259" fillId="72" borderId="236" xfId="22" applyNumberFormat="1" applyFont="1" applyFill="1" applyBorder="1" applyAlignment="1">
      <alignment horizontal="center"/>
    </xf>
    <xf numFmtId="172" fontId="39" fillId="72" borderId="85" xfId="0" applyNumberFormat="1" applyFont="1" applyFill="1" applyBorder="1" applyAlignment="1">
      <alignment horizontal="center"/>
    </xf>
    <xf numFmtId="172" fontId="39" fillId="72" borderId="73" xfId="0" applyNumberFormat="1" applyFont="1" applyFill="1" applyBorder="1" applyAlignment="1">
      <alignment horizontal="center"/>
    </xf>
    <xf numFmtId="172" fontId="39" fillId="72" borderId="73" xfId="22" applyNumberFormat="1" applyFont="1" applyFill="1" applyBorder="1" applyAlignment="1">
      <alignment horizontal="center"/>
    </xf>
    <xf numFmtId="172" fontId="39" fillId="72" borderId="89" xfId="22" applyNumberFormat="1" applyFont="1" applyFill="1" applyBorder="1" applyAlignment="1">
      <alignment horizontal="center"/>
    </xf>
    <xf numFmtId="172" fontId="39" fillId="72" borderId="86" xfId="0" applyNumberFormat="1" applyFont="1" applyFill="1" applyBorder="1" applyAlignment="1">
      <alignment horizontal="center"/>
    </xf>
    <xf numFmtId="172" fontId="39" fillId="72" borderId="87" xfId="0" applyNumberFormat="1" applyFont="1" applyFill="1" applyBorder="1" applyAlignment="1">
      <alignment horizontal="center"/>
    </xf>
    <xf numFmtId="172" fontId="39" fillId="72" borderId="87" xfId="22" applyNumberFormat="1" applyFont="1" applyFill="1" applyBorder="1" applyAlignment="1">
      <alignment horizontal="center"/>
    </xf>
    <xf numFmtId="172" fontId="39" fillId="72" borderId="265" xfId="22" applyNumberFormat="1" applyFont="1" applyFill="1" applyBorder="1" applyAlignment="1">
      <alignment horizontal="center"/>
    </xf>
    <xf numFmtId="172" fontId="70" fillId="16" borderId="0" xfId="0" applyNumberFormat="1" applyFont="1" applyFill="1" applyBorder="1" applyAlignment="1">
      <alignment horizontal="center"/>
    </xf>
    <xf numFmtId="172" fontId="295" fillId="16" borderId="0" xfId="0" applyNumberFormat="1" applyFont="1" applyFill="1" applyBorder="1" applyAlignment="1">
      <alignment horizontal="center"/>
    </xf>
    <xf numFmtId="172" fontId="39" fillId="15" borderId="97" xfId="22" applyNumberFormat="1" applyFont="1" applyFill="1" applyBorder="1" applyAlignment="1">
      <alignment horizontal="center"/>
    </xf>
    <xf numFmtId="172" fontId="39" fillId="15" borderId="98" xfId="22" applyNumberFormat="1" applyFont="1" applyFill="1" applyBorder="1" applyAlignment="1">
      <alignment horizontal="center"/>
    </xf>
    <xf numFmtId="172" fontId="39" fillId="15" borderId="99" xfId="22" applyNumberFormat="1" applyFont="1" applyFill="1" applyBorder="1" applyAlignment="1">
      <alignment horizontal="center"/>
    </xf>
    <xf numFmtId="172" fontId="39" fillId="15" borderId="95" xfId="22" applyNumberFormat="1" applyFont="1" applyFill="1" applyBorder="1" applyAlignment="1">
      <alignment horizontal="center"/>
    </xf>
    <xf numFmtId="172" fontId="39" fillId="15" borderId="93" xfId="22" applyNumberFormat="1" applyFont="1" applyFill="1" applyBorder="1" applyAlignment="1">
      <alignment horizontal="center"/>
    </xf>
    <xf numFmtId="172" fontId="39" fillId="15" borderId="96" xfId="22" applyNumberFormat="1" applyFont="1" applyFill="1" applyBorder="1" applyAlignment="1">
      <alignment horizontal="center"/>
    </xf>
    <xf numFmtId="172" fontId="39" fillId="15" borderId="85" xfId="22" applyNumberFormat="1" applyFont="1" applyFill="1" applyBorder="1" applyAlignment="1">
      <alignment horizontal="center"/>
    </xf>
    <xf numFmtId="172" fontId="39" fillId="15" borderId="73" xfId="22" applyNumberFormat="1" applyFont="1" applyFill="1" applyBorder="1" applyAlignment="1">
      <alignment horizontal="center"/>
    </xf>
    <xf numFmtId="172" fontId="39" fillId="15" borderId="92" xfId="22" applyNumberFormat="1" applyFont="1" applyFill="1" applyBorder="1" applyAlignment="1">
      <alignment horizontal="center"/>
    </xf>
    <xf numFmtId="172" fontId="39" fillId="15" borderId="86" xfId="22" applyNumberFormat="1" applyFont="1" applyFill="1" applyBorder="1" applyAlignment="1">
      <alignment horizontal="center"/>
    </xf>
    <xf numFmtId="172" fontId="39" fillId="15" borderId="87" xfId="22" applyNumberFormat="1" applyFont="1" applyFill="1" applyBorder="1" applyAlignment="1">
      <alignment horizontal="center"/>
    </xf>
    <xf numFmtId="172" fontId="39" fillId="15" borderId="91" xfId="22" applyNumberFormat="1" applyFont="1" applyFill="1" applyBorder="1" applyAlignment="1">
      <alignment horizontal="center"/>
    </xf>
    <xf numFmtId="172" fontId="39" fillId="16" borderId="0" xfId="22" applyNumberFormat="1" applyFont="1" applyFill="1" applyBorder="1" applyAlignment="1">
      <alignment horizontal="center"/>
    </xf>
    <xf numFmtId="172" fontId="296" fillId="16" borderId="0" xfId="22" applyNumberFormat="1" applyFont="1" applyFill="1" applyBorder="1" applyAlignment="1">
      <alignment horizontal="center"/>
    </xf>
    <xf numFmtId="172" fontId="39" fillId="30" borderId="52" xfId="0" applyNumberFormat="1" applyFont="1" applyFill="1" applyBorder="1" applyAlignment="1">
      <alignment horizontal="center"/>
    </xf>
    <xf numFmtId="172" fontId="39" fillId="30" borderId="98" xfId="22" applyNumberFormat="1" applyFont="1" applyFill="1" applyBorder="1" applyAlignment="1">
      <alignment horizontal="center"/>
    </xf>
    <xf numFmtId="172" fontId="39" fillId="30" borderId="99" xfId="22" applyNumberFormat="1" applyFont="1" applyFill="1" applyBorder="1" applyAlignment="1">
      <alignment horizontal="center"/>
    </xf>
    <xf numFmtId="172" fontId="39" fillId="30" borderId="95" xfId="22" applyNumberFormat="1" applyFont="1" applyFill="1" applyBorder="1" applyAlignment="1">
      <alignment horizontal="center"/>
    </xf>
    <xf numFmtId="172" fontId="39" fillId="30" borderId="93" xfId="22" applyNumberFormat="1" applyFont="1" applyFill="1" applyBorder="1" applyAlignment="1">
      <alignment horizontal="center"/>
    </xf>
    <xf numFmtId="172" fontId="39" fillId="30" borderId="96" xfId="22" applyNumberFormat="1" applyFont="1" applyFill="1" applyBorder="1" applyAlignment="1">
      <alignment horizontal="center"/>
    </xf>
    <xf numFmtId="172" fontId="39" fillId="30" borderId="85" xfId="22" applyNumberFormat="1" applyFont="1" applyFill="1" applyBorder="1" applyAlignment="1">
      <alignment horizontal="center"/>
    </xf>
    <xf numFmtId="172" fontId="39" fillId="30" borderId="73" xfId="22" applyNumberFormat="1" applyFont="1" applyFill="1" applyBorder="1" applyAlignment="1">
      <alignment horizontal="center"/>
    </xf>
    <xf numFmtId="172" fontId="39" fillId="30" borderId="92" xfId="22" applyNumberFormat="1" applyFont="1" applyFill="1" applyBorder="1" applyAlignment="1">
      <alignment horizontal="center"/>
    </xf>
    <xf numFmtId="172" fontId="39" fillId="30" borderId="86" xfId="22" applyNumberFormat="1" applyFont="1" applyFill="1" applyBorder="1" applyAlignment="1">
      <alignment horizontal="center"/>
    </xf>
    <xf numFmtId="172" fontId="39" fillId="30" borderId="87" xfId="22" applyNumberFormat="1" applyFont="1" applyFill="1" applyBorder="1" applyAlignment="1">
      <alignment horizontal="center"/>
    </xf>
    <xf numFmtId="172" fontId="39" fillId="30" borderId="91" xfId="22" applyNumberFormat="1" applyFont="1" applyFill="1" applyBorder="1" applyAlignment="1">
      <alignment horizontal="center"/>
    </xf>
    <xf numFmtId="172" fontId="72" fillId="16" borderId="0" xfId="22" applyNumberFormat="1" applyFont="1" applyFill="1" applyBorder="1" applyAlignment="1">
      <alignment horizontal="center"/>
    </xf>
    <xf numFmtId="1" fontId="67" fillId="105" borderId="35" xfId="0" applyNumberFormat="1" applyFont="1" applyFill="1" applyBorder="1" applyAlignment="1"/>
    <xf numFmtId="1" fontId="67" fillId="105" borderId="29" xfId="0" applyNumberFormat="1" applyFont="1" applyFill="1" applyBorder="1" applyAlignment="1"/>
    <xf numFmtId="1" fontId="67" fillId="105" borderId="29" xfId="0" applyNumberFormat="1" applyFont="1" applyFill="1" applyBorder="1" applyAlignment="1">
      <alignment horizontal="center"/>
    </xf>
    <xf numFmtId="1" fontId="67" fillId="105" borderId="30" xfId="0" applyNumberFormat="1" applyFont="1" applyFill="1" applyBorder="1" applyAlignment="1"/>
    <xf numFmtId="172" fontId="67" fillId="0" borderId="37" xfId="0" applyNumberFormat="1" applyFont="1" applyFill="1" applyBorder="1" applyAlignment="1">
      <alignment horizontal="center"/>
    </xf>
    <xf numFmtId="172" fontId="67" fillId="0" borderId="0" xfId="0" applyNumberFormat="1" applyFont="1" applyFill="1" applyBorder="1" applyAlignment="1">
      <alignment horizontal="center"/>
    </xf>
    <xf numFmtId="172" fontId="67" fillId="0" borderId="7" xfId="0" applyNumberFormat="1" applyFont="1" applyFill="1" applyBorder="1" applyAlignment="1">
      <alignment horizontal="center"/>
    </xf>
    <xf numFmtId="172" fontId="67" fillId="105" borderId="291" xfId="0" applyNumberFormat="1" applyFont="1" applyFill="1" applyBorder="1" applyAlignment="1">
      <alignment horizontal="center"/>
    </xf>
    <xf numFmtId="172" fontId="67" fillId="105" borderId="27" xfId="0" applyNumberFormat="1" applyFont="1" applyFill="1" applyBorder="1" applyAlignment="1">
      <alignment horizontal="center"/>
    </xf>
    <xf numFmtId="172" fontId="67" fillId="105" borderId="276" xfId="0" applyNumberFormat="1" applyFont="1" applyFill="1" applyBorder="1" applyAlignment="1">
      <alignment horizontal="center"/>
    </xf>
    <xf numFmtId="172" fontId="297" fillId="105" borderId="37" xfId="0" applyNumberFormat="1" applyFont="1" applyFill="1" applyBorder="1" applyAlignment="1">
      <alignment horizontal="center"/>
    </xf>
    <xf numFmtId="172" fontId="297" fillId="105" borderId="0" xfId="0" applyNumberFormat="1" applyFont="1" applyFill="1" applyBorder="1" applyAlignment="1">
      <alignment horizontal="center"/>
    </xf>
    <xf numFmtId="172" fontId="297" fillId="105" borderId="7" xfId="0" applyNumberFormat="1" applyFont="1" applyFill="1" applyBorder="1" applyAlignment="1">
      <alignment horizontal="center"/>
    </xf>
    <xf numFmtId="1" fontId="298" fillId="95" borderId="35" xfId="0" applyNumberFormat="1" applyFont="1" applyFill="1" applyBorder="1" applyAlignment="1"/>
    <xf numFmtId="1" fontId="298" fillId="95" borderId="29" xfId="0" applyNumberFormat="1" applyFont="1" applyFill="1" applyBorder="1" applyAlignment="1"/>
    <xf numFmtId="172" fontId="298" fillId="95" borderId="308" xfId="0" applyNumberFormat="1" applyFont="1" applyFill="1" applyBorder="1" applyAlignment="1">
      <alignment horizontal="center"/>
    </xf>
    <xf numFmtId="172" fontId="298" fillId="95" borderId="309" xfId="0" applyNumberFormat="1" applyFont="1" applyFill="1" applyBorder="1" applyAlignment="1">
      <alignment horizontal="center"/>
    </xf>
    <xf numFmtId="172" fontId="298" fillId="95" borderId="310" xfId="0" applyNumberFormat="1" applyFont="1" applyFill="1" applyBorder="1" applyAlignment="1">
      <alignment horizontal="center"/>
    </xf>
    <xf numFmtId="172" fontId="68" fillId="23" borderId="0" xfId="0" applyNumberFormat="1" applyFont="1" applyFill="1" applyBorder="1" applyAlignment="1">
      <alignment horizontal="center"/>
    </xf>
    <xf numFmtId="172" fontId="299" fillId="23" borderId="308" xfId="0" applyNumberFormat="1" applyFont="1" applyFill="1" applyBorder="1" applyAlignment="1">
      <alignment horizontal="center"/>
    </xf>
    <xf numFmtId="172" fontId="299" fillId="23" borderId="309" xfId="0" applyNumberFormat="1" applyFont="1" applyFill="1" applyBorder="1" applyAlignment="1">
      <alignment horizontal="center"/>
    </xf>
    <xf numFmtId="172" fontId="299" fillId="23" borderId="310" xfId="0" applyNumberFormat="1" applyFont="1" applyFill="1" applyBorder="1" applyAlignment="1">
      <alignment horizontal="center"/>
    </xf>
    <xf numFmtId="1" fontId="68" fillId="23" borderId="35" xfId="0" applyNumberFormat="1" applyFont="1" applyFill="1" applyBorder="1" applyAlignment="1"/>
    <xf numFmtId="1" fontId="68" fillId="23" borderId="29" xfId="0" applyNumberFormat="1" applyFont="1" applyFill="1" applyBorder="1" applyAlignment="1"/>
    <xf numFmtId="1" fontId="68" fillId="23" borderId="30" xfId="0" applyNumberFormat="1" applyFont="1" applyFill="1" applyBorder="1" applyAlignment="1"/>
    <xf numFmtId="172" fontId="68" fillId="23" borderId="37" xfId="0" applyNumberFormat="1" applyFont="1" applyFill="1" applyBorder="1" applyAlignment="1">
      <alignment horizontal="center"/>
    </xf>
    <xf numFmtId="172" fontId="68" fillId="23" borderId="7" xfId="0" applyNumberFormat="1" applyFont="1" applyFill="1" applyBorder="1" applyAlignment="1">
      <alignment horizontal="center"/>
    </xf>
    <xf numFmtId="172" fontId="68" fillId="4" borderId="37" xfId="0" applyNumberFormat="1" applyFont="1" applyFill="1" applyBorder="1" applyAlignment="1">
      <alignment horizontal="center"/>
    </xf>
    <xf numFmtId="172" fontId="68" fillId="4" borderId="0" xfId="0" applyNumberFormat="1" applyFont="1" applyFill="1" applyBorder="1" applyAlignment="1">
      <alignment horizontal="center"/>
    </xf>
    <xf numFmtId="172" fontId="68" fillId="4" borderId="7" xfId="0" applyNumberFormat="1" applyFont="1" applyFill="1" applyBorder="1" applyAlignment="1">
      <alignment horizontal="center"/>
    </xf>
    <xf numFmtId="172" fontId="300" fillId="4" borderId="37" xfId="0" applyNumberFormat="1" applyFont="1" applyFill="1" applyBorder="1" applyAlignment="1">
      <alignment horizontal="center"/>
    </xf>
    <xf numFmtId="172" fontId="300" fillId="4" borderId="0" xfId="0" applyNumberFormat="1" applyFont="1" applyFill="1" applyBorder="1" applyAlignment="1">
      <alignment horizontal="center"/>
    </xf>
    <xf numFmtId="172" fontId="300" fillId="4" borderId="7" xfId="0" applyNumberFormat="1" applyFont="1" applyFill="1" applyBorder="1" applyAlignment="1">
      <alignment horizontal="center"/>
    </xf>
    <xf numFmtId="1" fontId="293" fillId="15" borderId="35" xfId="0" applyNumberFormat="1" applyFont="1" applyFill="1" applyBorder="1" applyAlignment="1"/>
    <xf numFmtId="1" fontId="293" fillId="15" borderId="29" xfId="0" applyNumberFormat="1" applyFont="1" applyFill="1" applyBorder="1" applyAlignment="1"/>
    <xf numFmtId="1" fontId="293" fillId="15" borderId="30" xfId="0" applyNumberFormat="1" applyFont="1" applyFill="1" applyBorder="1" applyAlignment="1"/>
    <xf numFmtId="172" fontId="71" fillId="0" borderId="37" xfId="0" applyNumberFormat="1" applyFont="1" applyFill="1" applyBorder="1" applyAlignment="1">
      <alignment horizontal="center"/>
    </xf>
    <xf numFmtId="172" fontId="71" fillId="0" borderId="0" xfId="0" applyNumberFormat="1" applyFont="1" applyFill="1" applyBorder="1" applyAlignment="1">
      <alignment horizontal="center"/>
    </xf>
    <xf numFmtId="172" fontId="71" fillId="0" borderId="7" xfId="0" applyNumberFormat="1" applyFont="1" applyFill="1" applyBorder="1" applyAlignment="1">
      <alignment horizontal="center"/>
    </xf>
    <xf numFmtId="172" fontId="72" fillId="15" borderId="37" xfId="0" applyNumberFormat="1" applyFont="1" applyFill="1" applyBorder="1" applyAlignment="1">
      <alignment horizontal="center"/>
    </xf>
    <xf numFmtId="172" fontId="72" fillId="15" borderId="0" xfId="0" applyNumberFormat="1" applyFont="1" applyFill="1" applyBorder="1" applyAlignment="1">
      <alignment horizontal="center"/>
    </xf>
    <xf numFmtId="172" fontId="72" fillId="15" borderId="7" xfId="0" applyNumberFormat="1" applyFont="1" applyFill="1" applyBorder="1" applyAlignment="1">
      <alignment horizontal="center"/>
    </xf>
    <xf numFmtId="172" fontId="293" fillId="15" borderId="37" xfId="0" applyNumberFormat="1" applyFont="1" applyFill="1" applyBorder="1" applyAlignment="1">
      <alignment horizontal="center"/>
    </xf>
    <xf numFmtId="172" fontId="293" fillId="15" borderId="0" xfId="0" applyNumberFormat="1" applyFont="1" applyFill="1" applyBorder="1" applyAlignment="1">
      <alignment horizontal="center"/>
    </xf>
    <xf numFmtId="172" fontId="293" fillId="15" borderId="7" xfId="0" applyNumberFormat="1" applyFont="1" applyFill="1" applyBorder="1" applyAlignment="1">
      <alignment horizontal="center"/>
    </xf>
    <xf numFmtId="1" fontId="39" fillId="4" borderId="35" xfId="0" applyNumberFormat="1" applyFont="1" applyFill="1" applyBorder="1" applyAlignment="1">
      <alignment horizontal="center"/>
    </xf>
    <xf numFmtId="1" fontId="107" fillId="4" borderId="29" xfId="0" applyNumberFormat="1" applyFont="1" applyFill="1" applyBorder="1" applyAlignment="1">
      <alignment horizontal="center"/>
    </xf>
    <xf numFmtId="172" fontId="39" fillId="4" borderId="29" xfId="0" applyNumberFormat="1" applyFont="1" applyFill="1" applyBorder="1" applyAlignment="1">
      <alignment horizontal="right"/>
    </xf>
    <xf numFmtId="172" fontId="39" fillId="4" borderId="37" xfId="0" applyNumberFormat="1" applyFont="1" applyFill="1" applyBorder="1" applyAlignment="1">
      <alignment horizontal="center"/>
    </xf>
    <xf numFmtId="172" fontId="39" fillId="4" borderId="0" xfId="0" applyNumberFormat="1" applyFont="1" applyFill="1" applyBorder="1" applyAlignment="1">
      <alignment horizontal="center"/>
    </xf>
    <xf numFmtId="172" fontId="107" fillId="4" borderId="37" xfId="0" applyNumberFormat="1" applyFont="1" applyFill="1" applyBorder="1" applyAlignment="1">
      <alignment horizontal="center"/>
    </xf>
    <xf numFmtId="172" fontId="107" fillId="4" borderId="0" xfId="0" applyNumberFormat="1" applyFont="1" applyFill="1" applyBorder="1" applyAlignment="1">
      <alignment horizontal="center"/>
    </xf>
    <xf numFmtId="172" fontId="39" fillId="15" borderId="35" xfId="0" applyNumberFormat="1" applyFont="1" applyFill="1" applyBorder="1" applyAlignment="1">
      <alignment horizontal="center"/>
    </xf>
    <xf numFmtId="172" fontId="39" fillId="15" borderId="29" xfId="0" applyNumberFormat="1" applyFont="1" applyFill="1" applyBorder="1" applyAlignment="1">
      <alignment horizontal="center"/>
    </xf>
    <xf numFmtId="0" fontId="39" fillId="15" borderId="29" xfId="0" applyNumberFormat="1" applyFont="1" applyFill="1" applyBorder="1" applyAlignment="1">
      <alignment horizontal="center"/>
    </xf>
    <xf numFmtId="1" fontId="39" fillId="15" borderId="29" xfId="0" applyNumberFormat="1" applyFont="1" applyFill="1" applyBorder="1" applyAlignment="1">
      <alignment horizontal="center"/>
    </xf>
    <xf numFmtId="172" fontId="39" fillId="15" borderId="30" xfId="0" applyNumberFormat="1" applyFont="1" applyFill="1" applyBorder="1" applyAlignment="1">
      <alignment horizontal="center"/>
    </xf>
    <xf numFmtId="172" fontId="39" fillId="0" borderId="37" xfId="0" applyNumberFormat="1" applyFont="1" applyFill="1" applyBorder="1" applyAlignment="1">
      <alignment horizontal="center"/>
    </xf>
    <xf numFmtId="172" fontId="39" fillId="15" borderId="37" xfId="0" applyNumberFormat="1" applyFont="1" applyFill="1" applyBorder="1" applyAlignment="1">
      <alignment horizontal="center"/>
    </xf>
    <xf numFmtId="172" fontId="39" fillId="15" borderId="0" xfId="0" applyNumberFormat="1" applyFont="1" applyFill="1" applyBorder="1" applyAlignment="1">
      <alignment horizontal="center"/>
    </xf>
    <xf numFmtId="172" fontId="39" fillId="15" borderId="7" xfId="0" applyNumberFormat="1" applyFont="1" applyFill="1" applyBorder="1" applyAlignment="1">
      <alignment horizontal="center"/>
    </xf>
    <xf numFmtId="172" fontId="107" fillId="15" borderId="37" xfId="0" applyNumberFormat="1" applyFont="1" applyFill="1" applyBorder="1" applyAlignment="1">
      <alignment horizontal="center"/>
    </xf>
    <xf numFmtId="172" fontId="107" fillId="15" borderId="0" xfId="0" applyNumberFormat="1" applyFont="1" applyFill="1" applyBorder="1" applyAlignment="1">
      <alignment horizontal="center"/>
    </xf>
    <xf numFmtId="172" fontId="107" fillId="15" borderId="7" xfId="0" applyNumberFormat="1" applyFont="1" applyFill="1" applyBorder="1" applyAlignment="1">
      <alignment horizontal="center"/>
    </xf>
    <xf numFmtId="0" fontId="39" fillId="4" borderId="29" xfId="0" applyNumberFormat="1" applyFont="1" applyFill="1" applyBorder="1" applyAlignment="1">
      <alignment horizontal="center"/>
    </xf>
    <xf numFmtId="172" fontId="39" fillId="4" borderId="30" xfId="0" applyNumberFormat="1" applyFont="1" applyFill="1" applyBorder="1" applyAlignment="1">
      <alignment horizontal="center"/>
    </xf>
    <xf numFmtId="172" fontId="39" fillId="4" borderId="7" xfId="0" applyNumberFormat="1" applyFont="1" applyFill="1" applyBorder="1" applyAlignment="1">
      <alignment horizontal="center"/>
    </xf>
    <xf numFmtId="172" fontId="107" fillId="4" borderId="7" xfId="0" applyNumberFormat="1" applyFont="1" applyFill="1" applyBorder="1" applyAlignment="1">
      <alignment horizontal="center"/>
    </xf>
    <xf numFmtId="0" fontId="280" fillId="0" borderId="35" xfId="0" applyFont="1" applyBorder="1" applyAlignment="1">
      <alignment horizontal="left" vertical="center"/>
    </xf>
    <xf numFmtId="0" fontId="35" fillId="0" borderId="29" xfId="0" applyFont="1" applyBorder="1"/>
    <xf numFmtId="0" fontId="35" fillId="0" borderId="30" xfId="0" applyFont="1" applyBorder="1"/>
    <xf numFmtId="0" fontId="0" fillId="0" borderId="37" xfId="0" applyBorder="1" applyAlignment="1">
      <alignment horizontal="center" vertical="top"/>
    </xf>
    <xf numFmtId="0" fontId="275" fillId="0" borderId="0" xfId="0" applyFont="1" applyBorder="1" applyAlignment="1">
      <alignment horizontal="center" vertical="center"/>
    </xf>
    <xf numFmtId="0" fontId="0" fillId="0" borderId="7" xfId="0" applyBorder="1" applyAlignment="1">
      <alignment horizontal="center" wrapText="1"/>
    </xf>
    <xf numFmtId="0" fontId="275" fillId="114" borderId="37" xfId="0" applyFont="1" applyFill="1" applyBorder="1" applyAlignment="1">
      <alignment vertical="center"/>
    </xf>
    <xf numFmtId="3" fontId="200" fillId="114" borderId="0" xfId="0" applyNumberFormat="1" applyFont="1" applyFill="1" applyBorder="1" applyAlignment="1">
      <alignment horizontal="right" vertical="center"/>
    </xf>
    <xf numFmtId="0" fontId="275" fillId="27" borderId="37" xfId="0" applyFont="1" applyFill="1" applyBorder="1" applyAlignment="1">
      <alignment vertical="center"/>
    </xf>
    <xf numFmtId="3" fontId="200" fillId="0" borderId="0" xfId="0" applyNumberFormat="1" applyFont="1" applyBorder="1" applyAlignment="1">
      <alignment horizontal="right" vertical="center"/>
    </xf>
    <xf numFmtId="0" fontId="0" fillId="0" borderId="40" xfId="0" applyBorder="1"/>
    <xf numFmtId="3" fontId="200" fillId="0" borderId="33" xfId="0" applyNumberFormat="1" applyFont="1" applyBorder="1" applyAlignment="1">
      <alignment horizontal="right" vertical="center"/>
    </xf>
    <xf numFmtId="0" fontId="278" fillId="0" borderId="33" xfId="0" applyFont="1" applyBorder="1" applyAlignment="1">
      <alignment horizontal="left" vertical="center"/>
    </xf>
    <xf numFmtId="0" fontId="0" fillId="0" borderId="33" xfId="0" applyBorder="1"/>
    <xf numFmtId="0" fontId="0" fillId="0" borderId="9" xfId="0" applyBorder="1"/>
    <xf numFmtId="0" fontId="281" fillId="0" borderId="35" xfId="0" applyFont="1" applyBorder="1" applyAlignment="1">
      <alignment horizontal="left" vertical="center"/>
    </xf>
    <xf numFmtId="0" fontId="0" fillId="0" borderId="37" xfId="0" applyBorder="1" applyAlignment="1">
      <alignment horizontal="right"/>
    </xf>
    <xf numFmtId="3" fontId="35" fillId="0" borderId="0" xfId="0" applyNumberFormat="1" applyFont="1" applyBorder="1"/>
    <xf numFmtId="10" fontId="0" fillId="0" borderId="7" xfId="2" applyNumberFormat="1" applyFont="1" applyBorder="1"/>
    <xf numFmtId="10" fontId="0" fillId="0" borderId="7" xfId="0" applyNumberFormat="1" applyBorder="1"/>
    <xf numFmtId="10" fontId="45" fillId="0" borderId="0" xfId="2" applyNumberFormat="1" applyFont="1"/>
    <xf numFmtId="10" fontId="0" fillId="0" borderId="0" xfId="2" applyNumberFormat="1" applyFont="1"/>
    <xf numFmtId="172" fontId="301" fillId="0" borderId="0" xfId="4" applyNumberFormat="1" applyFont="1" applyFill="1" applyBorder="1" applyAlignment="1" applyProtection="1">
      <alignment horizontal="center" vertical="distributed" shrinkToFit="1"/>
    </xf>
    <xf numFmtId="0" fontId="5" fillId="0" borderId="0" xfId="0" applyFont="1" applyFill="1" applyBorder="1"/>
    <xf numFmtId="2" fontId="16"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302" fillId="0" borderId="0" xfId="0" applyFont="1" applyFill="1" applyBorder="1" applyAlignment="1">
      <alignment horizontal="center"/>
    </xf>
    <xf numFmtId="172" fontId="5" fillId="0" borderId="0" xfId="0" applyNumberFormat="1" applyFont="1" applyFill="1" applyBorder="1" applyAlignment="1">
      <alignment horizontal="center"/>
    </xf>
    <xf numFmtId="0" fontId="303" fillId="25" borderId="129" xfId="0" applyFont="1" applyFill="1" applyBorder="1" applyAlignment="1">
      <alignment horizontal="left" vertical="center"/>
    </xf>
    <xf numFmtId="2" fontId="19" fillId="24" borderId="42" xfId="0" applyNumberFormat="1" applyFont="1" applyFill="1" applyBorder="1" applyAlignment="1">
      <alignment horizontal="center"/>
    </xf>
    <xf numFmtId="0" fontId="5" fillId="0" borderId="44" xfId="0" applyFont="1" applyBorder="1"/>
    <xf numFmtId="0" fontId="5" fillId="0" borderId="46" xfId="0" applyFont="1" applyBorder="1"/>
    <xf numFmtId="0" fontId="304" fillId="0" borderId="0" xfId="4" applyFont="1" applyAlignment="1" applyProtection="1"/>
    <xf numFmtId="0" fontId="23" fillId="16" borderId="0" xfId="4" applyFill="1" applyBorder="1" applyAlignment="1" applyProtection="1">
      <alignment vertical="center"/>
    </xf>
    <xf numFmtId="0" fontId="305" fillId="16" borderId="0" xfId="0" applyFont="1" applyFill="1" applyBorder="1" applyAlignment="1">
      <alignment vertical="center"/>
    </xf>
    <xf numFmtId="172" fontId="306"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39" xfId="0" applyNumberFormat="1" applyFont="1" applyBorder="1"/>
    <xf numFmtId="0" fontId="194" fillId="3" borderId="7" xfId="0" applyFont="1" applyFill="1" applyBorder="1" applyAlignment="1">
      <alignment horizontal="center"/>
    </xf>
    <xf numFmtId="0" fontId="22" fillId="0" borderId="0" xfId="0" applyFont="1"/>
    <xf numFmtId="2" fontId="19" fillId="24" borderId="275" xfId="0" applyNumberFormat="1" applyFont="1" applyFill="1" applyBorder="1" applyAlignment="1">
      <alignment horizontal="center"/>
    </xf>
    <xf numFmtId="2" fontId="19" fillId="73" borderId="71" xfId="0" applyNumberFormat="1" applyFont="1" applyFill="1" applyBorder="1" applyAlignment="1">
      <alignment horizontal="center"/>
    </xf>
    <xf numFmtId="0" fontId="5" fillId="117" borderId="0" xfId="0" applyFont="1" applyFill="1"/>
    <xf numFmtId="3" fontId="5" fillId="117" borderId="0" xfId="0" applyNumberFormat="1" applyFont="1" applyFill="1"/>
    <xf numFmtId="0" fontId="5" fillId="14" borderId="0" xfId="0" applyFont="1" applyFill="1"/>
    <xf numFmtId="3" fontId="5" fillId="14" borderId="0" xfId="0" applyNumberFormat="1" applyFont="1" applyFill="1"/>
    <xf numFmtId="9" fontId="37" fillId="117" borderId="0" xfId="2" applyFont="1" applyFill="1" applyAlignment="1">
      <alignment horizontal="center" vertical="center"/>
    </xf>
    <xf numFmtId="9" fontId="37" fillId="14" borderId="0" xfId="2" applyFont="1" applyFill="1" applyAlignment="1">
      <alignment horizontal="center" vertical="center"/>
    </xf>
    <xf numFmtId="0" fontId="5" fillId="0" borderId="23" xfId="0" applyFont="1" applyBorder="1"/>
    <xf numFmtId="0" fontId="5" fillId="0" borderId="0" xfId="0" applyFont="1" applyBorder="1"/>
    <xf numFmtId="3" fontId="5" fillId="117" borderId="23" xfId="0" applyNumberFormat="1" applyFont="1" applyFill="1" applyBorder="1"/>
    <xf numFmtId="9" fontId="37" fillId="117" borderId="0" xfId="2" applyFont="1" applyFill="1" applyBorder="1" applyAlignment="1">
      <alignment horizontal="center" vertical="center"/>
    </xf>
    <xf numFmtId="3" fontId="5" fillId="14" borderId="23" xfId="0" applyNumberFormat="1" applyFont="1" applyFill="1" applyBorder="1"/>
    <xf numFmtId="9" fontId="37" fillId="14" borderId="0" xfId="2" applyFont="1" applyFill="1" applyBorder="1" applyAlignment="1">
      <alignment horizontal="center" vertical="center"/>
    </xf>
    <xf numFmtId="0" fontId="7" fillId="0" borderId="0" xfId="0" applyFont="1" applyFill="1" applyAlignment="1">
      <alignment vertical="center" wrapText="1"/>
    </xf>
    <xf numFmtId="0" fontId="6" fillId="0" borderId="335" xfId="0" applyFont="1" applyBorder="1" applyAlignment="1">
      <alignment horizontal="center" vertical="center"/>
    </xf>
    <xf numFmtId="0" fontId="6" fillId="0" borderId="336" xfId="0" applyFont="1" applyBorder="1" applyAlignment="1">
      <alignment horizontal="center" vertical="center"/>
    </xf>
    <xf numFmtId="0" fontId="6" fillId="0" borderId="35" xfId="0" applyFont="1" applyBorder="1" applyAlignment="1">
      <alignment horizontal="center" vertical="center" wrapText="1"/>
    </xf>
    <xf numFmtId="0" fontId="6" fillId="0" borderId="290" xfId="0" applyFont="1" applyBorder="1" applyAlignment="1">
      <alignment horizontal="center" vertical="center"/>
    </xf>
    <xf numFmtId="3" fontId="6" fillId="0" borderId="0" xfId="0" applyNumberFormat="1" applyFont="1" applyFill="1"/>
    <xf numFmtId="0" fontId="6" fillId="14" borderId="53" xfId="0" applyFont="1" applyFill="1" applyBorder="1" applyAlignment="1">
      <alignment horizontal="center" vertical="center" wrapText="1"/>
    </xf>
    <xf numFmtId="3" fontId="5" fillId="14" borderId="129" xfId="0" applyNumberFormat="1" applyFont="1" applyFill="1" applyBorder="1"/>
    <xf numFmtId="3" fontId="5" fillId="14" borderId="42" xfId="0" applyNumberFormat="1" applyFont="1" applyFill="1" applyBorder="1"/>
    <xf numFmtId="3" fontId="5" fillId="14" borderId="43" xfId="0" applyNumberFormat="1" applyFont="1" applyFill="1" applyBorder="1"/>
    <xf numFmtId="0" fontId="6" fillId="0" borderId="0" xfId="0" applyFont="1" applyAlignment="1">
      <alignment horizontal="left" vertical="center"/>
    </xf>
    <xf numFmtId="0" fontId="21" fillId="7" borderId="334" xfId="0" applyFont="1" applyFill="1" applyBorder="1" applyAlignment="1">
      <alignment horizontal="center" vertical="center" wrapText="1"/>
    </xf>
    <xf numFmtId="3" fontId="11" fillId="0" borderId="44" xfId="0" applyNumberFormat="1" applyFont="1" applyBorder="1"/>
    <xf numFmtId="3" fontId="11" fillId="0" borderId="13" xfId="0" applyNumberFormat="1" applyFont="1" applyBorder="1"/>
    <xf numFmtId="3" fontId="11" fillId="0" borderId="45" xfId="0" applyNumberFormat="1" applyFont="1" applyBorder="1"/>
    <xf numFmtId="0" fontId="21" fillId="7" borderId="291" xfId="0" applyFont="1" applyFill="1" applyBorder="1" applyAlignment="1">
      <alignment horizontal="center" vertical="center" wrapText="1"/>
    </xf>
    <xf numFmtId="3" fontId="11" fillId="0" borderId="340" xfId="0" applyNumberFormat="1" applyFont="1" applyBorder="1"/>
    <xf numFmtId="3" fontId="11" fillId="0" borderId="17" xfId="0" applyNumberFormat="1" applyFont="1" applyBorder="1"/>
    <xf numFmtId="3" fontId="11" fillId="0" borderId="341" xfId="0" applyNumberFormat="1" applyFont="1" applyBorder="1"/>
    <xf numFmtId="3" fontId="11" fillId="3" borderId="13" xfId="0" applyNumberFormat="1" applyFont="1" applyFill="1" applyBorder="1"/>
    <xf numFmtId="3" fontId="11" fillId="3" borderId="45" xfId="0" applyNumberFormat="1" applyFont="1" applyFill="1" applyBorder="1"/>
    <xf numFmtId="0" fontId="21" fillId="7" borderId="56" xfId="0" applyFont="1" applyFill="1" applyBorder="1" applyAlignment="1">
      <alignment horizontal="center" vertical="center" wrapText="1"/>
    </xf>
    <xf numFmtId="3" fontId="11" fillId="0" borderId="46" xfId="0" applyNumberFormat="1" applyFont="1" applyBorder="1"/>
    <xf numFmtId="3" fontId="11" fillId="0" borderId="47" xfId="0" applyNumberFormat="1" applyFont="1" applyBorder="1"/>
    <xf numFmtId="3" fontId="11" fillId="3" borderId="47" xfId="0" applyNumberFormat="1" applyFont="1" applyFill="1" applyBorder="1"/>
    <xf numFmtId="3" fontId="11" fillId="3" borderId="48" xfId="0" applyNumberFormat="1" applyFont="1" applyFill="1" applyBorder="1"/>
    <xf numFmtId="3" fontId="202" fillId="0" borderId="13" xfId="0" applyNumberFormat="1" applyFont="1" applyBorder="1"/>
    <xf numFmtId="0" fontId="307" fillId="0" borderId="0" xfId="0" applyFont="1" applyAlignment="1">
      <alignment horizontal="center"/>
    </xf>
    <xf numFmtId="3" fontId="308" fillId="14" borderId="42" xfId="0" applyNumberFormat="1" applyFont="1" applyFill="1" applyBorder="1"/>
    <xf numFmtId="168" fontId="133" fillId="0" borderId="0" xfId="2" applyNumberFormat="1" applyFont="1" applyFill="1" applyAlignment="1">
      <alignment horizontal="left"/>
    </xf>
    <xf numFmtId="0" fontId="309" fillId="0" borderId="0" xfId="0" applyFont="1" applyAlignment="1">
      <alignment horizontal="left"/>
    </xf>
    <xf numFmtId="0" fontId="0" fillId="0" borderId="0" xfId="0" applyAlignment="1">
      <alignment horizontal="center"/>
    </xf>
    <xf numFmtId="9" fontId="200" fillId="0" borderId="0" xfId="2" applyFont="1" applyAlignment="1">
      <alignment horizontal="right" vertical="center"/>
    </xf>
    <xf numFmtId="0" fontId="275" fillId="3" borderId="0" xfId="0" applyFont="1" applyFill="1" applyAlignment="1">
      <alignment horizontal="center" vertical="center"/>
    </xf>
    <xf numFmtId="0" fontId="0" fillId="0" borderId="0" xfId="0" applyAlignment="1">
      <alignment horizontal="center"/>
    </xf>
    <xf numFmtId="9" fontId="310" fillId="0" borderId="37" xfId="2" applyFont="1" applyBorder="1"/>
    <xf numFmtId="9" fontId="310" fillId="0" borderId="0" xfId="2" applyFont="1" applyBorder="1"/>
    <xf numFmtId="0" fontId="20" fillId="10" borderId="4" xfId="85" applyFont="1" applyFill="1" applyBorder="1"/>
    <xf numFmtId="0" fontId="20" fillId="0" borderId="342" xfId="85" applyFont="1" applyFill="1" applyBorder="1"/>
    <xf numFmtId="3" fontId="228" fillId="77" borderId="343" xfId="0" applyNumberFormat="1" applyFont="1" applyFill="1" applyBorder="1"/>
    <xf numFmtId="3" fontId="228" fillId="77" borderId="256" xfId="0" applyNumberFormat="1" applyFont="1" applyFill="1" applyBorder="1"/>
    <xf numFmtId="3" fontId="228" fillId="77" borderId="344" xfId="0" applyNumberFormat="1" applyFont="1" applyFill="1" applyBorder="1"/>
    <xf numFmtId="3" fontId="265" fillId="28" borderId="343" xfId="0" applyNumberFormat="1" applyFont="1" applyFill="1" applyBorder="1"/>
    <xf numFmtId="3" fontId="265" fillId="28" borderId="256" xfId="0" applyNumberFormat="1" applyFont="1" applyFill="1" applyBorder="1"/>
    <xf numFmtId="3" fontId="265" fillId="28" borderId="344" xfId="0" applyNumberFormat="1" applyFont="1" applyFill="1" applyBorder="1"/>
    <xf numFmtId="3" fontId="265" fillId="0" borderId="345" xfId="0" applyNumberFormat="1" applyFont="1" applyBorder="1"/>
    <xf numFmtId="3" fontId="265" fillId="0" borderId="346" xfId="0" applyNumberFormat="1" applyFont="1" applyBorder="1"/>
    <xf numFmtId="3" fontId="265" fillId="0" borderId="347" xfId="0" applyNumberFormat="1" applyFont="1" applyBorder="1"/>
    <xf numFmtId="3" fontId="265" fillId="78" borderId="345" xfId="0" applyNumberFormat="1" applyFont="1" applyFill="1" applyBorder="1"/>
    <xf numFmtId="3" fontId="265" fillId="78" borderId="346" xfId="0" applyNumberFormat="1" applyFont="1" applyFill="1" applyBorder="1"/>
    <xf numFmtId="3" fontId="265" fillId="78" borderId="347" xfId="0" applyNumberFormat="1" applyFont="1" applyFill="1" applyBorder="1"/>
    <xf numFmtId="3" fontId="228" fillId="16" borderId="348" xfId="0" applyNumberFormat="1" applyFont="1" applyFill="1" applyBorder="1"/>
    <xf numFmtId="3" fontId="228" fillId="16" borderId="349" xfId="0" applyNumberFormat="1" applyFont="1" applyFill="1" applyBorder="1"/>
    <xf numFmtId="3" fontId="228" fillId="16" borderId="350" xfId="0" applyNumberFormat="1" applyFont="1" applyFill="1" applyBorder="1"/>
    <xf numFmtId="3" fontId="228" fillId="16" borderId="351" xfId="0" applyNumberFormat="1" applyFont="1" applyFill="1" applyBorder="1"/>
    <xf numFmtId="3" fontId="228" fillId="16" borderId="352" xfId="0" applyNumberFormat="1" applyFont="1" applyFill="1" applyBorder="1"/>
    <xf numFmtId="3" fontId="228" fillId="16" borderId="353" xfId="0" applyNumberFormat="1" applyFont="1" applyFill="1" applyBorder="1"/>
    <xf numFmtId="3" fontId="228" fillId="16" borderId="354" xfId="0" applyNumberFormat="1" applyFont="1" applyFill="1" applyBorder="1"/>
    <xf numFmtId="3" fontId="228" fillId="16" borderId="345" xfId="0" applyNumberFormat="1" applyFont="1" applyFill="1" applyBorder="1"/>
    <xf numFmtId="3" fontId="228" fillId="16" borderId="346" xfId="0" applyNumberFormat="1" applyFont="1" applyFill="1" applyBorder="1"/>
    <xf numFmtId="3" fontId="228" fillId="16" borderId="347" xfId="0" applyNumberFormat="1" applyFont="1" applyFill="1" applyBorder="1"/>
    <xf numFmtId="3" fontId="228" fillId="16" borderId="175" xfId="0" applyNumberFormat="1" applyFont="1" applyFill="1" applyBorder="1"/>
    <xf numFmtId="3" fontId="266" fillId="16" borderId="355" xfId="0" applyNumberFormat="1" applyFont="1" applyFill="1" applyBorder="1"/>
    <xf numFmtId="3" fontId="266" fillId="16" borderId="175" xfId="0" applyNumberFormat="1" applyFont="1" applyFill="1" applyBorder="1"/>
    <xf numFmtId="3" fontId="266" fillId="16" borderId="353" xfId="0" applyNumberFormat="1" applyFont="1" applyFill="1" applyBorder="1"/>
    <xf numFmtId="3" fontId="266" fillId="16" borderId="356" xfId="0" applyNumberFormat="1" applyFont="1" applyFill="1" applyBorder="1"/>
    <xf numFmtId="3" fontId="223" fillId="16" borderId="355" xfId="0" applyNumberFormat="1" applyFont="1" applyFill="1" applyBorder="1"/>
    <xf numFmtId="3" fontId="223" fillId="16" borderId="175" xfId="0" applyNumberFormat="1" applyFont="1" applyFill="1" applyBorder="1"/>
    <xf numFmtId="3" fontId="223" fillId="16" borderId="353" xfId="0" applyNumberFormat="1" applyFont="1" applyFill="1" applyBorder="1"/>
    <xf numFmtId="3" fontId="223" fillId="16" borderId="354" xfId="0" applyNumberFormat="1" applyFont="1" applyFill="1" applyBorder="1"/>
    <xf numFmtId="3" fontId="228" fillId="72" borderId="357" xfId="0" applyNumberFormat="1" applyFont="1" applyFill="1" applyBorder="1"/>
    <xf numFmtId="3" fontId="228" fillId="72" borderId="256" xfId="0" applyNumberFormat="1" applyFont="1" applyFill="1" applyBorder="1"/>
    <xf numFmtId="3" fontId="228" fillId="72" borderId="358" xfId="0" applyNumberFormat="1" applyFont="1" applyFill="1" applyBorder="1"/>
    <xf numFmtId="3" fontId="228" fillId="27" borderId="357" xfId="0" applyNumberFormat="1" applyFont="1" applyFill="1" applyBorder="1"/>
    <xf numFmtId="3" fontId="228" fillId="27" borderId="256" xfId="0" applyNumberFormat="1" applyFont="1" applyFill="1" applyBorder="1"/>
    <xf numFmtId="3" fontId="228" fillId="27" borderId="358" xfId="0" applyNumberFormat="1" applyFont="1" applyFill="1" applyBorder="1"/>
    <xf numFmtId="3" fontId="228" fillId="29" borderId="359" xfId="0" applyNumberFormat="1" applyFont="1" applyFill="1" applyBorder="1"/>
    <xf numFmtId="3" fontId="228" fillId="29" borderId="150" xfId="0" applyNumberFormat="1" applyFont="1" applyFill="1" applyBorder="1"/>
    <xf numFmtId="3" fontId="265" fillId="0" borderId="360" xfId="0" applyNumberFormat="1" applyFont="1" applyFill="1" applyBorder="1"/>
    <xf numFmtId="3" fontId="265" fillId="0" borderId="361" xfId="0" applyNumberFormat="1" applyFont="1" applyFill="1" applyBorder="1"/>
    <xf numFmtId="0" fontId="161" fillId="17" borderId="52" xfId="85" applyFont="1" applyFill="1" applyBorder="1"/>
    <xf numFmtId="0" fontId="161" fillId="0" borderId="11" xfId="85" applyFont="1" applyFill="1" applyBorder="1"/>
    <xf numFmtId="0" fontId="161" fillId="0" borderId="362" xfId="85" applyFont="1" applyFill="1" applyBorder="1"/>
    <xf numFmtId="3" fontId="228" fillId="77" borderId="363" xfId="0" applyNumberFormat="1" applyFont="1" applyFill="1" applyBorder="1"/>
    <xf numFmtId="3" fontId="228" fillId="77" borderId="364" xfId="0" applyNumberFormat="1" applyFont="1" applyFill="1" applyBorder="1"/>
    <xf numFmtId="3" fontId="228" fillId="77" borderId="365" xfId="0" applyNumberFormat="1" applyFont="1" applyFill="1" applyBorder="1"/>
    <xf numFmtId="3" fontId="265" fillId="28" borderId="363" xfId="0" applyNumberFormat="1" applyFont="1" applyFill="1" applyBorder="1"/>
    <xf numFmtId="3" fontId="265" fillId="28" borderId="364" xfId="0" applyNumberFormat="1" applyFont="1" applyFill="1" applyBorder="1"/>
    <xf numFmtId="3" fontId="265" fillId="28" borderId="365" xfId="0" applyNumberFormat="1" applyFont="1" applyFill="1" applyBorder="1"/>
    <xf numFmtId="3" fontId="265" fillId="0" borderId="366" xfId="0" applyNumberFormat="1" applyFont="1" applyBorder="1"/>
    <xf numFmtId="3" fontId="265" fillId="0" borderId="98" xfId="0" applyNumberFormat="1" applyFont="1" applyBorder="1"/>
    <xf numFmtId="3" fontId="265" fillId="0" borderId="367" xfId="0" applyNumberFormat="1" applyFont="1" applyBorder="1"/>
    <xf numFmtId="3" fontId="265" fillId="78" borderId="366" xfId="0" applyNumberFormat="1" applyFont="1" applyFill="1" applyBorder="1"/>
    <xf numFmtId="3" fontId="265" fillId="78" borderId="98" xfId="0" applyNumberFormat="1" applyFont="1" applyFill="1" applyBorder="1"/>
    <xf numFmtId="3" fontId="265" fillId="78" borderId="367" xfId="0" applyNumberFormat="1" applyFont="1" applyFill="1" applyBorder="1"/>
    <xf numFmtId="3" fontId="228" fillId="16" borderId="11" xfId="0" applyNumberFormat="1" applyFont="1" applyFill="1" applyBorder="1"/>
    <xf numFmtId="3" fontId="228" fillId="16" borderId="368" xfId="0" applyNumberFormat="1" applyFont="1" applyFill="1" applyBorder="1"/>
    <xf numFmtId="3" fontId="228" fillId="16" borderId="369" xfId="0" applyNumberFormat="1" applyFont="1" applyFill="1" applyBorder="1"/>
    <xf numFmtId="3" fontId="228" fillId="16" borderId="370" xfId="0" applyNumberFormat="1" applyFont="1" applyFill="1" applyBorder="1"/>
    <xf numFmtId="3" fontId="228" fillId="16" borderId="371" xfId="0" applyNumberFormat="1" applyFont="1" applyFill="1" applyBorder="1"/>
    <xf numFmtId="3" fontId="228" fillId="16" borderId="372" xfId="0" applyNumberFormat="1" applyFont="1" applyFill="1" applyBorder="1"/>
    <xf numFmtId="3" fontId="228" fillId="16" borderId="373" xfId="0" applyNumberFormat="1" applyFont="1" applyFill="1" applyBorder="1"/>
    <xf numFmtId="3" fontId="228" fillId="16" borderId="374" xfId="0" applyNumberFormat="1" applyFont="1" applyFill="1" applyBorder="1"/>
    <xf numFmtId="3" fontId="228" fillId="16" borderId="375" xfId="0" applyNumberFormat="1" applyFont="1" applyFill="1" applyBorder="1"/>
    <xf numFmtId="3" fontId="228" fillId="16" borderId="366" xfId="0" applyNumberFormat="1" applyFont="1" applyFill="1" applyBorder="1"/>
    <xf numFmtId="3" fontId="228" fillId="16" borderId="98" xfId="0" applyNumberFormat="1" applyFont="1" applyFill="1" applyBorder="1"/>
    <xf numFmtId="3" fontId="228" fillId="16" borderId="367" xfId="0" applyNumberFormat="1" applyFont="1" applyFill="1" applyBorder="1"/>
    <xf numFmtId="3" fontId="228" fillId="16" borderId="376" xfId="0" applyNumberFormat="1" applyFont="1" applyFill="1" applyBorder="1"/>
    <xf numFmtId="3" fontId="266" fillId="16" borderId="88" xfId="0" applyNumberFormat="1" applyFont="1" applyFill="1" applyBorder="1"/>
    <xf numFmtId="3" fontId="266" fillId="16" borderId="375" xfId="0" applyNumberFormat="1" applyFont="1" applyFill="1" applyBorder="1"/>
    <xf numFmtId="3" fontId="266" fillId="16" borderId="374" xfId="0" applyNumberFormat="1" applyFont="1" applyFill="1" applyBorder="1"/>
    <xf numFmtId="3" fontId="266" fillId="16" borderId="376" xfId="0" applyNumberFormat="1" applyFont="1" applyFill="1" applyBorder="1"/>
    <xf numFmtId="3" fontId="223" fillId="16" borderId="88" xfId="0" applyNumberFormat="1" applyFont="1" applyFill="1" applyBorder="1"/>
    <xf numFmtId="3" fontId="223" fillId="16" borderId="375" xfId="0" applyNumberFormat="1" applyFont="1" applyFill="1" applyBorder="1"/>
    <xf numFmtId="3" fontId="223" fillId="16" borderId="374" xfId="0" applyNumberFormat="1" applyFont="1" applyFill="1" applyBorder="1"/>
    <xf numFmtId="3" fontId="223" fillId="16" borderId="52" xfId="0" applyNumberFormat="1" applyFont="1" applyFill="1" applyBorder="1"/>
    <xf numFmtId="3" fontId="223" fillId="16" borderId="11" xfId="0" applyNumberFormat="1" applyFont="1" applyFill="1" applyBorder="1"/>
    <xf numFmtId="3" fontId="228" fillId="72" borderId="377" xfId="0" applyNumberFormat="1" applyFont="1" applyFill="1" applyBorder="1"/>
    <xf numFmtId="3" fontId="228" fillId="72" borderId="364" xfId="0" applyNumberFormat="1" applyFont="1" applyFill="1" applyBorder="1"/>
    <xf numFmtId="3" fontId="228" fillId="72" borderId="378" xfId="0" applyNumberFormat="1" applyFont="1" applyFill="1" applyBorder="1"/>
    <xf numFmtId="3" fontId="228" fillId="27" borderId="377" xfId="0" applyNumberFormat="1" applyFont="1" applyFill="1" applyBorder="1"/>
    <xf numFmtId="3" fontId="228" fillId="27" borderId="364" xfId="0" applyNumberFormat="1" applyFont="1" applyFill="1" applyBorder="1"/>
    <xf numFmtId="3" fontId="228" fillId="27" borderId="378" xfId="0" applyNumberFormat="1" applyFont="1" applyFill="1" applyBorder="1"/>
    <xf numFmtId="3" fontId="228" fillId="29" borderId="379" xfId="0" applyNumberFormat="1" applyFont="1" applyFill="1" applyBorder="1"/>
    <xf numFmtId="3" fontId="228" fillId="29" borderId="11" xfId="0" applyNumberFormat="1" applyFont="1" applyFill="1" applyBorder="1"/>
    <xf numFmtId="3" fontId="228" fillId="14" borderId="380" xfId="0" applyNumberFormat="1" applyFont="1" applyFill="1" applyBorder="1"/>
    <xf numFmtId="3" fontId="228" fillId="14" borderId="11" xfId="0" applyNumberFormat="1" applyFont="1" applyFill="1" applyBorder="1"/>
    <xf numFmtId="3" fontId="228" fillId="14" borderId="381" xfId="0" applyNumberFormat="1" applyFont="1" applyFill="1" applyBorder="1"/>
    <xf numFmtId="3" fontId="228" fillId="30" borderId="380" xfId="0" applyNumberFormat="1" applyFont="1" applyFill="1" applyBorder="1"/>
    <xf numFmtId="3" fontId="228" fillId="30" borderId="11" xfId="0" applyNumberFormat="1" applyFont="1" applyFill="1" applyBorder="1"/>
    <xf numFmtId="3" fontId="228" fillId="30" borderId="381" xfId="0" applyNumberFormat="1" applyFont="1" applyFill="1" applyBorder="1"/>
    <xf numFmtId="3" fontId="267" fillId="27" borderId="11" xfId="0" applyNumberFormat="1" applyFont="1" applyFill="1" applyBorder="1"/>
    <xf numFmtId="3" fontId="267" fillId="2" borderId="11" xfId="0" applyNumberFormat="1" applyFont="1" applyFill="1" applyBorder="1"/>
    <xf numFmtId="3" fontId="267" fillId="76" borderId="11" xfId="0" applyNumberFormat="1" applyFont="1" applyFill="1" applyBorder="1"/>
    <xf numFmtId="3" fontId="223" fillId="28" borderId="11" xfId="0" applyNumberFormat="1" applyFont="1" applyFill="1" applyBorder="1"/>
    <xf numFmtId="3" fontId="268" fillId="14" borderId="11" xfId="0" applyNumberFormat="1" applyFont="1" applyFill="1" applyBorder="1"/>
    <xf numFmtId="3" fontId="267" fillId="27" borderId="52" xfId="0" applyNumberFormat="1" applyFont="1" applyFill="1" applyBorder="1"/>
    <xf numFmtId="0" fontId="224" fillId="4" borderId="366" xfId="0" applyFont="1" applyFill="1" applyBorder="1"/>
    <xf numFmtId="3" fontId="265" fillId="0" borderId="382" xfId="0" applyNumberFormat="1" applyFont="1" applyFill="1" applyBorder="1"/>
    <xf numFmtId="3" fontId="265" fillId="0" borderId="383" xfId="0" applyNumberFormat="1" applyFont="1" applyFill="1" applyBorder="1"/>
    <xf numFmtId="9" fontId="2" fillId="0" borderId="11" xfId="2" applyFont="1" applyFill="1" applyBorder="1" applyAlignment="1">
      <alignment horizontal="center"/>
    </xf>
    <xf numFmtId="9" fontId="224" fillId="0" borderId="11" xfId="2" applyFont="1" applyFill="1" applyBorder="1" applyAlignment="1">
      <alignment horizontal="center"/>
    </xf>
    <xf numFmtId="0" fontId="220" fillId="16" borderId="37" xfId="0" applyFont="1" applyFill="1" applyBorder="1" applyAlignment="1">
      <alignment horizontal="center" vertical="center"/>
    </xf>
    <xf numFmtId="0" fontId="220" fillId="16" borderId="0" xfId="0" applyFont="1" applyFill="1" applyBorder="1" applyAlignment="1">
      <alignment horizontal="center" vertical="center"/>
    </xf>
    <xf numFmtId="0" fontId="184" fillId="16" borderId="37" xfId="0" applyFont="1" applyFill="1" applyBorder="1" applyAlignment="1">
      <alignment horizontal="center" vertical="center"/>
    </xf>
    <xf numFmtId="0" fontId="184" fillId="16" borderId="0" xfId="0" applyFont="1" applyFill="1" applyBorder="1" applyAlignment="1">
      <alignment horizontal="center" vertical="center"/>
    </xf>
    <xf numFmtId="0" fontId="106" fillId="0" borderId="0" xfId="85" applyFont="1" applyFill="1"/>
    <xf numFmtId="0" fontId="311" fillId="0" borderId="0" xfId="85" applyFont="1" applyFill="1"/>
    <xf numFmtId="0" fontId="312" fillId="0" borderId="0" xfId="85" applyFont="1" applyFill="1" applyBorder="1"/>
    <xf numFmtId="0" fontId="313" fillId="0" borderId="0" xfId="85" applyFont="1" applyFill="1" applyBorder="1" applyAlignment="1">
      <alignment horizontal="center"/>
    </xf>
    <xf numFmtId="0" fontId="106" fillId="0" borderId="0" xfId="85" applyFont="1" applyFill="1" applyBorder="1"/>
    <xf numFmtId="0" fontId="160" fillId="0" borderId="0" xfId="85" applyFont="1" applyFill="1" applyBorder="1"/>
    <xf numFmtId="3" fontId="314" fillId="0" borderId="0" xfId="85" applyNumberFormat="1" applyFont="1" applyFill="1" applyBorder="1"/>
    <xf numFmtId="168" fontId="315" fillId="0" borderId="0" xfId="2" applyNumberFormat="1" applyFont="1" applyBorder="1" applyAlignment="1">
      <alignment horizontal="center"/>
    </xf>
    <xf numFmtId="3" fontId="154" fillId="0" borderId="0" xfId="85" applyNumberFormat="1" applyFont="1" applyFill="1" applyBorder="1"/>
    <xf numFmtId="3" fontId="106" fillId="0" borderId="0" xfId="85" applyNumberFormat="1" applyFont="1" applyFill="1" applyBorder="1"/>
    <xf numFmtId="169" fontId="40" fillId="17" borderId="0" xfId="1" applyNumberFormat="1" applyFont="1" applyFill="1" applyAlignment="1">
      <alignment vertical="center"/>
    </xf>
    <xf numFmtId="168" fontId="315" fillId="0" borderId="33" xfId="2" applyNumberFormat="1" applyFont="1" applyBorder="1" applyAlignment="1">
      <alignment horizontal="center" vertical="center"/>
    </xf>
    <xf numFmtId="9" fontId="154" fillId="0" borderId="0" xfId="2" applyFont="1" applyFill="1" applyBorder="1"/>
    <xf numFmtId="9" fontId="311" fillId="0" borderId="0" xfId="2" applyFont="1" applyFill="1" applyBorder="1"/>
    <xf numFmtId="172" fontId="135" fillId="13" borderId="0" xfId="0" applyNumberFormat="1" applyFont="1" applyFill="1" applyBorder="1" applyAlignment="1">
      <alignment horizontal="center" vertical="center" wrapText="1"/>
    </xf>
    <xf numFmtId="9" fontId="15" fillId="0" borderId="0" xfId="2" applyFont="1"/>
    <xf numFmtId="0" fontId="109" fillId="0" borderId="34" xfId="85" applyFont="1" applyFill="1" applyBorder="1"/>
    <xf numFmtId="10" fontId="7" fillId="0" borderId="23" xfId="2" applyNumberFormat="1" applyFont="1" applyFill="1" applyBorder="1"/>
    <xf numFmtId="10" fontId="7" fillId="0" borderId="255" xfId="2" applyNumberFormat="1" applyFont="1" applyFill="1" applyBorder="1"/>
    <xf numFmtId="10" fontId="7" fillId="0" borderId="19" xfId="2" applyNumberFormat="1" applyFont="1" applyFill="1" applyBorder="1"/>
    <xf numFmtId="10" fontId="7" fillId="0" borderId="338" xfId="2" applyNumberFormat="1" applyFont="1" applyFill="1" applyBorder="1"/>
    <xf numFmtId="10" fontId="6" fillId="0" borderId="11" xfId="2" applyNumberFormat="1" applyFont="1" applyFill="1" applyBorder="1" applyAlignment="1">
      <alignment horizontal="center"/>
    </xf>
    <xf numFmtId="168" fontId="132" fillId="0" borderId="290" xfId="2" applyNumberFormat="1" applyFont="1" applyFill="1" applyBorder="1" applyAlignment="1"/>
    <xf numFmtId="168" fontId="132" fillId="0" borderId="129" xfId="2" applyNumberFormat="1" applyFont="1" applyFill="1" applyBorder="1" applyAlignment="1"/>
    <xf numFmtId="168" fontId="132" fillId="0" borderId="44" xfId="2" applyNumberFormat="1" applyFont="1" applyFill="1" applyBorder="1" applyAlignment="1"/>
    <xf numFmtId="168" fontId="132" fillId="0" borderId="46" xfId="2" applyNumberFormat="1" applyFont="1" applyFill="1" applyBorder="1" applyAlignment="1"/>
    <xf numFmtId="168" fontId="132" fillId="0" borderId="41" xfId="2" applyNumberFormat="1" applyFont="1" applyFill="1" applyBorder="1" applyAlignment="1"/>
    <xf numFmtId="168" fontId="132" fillId="0" borderId="68" xfId="2" applyNumberFormat="1" applyFont="1" applyFill="1" applyBorder="1" applyAlignment="1"/>
    <xf numFmtId="168" fontId="132" fillId="0" borderId="70" xfId="2" applyNumberFormat="1" applyFont="1" applyFill="1" applyBorder="1" applyAlignment="1"/>
    <xf numFmtId="168" fontId="132" fillId="0" borderId="71" xfId="2" applyNumberFormat="1" applyFont="1" applyFill="1" applyBorder="1" applyAlignment="1"/>
    <xf numFmtId="0" fontId="155" fillId="0" borderId="41" xfId="0" applyFont="1" applyFill="1" applyBorder="1" applyAlignment="1">
      <alignment horizontal="center" vertical="center" wrapText="1"/>
    </xf>
    <xf numFmtId="169" fontId="150" fillId="118" borderId="110" xfId="1" applyNumberFormat="1" applyFont="1" applyFill="1" applyBorder="1"/>
    <xf numFmtId="168" fontId="150" fillId="118" borderId="110" xfId="2" applyNumberFormat="1" applyFont="1" applyFill="1" applyBorder="1"/>
    <xf numFmtId="169" fontId="150" fillId="119" borderId="82" xfId="1" applyNumberFormat="1" applyFont="1" applyFill="1" applyBorder="1"/>
    <xf numFmtId="168" fontId="291" fillId="119" borderId="6" xfId="2" applyNumberFormat="1" applyFont="1" applyFill="1" applyBorder="1"/>
    <xf numFmtId="169" fontId="150" fillId="120" borderId="6" xfId="1" applyNumberFormat="1" applyFont="1" applyFill="1" applyBorder="1"/>
    <xf numFmtId="168" fontId="291" fillId="120" borderId="6" xfId="2" applyNumberFormat="1" applyFont="1" applyFill="1" applyBorder="1"/>
    <xf numFmtId="169" fontId="150" fillId="5" borderId="6" xfId="1" applyNumberFormat="1" applyFont="1" applyFill="1" applyBorder="1"/>
    <xf numFmtId="168" fontId="291" fillId="5" borderId="8" xfId="2" applyNumberFormat="1" applyFont="1" applyFill="1" applyBorder="1"/>
    <xf numFmtId="9" fontId="19" fillId="5" borderId="33" xfId="2" applyFont="1" applyFill="1" applyBorder="1" applyAlignment="1">
      <alignment horizontal="center"/>
    </xf>
    <xf numFmtId="0" fontId="0" fillId="14" borderId="35" xfId="0" applyFill="1" applyBorder="1"/>
    <xf numFmtId="0" fontId="5" fillId="14" borderId="49" xfId="0" applyFont="1" applyFill="1" applyBorder="1" applyAlignment="1">
      <alignment horizontal="center"/>
    </xf>
    <xf numFmtId="167" fontId="5" fillId="14" borderId="50" xfId="1" applyFont="1" applyFill="1" applyBorder="1" applyAlignment="1">
      <alignment horizontal="center"/>
    </xf>
    <xf numFmtId="167" fontId="5" fillId="14" borderId="51" xfId="1" applyFont="1" applyFill="1" applyBorder="1" applyAlignment="1">
      <alignment horizontal="center"/>
    </xf>
    <xf numFmtId="168" fontId="0" fillId="14" borderId="37" xfId="2" applyNumberFormat="1" applyFont="1" applyFill="1" applyBorder="1"/>
    <xf numFmtId="167" fontId="5" fillId="14" borderId="20" xfId="1" applyFont="1" applyFill="1" applyBorder="1" applyAlignment="1">
      <alignment horizontal="center"/>
    </xf>
    <xf numFmtId="9" fontId="5" fillId="14" borderId="33" xfId="2" applyFont="1" applyFill="1" applyBorder="1" applyAlignment="1">
      <alignment horizontal="center"/>
    </xf>
    <xf numFmtId="9" fontId="317" fillId="14" borderId="33" xfId="2" applyFont="1" applyFill="1" applyBorder="1" applyAlignment="1">
      <alignment horizontal="center"/>
    </xf>
    <xf numFmtId="0" fontId="220" fillId="0" borderId="0" xfId="0" applyFont="1" applyFill="1" applyBorder="1" applyAlignment="1">
      <alignment horizontal="center" vertical="center"/>
    </xf>
    <xf numFmtId="0" fontId="184" fillId="0" borderId="0" xfId="0" applyFont="1" applyFill="1" applyBorder="1" applyAlignment="1">
      <alignment horizontal="center" vertical="center"/>
    </xf>
    <xf numFmtId="9" fontId="310" fillId="0" borderId="0" xfId="2" applyNumberFormat="1" applyFont="1" applyBorder="1"/>
    <xf numFmtId="0" fontId="20" fillId="5" borderId="4" xfId="85" applyFont="1" applyFill="1" applyBorder="1"/>
    <xf numFmtId="169" fontId="200" fillId="114" borderId="0" xfId="1" applyNumberFormat="1" applyFont="1" applyFill="1" applyAlignment="1">
      <alignment vertical="center"/>
    </xf>
    <xf numFmtId="169" fontId="200" fillId="114" borderId="0" xfId="1" applyNumberFormat="1" applyFont="1" applyFill="1" applyAlignment="1">
      <alignment horizontal="right" vertical="center"/>
    </xf>
    <xf numFmtId="3" fontId="55" fillId="114" borderId="0" xfId="0" applyNumberFormat="1" applyFont="1" applyFill="1" applyAlignment="1">
      <alignment horizontal="right" vertical="center"/>
    </xf>
    <xf numFmtId="3" fontId="55" fillId="0" borderId="0" xfId="0" applyNumberFormat="1" applyFont="1" applyAlignment="1">
      <alignment horizontal="right" vertical="center"/>
    </xf>
    <xf numFmtId="3" fontId="318" fillId="3" borderId="6" xfId="67" applyNumberFormat="1" applyFont="1" applyFill="1" applyBorder="1" applyAlignment="1">
      <alignment horizontal="right"/>
    </xf>
    <xf numFmtId="10" fontId="15" fillId="72" borderId="0" xfId="0" applyNumberFormat="1" applyFont="1" applyFill="1" applyBorder="1"/>
    <xf numFmtId="10" fontId="15" fillId="28" borderId="7" xfId="0" applyNumberFormat="1" applyFont="1" applyFill="1" applyBorder="1"/>
    <xf numFmtId="0" fontId="20" fillId="14" borderId="0" xfId="85" applyFont="1" applyFill="1" applyBorder="1" applyAlignment="1">
      <alignment horizontal="center"/>
    </xf>
    <xf numFmtId="0" fontId="112" fillId="74" borderId="0" xfId="85" applyFont="1" applyFill="1" applyBorder="1" applyAlignment="1">
      <alignment horizontal="center"/>
    </xf>
    <xf numFmtId="0" fontId="220" fillId="16" borderId="7" xfId="0" applyFont="1" applyFill="1" applyBorder="1" applyAlignment="1">
      <alignment horizontal="center" vertical="center"/>
    </xf>
    <xf numFmtId="3" fontId="0" fillId="0" borderId="0" xfId="0" applyNumberFormat="1" applyBorder="1" applyAlignment="1">
      <alignment wrapText="1"/>
    </xf>
    <xf numFmtId="3" fontId="0" fillId="0" borderId="0" xfId="0" applyNumberFormat="1" applyFill="1" applyBorder="1" applyAlignment="1">
      <alignment wrapText="1"/>
    </xf>
    <xf numFmtId="3" fontId="0" fillId="30" borderId="0" xfId="0" applyNumberFormat="1" applyFill="1" applyBorder="1" applyAlignment="1">
      <alignment wrapText="1"/>
    </xf>
    <xf numFmtId="3" fontId="0" fillId="0" borderId="40" xfId="0" applyNumberFormat="1" applyBorder="1"/>
    <xf numFmtId="3" fontId="0" fillId="0" borderId="33" xfId="0" applyNumberFormat="1" applyBorder="1"/>
    <xf numFmtId="3" fontId="0" fillId="30" borderId="33" xfId="0" applyNumberFormat="1" applyFill="1" applyBorder="1" applyAlignment="1">
      <alignment wrapText="1"/>
    </xf>
    <xf numFmtId="0" fontId="117" fillId="0" borderId="0" xfId="85" applyFont="1" applyAlignment="1">
      <alignment vertical="center"/>
    </xf>
    <xf numFmtId="0" fontId="221" fillId="4" borderId="337" xfId="0" applyFont="1" applyFill="1" applyBorder="1" applyAlignment="1">
      <alignment vertical="center"/>
    </xf>
    <xf numFmtId="0" fontId="262" fillId="8" borderId="75" xfId="0" applyFont="1" applyFill="1" applyBorder="1" applyAlignment="1">
      <alignment horizontal="center" vertical="center"/>
    </xf>
    <xf numFmtId="0" fontId="262" fillId="8" borderId="76" xfId="0" applyFont="1" applyFill="1" applyBorder="1" applyAlignment="1">
      <alignment horizontal="center" vertical="center"/>
    </xf>
    <xf numFmtId="0" fontId="144" fillId="3" borderId="0" xfId="0" applyFont="1" applyFill="1" applyBorder="1" applyAlignment="1">
      <alignment horizontal="center" vertical="center" wrapText="1"/>
    </xf>
    <xf numFmtId="0" fontId="38" fillId="0" borderId="0" xfId="0" applyFont="1" applyFill="1" applyAlignment="1">
      <alignment horizontal="center" vertical="center"/>
    </xf>
    <xf numFmtId="0" fontId="110" fillId="0" borderId="0" xfId="85" applyFont="1" applyFill="1" applyAlignment="1">
      <alignment vertical="center"/>
    </xf>
    <xf numFmtId="0" fontId="222" fillId="0" borderId="23" xfId="0" applyFont="1" applyFill="1" applyBorder="1" applyAlignment="1">
      <alignment horizontal="center" vertical="center"/>
    </xf>
    <xf numFmtId="0" fontId="222" fillId="0" borderId="0" xfId="0" applyFont="1" applyFill="1" applyBorder="1" applyAlignment="1">
      <alignment horizontal="center" vertical="center"/>
    </xf>
    <xf numFmtId="0" fontId="222" fillId="0" borderId="63" xfId="0" applyFont="1" applyFill="1" applyBorder="1" applyAlignment="1">
      <alignment horizontal="center" vertical="center"/>
    </xf>
    <xf numFmtId="0" fontId="222" fillId="0" borderId="152" xfId="0" applyFont="1" applyFill="1" applyBorder="1" applyAlignment="1">
      <alignment horizontal="center" vertical="center"/>
    </xf>
    <xf numFmtId="0" fontId="220" fillId="0" borderId="151" xfId="0" applyFont="1" applyFill="1" applyBorder="1" applyAlignment="1">
      <alignment horizontal="center" vertical="center"/>
    </xf>
    <xf numFmtId="0" fontId="220" fillId="0" borderId="152" xfId="0" applyFont="1" applyFill="1" applyBorder="1" applyAlignment="1">
      <alignment horizontal="center" vertical="center"/>
    </xf>
    <xf numFmtId="0" fontId="220" fillId="16" borderId="321" xfId="0" applyFont="1" applyFill="1" applyBorder="1" applyAlignment="1">
      <alignment horizontal="center" vertical="center"/>
    </xf>
    <xf numFmtId="0" fontId="220" fillId="16" borderId="154" xfId="0" applyFont="1" applyFill="1" applyBorder="1" applyAlignment="1">
      <alignment horizontal="center" vertical="center"/>
    </xf>
    <xf numFmtId="0" fontId="220" fillId="16" borderId="322" xfId="0" applyFont="1" applyFill="1" applyBorder="1" applyAlignment="1">
      <alignment horizontal="center" vertical="center"/>
    </xf>
    <xf numFmtId="0" fontId="220" fillId="72" borderId="23" xfId="0" applyFont="1" applyFill="1" applyBorder="1" applyAlignment="1">
      <alignment horizontal="center" vertical="center"/>
    </xf>
    <xf numFmtId="0" fontId="220" fillId="72" borderId="0" xfId="0" applyFont="1" applyFill="1" applyBorder="1" applyAlignment="1">
      <alignment horizontal="center" vertical="center"/>
    </xf>
    <xf numFmtId="0" fontId="220" fillId="72" borderId="63" xfId="0" applyFont="1" applyFill="1" applyBorder="1" applyAlignment="1">
      <alignment horizontal="center" vertical="center"/>
    </xf>
    <xf numFmtId="0" fontId="220" fillId="14" borderId="23" xfId="0" applyFont="1" applyFill="1" applyBorder="1" applyAlignment="1">
      <alignment horizontal="center" vertical="center"/>
    </xf>
    <xf numFmtId="0" fontId="220" fillId="14" borderId="0" xfId="0" applyFont="1" applyFill="1" applyBorder="1" applyAlignment="1">
      <alignment horizontal="center" vertical="center"/>
    </xf>
    <xf numFmtId="0" fontId="220" fillId="14" borderId="63" xfId="0" applyFont="1" applyFill="1" applyBorder="1" applyAlignment="1">
      <alignment horizontal="center" vertical="center"/>
    </xf>
    <xf numFmtId="0" fontId="220" fillId="3" borderId="23" xfId="0" applyFont="1" applyFill="1" applyBorder="1" applyAlignment="1">
      <alignment horizontal="center" vertical="center"/>
    </xf>
    <xf numFmtId="0" fontId="220" fillId="3" borderId="0" xfId="0" applyFont="1" applyFill="1" applyBorder="1" applyAlignment="1">
      <alignment horizontal="center" vertical="center"/>
    </xf>
    <xf numFmtId="0" fontId="264" fillId="0" borderId="0" xfId="0" applyFont="1" applyFill="1" applyBorder="1" applyAlignment="1">
      <alignment horizontal="center" vertical="center"/>
    </xf>
    <xf numFmtId="0" fontId="236" fillId="0" borderId="0" xfId="0" applyFont="1" applyFill="1" applyBorder="1" applyAlignment="1">
      <alignment horizontal="center" vertical="center"/>
    </xf>
    <xf numFmtId="0" fontId="220" fillId="0" borderId="154" xfId="0" applyFont="1" applyFill="1" applyBorder="1" applyAlignment="1">
      <alignment horizontal="center" vertical="center"/>
    </xf>
    <xf numFmtId="0" fontId="220" fillId="12" borderId="0" xfId="0" applyFont="1" applyFill="1" applyBorder="1" applyAlignment="1">
      <alignment horizontal="center" vertical="center"/>
    </xf>
    <xf numFmtId="0" fontId="220" fillId="113" borderId="0" xfId="0" applyFont="1" applyFill="1" applyBorder="1" applyAlignment="1">
      <alignment horizontal="center" vertical="center"/>
    </xf>
    <xf numFmtId="0" fontId="220" fillId="73" borderId="0" xfId="0" applyFont="1" applyFill="1" applyBorder="1" applyAlignment="1">
      <alignment horizontal="center" vertical="center"/>
    </xf>
    <xf numFmtId="0" fontId="220" fillId="40" borderId="0" xfId="0" applyFont="1" applyFill="1" applyBorder="1" applyAlignment="1">
      <alignment horizontal="center" vertical="center"/>
    </xf>
    <xf numFmtId="0" fontId="234" fillId="75" borderId="0" xfId="0" applyFont="1" applyFill="1" applyBorder="1" applyAlignment="1">
      <alignment horizontal="center" vertical="center"/>
    </xf>
    <xf numFmtId="0" fontId="234" fillId="10" borderId="0" xfId="0" applyFont="1" applyFill="1" applyBorder="1" applyAlignment="1">
      <alignment horizontal="center" vertical="center"/>
    </xf>
    <xf numFmtId="0" fontId="220" fillId="113" borderId="37" xfId="0" applyFont="1" applyFill="1" applyBorder="1" applyAlignment="1">
      <alignment horizontal="center" vertical="center"/>
    </xf>
    <xf numFmtId="0" fontId="236" fillId="0" borderId="337" xfId="0" applyFont="1" applyFill="1" applyBorder="1" applyAlignment="1">
      <alignment horizontal="center" vertical="center"/>
    </xf>
    <xf numFmtId="0" fontId="236" fillId="0" borderId="131" xfId="0" applyFont="1" applyFill="1" applyBorder="1" applyAlignment="1">
      <alignment horizontal="center" vertical="center"/>
    </xf>
    <xf numFmtId="0" fontId="144" fillId="3" borderId="0" xfId="0" applyFont="1" applyFill="1" applyBorder="1" applyAlignment="1">
      <alignment horizontal="center" vertical="center"/>
    </xf>
    <xf numFmtId="0" fontId="28" fillId="16" borderId="323" xfId="0" applyFont="1" applyFill="1" applyBorder="1" applyAlignment="1">
      <alignment horizontal="center" vertical="center"/>
    </xf>
    <xf numFmtId="0" fontId="28" fillId="16" borderId="160" xfId="0" applyFont="1" applyFill="1" applyBorder="1" applyAlignment="1">
      <alignment horizontal="center" vertical="center"/>
    </xf>
    <xf numFmtId="0" fontId="28" fillId="16" borderId="324" xfId="0" applyFont="1" applyFill="1" applyBorder="1" applyAlignment="1">
      <alignment horizontal="center" vertical="center"/>
    </xf>
    <xf numFmtId="0" fontId="184" fillId="16" borderId="323" xfId="0" applyFont="1" applyFill="1" applyBorder="1" applyAlignment="1">
      <alignment horizontal="center" vertical="center"/>
    </xf>
    <xf numFmtId="0" fontId="184" fillId="16" borderId="160" xfId="0" applyFont="1" applyFill="1" applyBorder="1" applyAlignment="1">
      <alignment horizontal="center" vertical="center"/>
    </xf>
    <xf numFmtId="0" fontId="184" fillId="16" borderId="324" xfId="0" applyFont="1" applyFill="1" applyBorder="1" applyAlignment="1">
      <alignment horizontal="center" vertical="center"/>
    </xf>
    <xf numFmtId="0" fontId="184" fillId="16" borderId="325" xfId="0" applyFont="1" applyFill="1" applyBorder="1" applyAlignment="1">
      <alignment horizontal="center" vertical="center"/>
    </xf>
    <xf numFmtId="0" fontId="184" fillId="16" borderId="73" xfId="0" applyFont="1" applyFill="1" applyBorder="1" applyAlignment="1">
      <alignment horizontal="center" vertical="center"/>
    </xf>
    <xf numFmtId="0" fontId="184" fillId="16" borderId="326" xfId="0" applyFont="1" applyFill="1" applyBorder="1" applyAlignment="1">
      <alignment horizontal="center" vertical="center"/>
    </xf>
    <xf numFmtId="0" fontId="184" fillId="16" borderId="152" xfId="0" applyFont="1" applyFill="1" applyBorder="1" applyAlignment="1">
      <alignment horizontal="center" vertical="center"/>
    </xf>
    <xf numFmtId="0" fontId="184" fillId="16" borderId="165" xfId="0" applyFont="1" applyFill="1" applyBorder="1" applyAlignment="1">
      <alignment horizontal="center" vertical="center"/>
    </xf>
    <xf numFmtId="0" fontId="184" fillId="16" borderId="166" xfId="0" applyFont="1" applyFill="1" applyBorder="1" applyAlignment="1">
      <alignment horizontal="center" vertical="center"/>
    </xf>
    <xf numFmtId="0" fontId="184" fillId="16" borderId="167" xfId="0" applyFont="1" applyFill="1" applyBorder="1" applyAlignment="1">
      <alignment horizontal="center" vertical="center"/>
    </xf>
    <xf numFmtId="0" fontId="184" fillId="16" borderId="220" xfId="0" applyFont="1" applyFill="1" applyBorder="1" applyAlignment="1">
      <alignment horizontal="center" vertical="center"/>
    </xf>
    <xf numFmtId="0" fontId="184" fillId="16" borderId="151" xfId="0" applyFont="1" applyFill="1" applyBorder="1" applyAlignment="1">
      <alignment horizontal="center" vertical="center"/>
    </xf>
    <xf numFmtId="0" fontId="184" fillId="16" borderId="23" xfId="0" applyFont="1" applyFill="1" applyBorder="1" applyAlignment="1">
      <alignment horizontal="center" vertical="center"/>
    </xf>
    <xf numFmtId="0" fontId="184" fillId="16" borderId="63" xfId="0" applyFont="1" applyFill="1" applyBorder="1" applyAlignment="1">
      <alignment horizontal="center" vertical="center"/>
    </xf>
    <xf numFmtId="0" fontId="184" fillId="16" borderId="170" xfId="0" applyFont="1" applyFill="1" applyBorder="1" applyAlignment="1">
      <alignment horizontal="center" vertical="center"/>
    </xf>
    <xf numFmtId="0" fontId="184" fillId="16" borderId="171" xfId="0" applyFont="1" applyFill="1" applyBorder="1" applyAlignment="1">
      <alignment horizontal="center" vertical="center"/>
    </xf>
    <xf numFmtId="0" fontId="184" fillId="16" borderId="172" xfId="0" applyFont="1" applyFill="1" applyBorder="1" applyAlignment="1">
      <alignment horizontal="center" vertical="center"/>
    </xf>
    <xf numFmtId="0" fontId="184" fillId="16" borderId="173" xfId="0" applyFont="1" applyFill="1" applyBorder="1" applyAlignment="1">
      <alignment horizontal="center" vertical="center"/>
    </xf>
    <xf numFmtId="0" fontId="184" fillId="16" borderId="174" xfId="0" applyFont="1" applyFill="1" applyBorder="1" applyAlignment="1">
      <alignment horizontal="center" vertical="center"/>
    </xf>
    <xf numFmtId="0" fontId="184" fillId="16" borderId="175" xfId="0" applyFont="1" applyFill="1" applyBorder="1" applyAlignment="1">
      <alignment horizontal="center" vertical="center"/>
    </xf>
    <xf numFmtId="0" fontId="184" fillId="16" borderId="176" xfId="0" applyFont="1" applyFill="1" applyBorder="1" applyAlignment="1">
      <alignment horizontal="center" vertical="center"/>
    </xf>
    <xf numFmtId="0" fontId="184" fillId="16" borderId="78" xfId="0" applyFont="1" applyFill="1" applyBorder="1" applyAlignment="1">
      <alignment horizontal="center" vertical="center"/>
    </xf>
    <xf numFmtId="0" fontId="184" fillId="4" borderId="175" xfId="0" applyFont="1" applyFill="1" applyBorder="1" applyAlignment="1">
      <alignment horizontal="center" vertical="center"/>
    </xf>
    <xf numFmtId="0" fontId="184" fillId="4" borderId="176" xfId="0" applyFont="1" applyFill="1" applyBorder="1" applyAlignment="1">
      <alignment horizontal="center" vertical="center"/>
    </xf>
    <xf numFmtId="0" fontId="184" fillId="4" borderId="78" xfId="0" applyFont="1" applyFill="1" applyBorder="1" applyAlignment="1">
      <alignment horizontal="center" vertical="center"/>
    </xf>
    <xf numFmtId="0" fontId="29" fillId="4" borderId="0" xfId="0" applyFont="1" applyFill="1" applyBorder="1" applyAlignment="1">
      <alignment horizontal="center" vertical="center"/>
    </xf>
    <xf numFmtId="0" fontId="239" fillId="4" borderId="0" xfId="0" applyFont="1" applyFill="1" applyBorder="1" applyAlignment="1">
      <alignment horizontal="center" vertical="center"/>
    </xf>
    <xf numFmtId="0" fontId="29" fillId="4" borderId="37" xfId="0" applyFont="1" applyFill="1" applyBorder="1" applyAlignment="1">
      <alignment horizontal="center" vertical="center"/>
    </xf>
    <xf numFmtId="0" fontId="33" fillId="0" borderId="28" xfId="0" applyFont="1" applyFill="1" applyBorder="1" applyAlignment="1">
      <alignment horizontal="center" vertical="center"/>
    </xf>
    <xf numFmtId="168" fontId="58" fillId="3" borderId="0" xfId="0" applyNumberFormat="1" applyFont="1" applyFill="1" applyBorder="1" applyAlignment="1">
      <alignment horizontal="center" vertical="center" wrapText="1"/>
    </xf>
    <xf numFmtId="3" fontId="265" fillId="0" borderId="4" xfId="0" applyNumberFormat="1" applyFont="1" applyFill="1" applyBorder="1"/>
    <xf numFmtId="3" fontId="265" fillId="0" borderId="342" xfId="0" applyNumberFormat="1" applyFont="1" applyFill="1" applyBorder="1"/>
    <xf numFmtId="3" fontId="265" fillId="16" borderId="13" xfId="0" applyNumberFormat="1" applyFont="1" applyFill="1" applyBorder="1"/>
    <xf numFmtId="3" fontId="265" fillId="16" borderId="17" xfId="0" applyNumberFormat="1" applyFont="1" applyFill="1" applyBorder="1"/>
    <xf numFmtId="0" fontId="262" fillId="3" borderId="0" xfId="0" applyFont="1" applyFill="1" applyBorder="1" applyAlignment="1">
      <alignment horizontal="center" vertical="center"/>
    </xf>
    <xf numFmtId="0" fontId="236" fillId="3" borderId="0" xfId="0" applyFont="1" applyFill="1" applyBorder="1" applyAlignment="1">
      <alignment horizontal="center" vertical="center"/>
    </xf>
    <xf numFmtId="0" fontId="33" fillId="3" borderId="0" xfId="0" applyFont="1" applyFill="1" applyBorder="1" applyAlignment="1">
      <alignment horizontal="center" vertical="center"/>
    </xf>
    <xf numFmtId="0" fontId="220" fillId="16" borderId="0" xfId="0" applyFont="1" applyFill="1" applyAlignment="1">
      <alignment horizontal="center"/>
    </xf>
    <xf numFmtId="0" fontId="222" fillId="16" borderId="0" xfId="0" applyFont="1" applyFill="1" applyAlignment="1">
      <alignment horizontal="center"/>
    </xf>
    <xf numFmtId="0" fontId="220" fillId="16" borderId="0" xfId="0" applyFont="1" applyFill="1" applyBorder="1" applyAlignment="1">
      <alignment horizontal="center"/>
    </xf>
    <xf numFmtId="3" fontId="226" fillId="16" borderId="0" xfId="0" applyNumberFormat="1" applyFont="1" applyFill="1" applyBorder="1"/>
    <xf numFmtId="3" fontId="225" fillId="16" borderId="0" xfId="0" applyNumberFormat="1" applyFont="1" applyFill="1" applyBorder="1"/>
    <xf numFmtId="3" fontId="180" fillId="16" borderId="0" xfId="0" applyNumberFormat="1" applyFont="1" applyFill="1" applyBorder="1" applyAlignment="1">
      <alignment horizontal="center"/>
    </xf>
    <xf numFmtId="3" fontId="0" fillId="16" borderId="0" xfId="0" applyNumberFormat="1" applyFill="1" applyBorder="1"/>
    <xf numFmtId="3" fontId="229" fillId="16" borderId="0" xfId="0" applyNumberFormat="1" applyFont="1" applyFill="1" applyBorder="1"/>
    <xf numFmtId="3" fontId="230" fillId="16" borderId="0" xfId="0" applyNumberFormat="1" applyFont="1" applyFill="1" applyBorder="1"/>
    <xf numFmtId="3" fontId="0" fillId="16" borderId="0" xfId="0" applyNumberFormat="1" applyFill="1" applyBorder="1" applyAlignment="1">
      <alignment wrapText="1"/>
    </xf>
    <xf numFmtId="9" fontId="310" fillId="16" borderId="0" xfId="2" applyFont="1" applyFill="1" applyBorder="1"/>
    <xf numFmtId="0" fontId="13" fillId="16" borderId="0" xfId="0" applyFont="1" applyFill="1" applyBorder="1"/>
    <xf numFmtId="169" fontId="19" fillId="16" borderId="0" xfId="1" applyNumberFormat="1" applyFont="1" applyFill="1" applyBorder="1" applyAlignment="1">
      <alignment vertical="center"/>
    </xf>
    <xf numFmtId="9" fontId="109" fillId="16" borderId="33" xfId="2" applyFont="1" applyFill="1" applyBorder="1" applyAlignment="1">
      <alignment vertical="center"/>
    </xf>
    <xf numFmtId="0" fontId="184" fillId="0" borderId="7" xfId="0" applyFont="1" applyFill="1" applyBorder="1" applyAlignment="1">
      <alignment horizontal="center" vertical="center"/>
    </xf>
    <xf numFmtId="3" fontId="267" fillId="5" borderId="37" xfId="0" applyNumberFormat="1" applyFont="1" applyFill="1" applyBorder="1"/>
    <xf numFmtId="3" fontId="267" fillId="5" borderId="0" xfId="0" applyNumberFormat="1" applyFont="1" applyFill="1" applyBorder="1"/>
    <xf numFmtId="3" fontId="267" fillId="5" borderId="52" xfId="0" applyNumberFormat="1" applyFont="1" applyFill="1" applyBorder="1"/>
    <xf numFmtId="3" fontId="267" fillId="5" borderId="11" xfId="0" applyNumberFormat="1" applyFont="1" applyFill="1" applyBorder="1"/>
    <xf numFmtId="0" fontId="220" fillId="5" borderId="35" xfId="0" applyFont="1" applyFill="1" applyBorder="1" applyAlignment="1">
      <alignment horizontal="center" vertical="center"/>
    </xf>
    <xf numFmtId="0" fontId="220" fillId="5" borderId="29" xfId="0" applyFont="1" applyFill="1" applyBorder="1" applyAlignment="1">
      <alignment horizontal="center" vertical="center"/>
    </xf>
    <xf numFmtId="0" fontId="220" fillId="5" borderId="30" xfId="0" applyFont="1" applyFill="1" applyBorder="1" applyAlignment="1">
      <alignment horizontal="center" vertical="center"/>
    </xf>
    <xf numFmtId="3" fontId="223" fillId="16" borderId="5" xfId="0" applyNumberFormat="1" applyFont="1" applyFill="1" applyBorder="1"/>
    <xf numFmtId="9" fontId="310" fillId="0" borderId="7" xfId="2" applyNumberFormat="1" applyFont="1" applyBorder="1"/>
    <xf numFmtId="3" fontId="265" fillId="3" borderId="13" xfId="0" applyNumberFormat="1" applyFont="1" applyFill="1" applyBorder="1"/>
    <xf numFmtId="3" fontId="144" fillId="3" borderId="24" xfId="0" applyNumberFormat="1" applyFont="1" applyFill="1" applyBorder="1"/>
    <xf numFmtId="3" fontId="144" fillId="3" borderId="36" xfId="0" applyNumberFormat="1" applyFont="1" applyFill="1" applyBorder="1"/>
    <xf numFmtId="3" fontId="322" fillId="16" borderId="70" xfId="0" applyNumberFormat="1" applyFont="1" applyFill="1" applyBorder="1"/>
    <xf numFmtId="3" fontId="322" fillId="16" borderId="82" xfId="0" applyNumberFormat="1" applyFont="1" applyFill="1" applyBorder="1"/>
    <xf numFmtId="3" fontId="322" fillId="16" borderId="5" xfId="0" applyNumberFormat="1" applyFont="1" applyFill="1" applyBorder="1"/>
    <xf numFmtId="9" fontId="2" fillId="3" borderId="0" xfId="2" applyFont="1" applyFill="1" applyAlignment="1">
      <alignment horizontal="center"/>
    </xf>
    <xf numFmtId="168" fontId="106" fillId="14" borderId="84" xfId="2" applyNumberFormat="1" applyFont="1" applyFill="1" applyBorder="1"/>
    <xf numFmtId="3" fontId="106" fillId="14" borderId="37" xfId="0" applyNumberFormat="1" applyFont="1" applyFill="1" applyBorder="1"/>
    <xf numFmtId="168" fontId="106" fillId="14" borderId="7" xfId="2" applyNumberFormat="1" applyFont="1" applyFill="1" applyBorder="1"/>
    <xf numFmtId="3" fontId="106" fillId="14" borderId="52" xfId="0" applyNumberFormat="1" applyFont="1" applyFill="1" applyBorder="1"/>
    <xf numFmtId="168" fontId="106" fillId="32" borderId="0" xfId="2" applyNumberFormat="1" applyFont="1" applyFill="1" applyBorder="1"/>
    <xf numFmtId="168" fontId="106" fillId="32" borderId="11" xfId="2" applyNumberFormat="1" applyFont="1" applyFill="1" applyBorder="1"/>
    <xf numFmtId="3" fontId="106" fillId="16" borderId="37" xfId="0" applyNumberFormat="1" applyFont="1" applyFill="1" applyBorder="1"/>
    <xf numFmtId="168" fontId="106" fillId="16" borderId="0" xfId="2" applyNumberFormat="1" applyFont="1" applyFill="1" applyBorder="1"/>
    <xf numFmtId="168" fontId="106" fillId="16" borderId="7" xfId="2" applyNumberFormat="1" applyFont="1" applyFill="1" applyBorder="1"/>
    <xf numFmtId="3" fontId="106" fillId="16" borderId="52" xfId="0" applyNumberFormat="1" applyFont="1" applyFill="1" applyBorder="1"/>
    <xf numFmtId="168" fontId="106" fillId="16" borderId="11" xfId="2" applyNumberFormat="1" applyFont="1" applyFill="1" applyBorder="1"/>
    <xf numFmtId="168" fontId="106" fillId="16" borderId="84" xfId="2" applyNumberFormat="1" applyFont="1" applyFill="1" applyBorder="1"/>
    <xf numFmtId="0" fontId="290" fillId="0" borderId="0" xfId="0" applyFont="1" applyFill="1" applyBorder="1" applyAlignment="1">
      <alignment horizontal="center"/>
    </xf>
    <xf numFmtId="3" fontId="21" fillId="5" borderId="0" xfId="0" applyNumberFormat="1" applyFont="1" applyFill="1" applyBorder="1" applyAlignment="1">
      <alignment horizontal="left"/>
    </xf>
    <xf numFmtId="3" fontId="21" fillId="81" borderId="0" xfId="0" applyNumberFormat="1" applyFont="1" applyFill="1" applyBorder="1" applyAlignment="1">
      <alignment horizontal="left"/>
    </xf>
    <xf numFmtId="3" fontId="21" fillId="3" borderId="0" xfId="96" applyNumberFormat="1" applyFont="1" applyFill="1" applyBorder="1" applyAlignment="1">
      <alignment horizontal="left"/>
    </xf>
    <xf numFmtId="0" fontId="107" fillId="16" borderId="0" xfId="0" applyFont="1" applyFill="1" applyAlignment="1">
      <alignment horizontal="left" vertical="center" wrapText="1"/>
    </xf>
    <xf numFmtId="9" fontId="156" fillId="16" borderId="0" xfId="2" applyFont="1" applyFill="1" applyAlignment="1">
      <alignment horizontal="center"/>
    </xf>
    <xf numFmtId="0" fontId="155" fillId="16" borderId="37" xfId="0" applyFont="1" applyFill="1" applyBorder="1" applyAlignment="1">
      <alignment horizontal="center" vertical="center" wrapText="1"/>
    </xf>
    <xf numFmtId="3" fontId="106" fillId="16" borderId="6" xfId="67" applyNumberFormat="1" applyFont="1" applyFill="1" applyBorder="1" applyAlignment="1">
      <alignment horizontal="right"/>
    </xf>
    <xf numFmtId="3" fontId="167" fillId="16" borderId="5" xfId="67" applyNumberFormat="1" applyFont="1" applyFill="1" applyBorder="1" applyAlignment="1">
      <alignment horizontal="right"/>
    </xf>
    <xf numFmtId="3" fontId="154" fillId="16" borderId="11" xfId="0" applyNumberFormat="1" applyFont="1" applyFill="1" applyBorder="1"/>
    <xf numFmtId="0" fontId="55" fillId="16" borderId="0" xfId="0" applyFont="1" applyFill="1" applyBorder="1" applyAlignment="1">
      <alignment horizontal="center" vertical="center"/>
    </xf>
    <xf numFmtId="168" fontId="58" fillId="16" borderId="0" xfId="2" applyNumberFormat="1" applyFont="1" applyFill="1" applyBorder="1" applyAlignment="1">
      <alignment horizontal="center"/>
    </xf>
    <xf numFmtId="168" fontId="57" fillId="16" borderId="0" xfId="2" applyNumberFormat="1" applyFont="1" applyFill="1" applyAlignment="1">
      <alignment horizontal="center"/>
    </xf>
    <xf numFmtId="10" fontId="201"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9" fontId="164" fillId="16" borderId="0" xfId="1" applyNumberFormat="1" applyFont="1" applyFill="1" applyBorder="1" applyAlignment="1">
      <alignment horizontal="center" vertical="center"/>
    </xf>
    <xf numFmtId="0" fontId="155" fillId="16" borderId="0" xfId="0" applyFont="1" applyFill="1" applyBorder="1" applyAlignment="1">
      <alignment horizontal="center" vertical="center" wrapText="1"/>
    </xf>
    <xf numFmtId="168" fontId="132" fillId="16" borderId="0" xfId="2" applyNumberFormat="1" applyFont="1" applyFill="1" applyBorder="1" applyAlignment="1"/>
    <xf numFmtId="169" fontId="214" fillId="16" borderId="0" xfId="1" applyNumberFormat="1" applyFont="1" applyFill="1" applyBorder="1"/>
    <xf numFmtId="168" fontId="214" fillId="16" borderId="0" xfId="2" applyNumberFormat="1" applyFont="1" applyFill="1" applyBorder="1"/>
    <xf numFmtId="168" fontId="217" fillId="16" borderId="0" xfId="2" applyNumberFormat="1" applyFont="1" applyFill="1" applyBorder="1"/>
    <xf numFmtId="169" fontId="21" fillId="16" borderId="0" xfId="1" applyNumberFormat="1" applyFont="1" applyFill="1" applyBorder="1"/>
    <xf numFmtId="168" fontId="12" fillId="16" borderId="0" xfId="2" applyNumberFormat="1" applyFont="1" applyFill="1" applyBorder="1"/>
    <xf numFmtId="0" fontId="70" fillId="16" borderId="0" xfId="0" applyFont="1" applyFill="1"/>
    <xf numFmtId="167" fontId="5" fillId="16" borderId="0" xfId="1" applyFont="1" applyFill="1" applyBorder="1" applyAlignment="1">
      <alignment horizontal="center"/>
    </xf>
    <xf numFmtId="9" fontId="5" fillId="16" borderId="0" xfId="2" applyFont="1" applyFill="1" applyBorder="1" applyAlignment="1">
      <alignment horizontal="center"/>
    </xf>
    <xf numFmtId="9" fontId="317" fillId="16" borderId="0" xfId="2" applyFont="1" applyFill="1" applyBorder="1" applyAlignment="1">
      <alignment horizontal="center"/>
    </xf>
    <xf numFmtId="0" fontId="5" fillId="16" borderId="0" xfId="0" applyFont="1" applyFill="1"/>
    <xf numFmtId="0" fontId="41" fillId="16" borderId="0" xfId="0" applyFont="1" applyFill="1" applyBorder="1" applyAlignment="1">
      <alignment horizontal="center"/>
    </xf>
    <xf numFmtId="169" fontId="271" fillId="72" borderId="0" xfId="1" applyNumberFormat="1" applyFont="1" applyFill="1"/>
    <xf numFmtId="3" fontId="272" fillId="72" borderId="5" xfId="67" applyNumberFormat="1" applyFont="1" applyFill="1" applyBorder="1" applyAlignment="1">
      <alignment horizontal="right"/>
    </xf>
    <xf numFmtId="3" fontId="271" fillId="72" borderId="52" xfId="67" applyNumberFormat="1" applyFont="1" applyFill="1" applyBorder="1" applyAlignment="1">
      <alignment horizontal="right"/>
    </xf>
    <xf numFmtId="0" fontId="192" fillId="27" borderId="11" xfId="0" applyFont="1" applyFill="1" applyBorder="1" applyAlignment="1">
      <alignment horizontal="center" vertical="center" wrapText="1"/>
    </xf>
    <xf numFmtId="3" fontId="213" fillId="27" borderId="6" xfId="67" applyNumberFormat="1" applyFont="1" applyFill="1" applyBorder="1" applyAlignment="1">
      <alignment horizontal="right"/>
    </xf>
    <xf numFmtId="3" fontId="213" fillId="27" borderId="0" xfId="67" applyNumberFormat="1" applyFont="1" applyFill="1" applyBorder="1" applyAlignment="1">
      <alignment horizontal="right"/>
    </xf>
    <xf numFmtId="3" fontId="286" fillId="27" borderId="23" xfId="67" applyNumberFormat="1" applyFont="1" applyFill="1" applyBorder="1" applyAlignment="1">
      <alignment horizontal="right"/>
    </xf>
    <xf numFmtId="3" fontId="288" fillId="27" borderId="63" xfId="67" applyNumberFormat="1" applyFont="1" applyFill="1" applyBorder="1" applyAlignment="1">
      <alignment horizontal="right"/>
    </xf>
    <xf numFmtId="3" fontId="272" fillId="27" borderId="63" xfId="67" applyNumberFormat="1" applyFont="1" applyFill="1" applyBorder="1" applyAlignment="1">
      <alignment horizontal="right"/>
    </xf>
    <xf numFmtId="3" fontId="202" fillId="27" borderId="63" xfId="67" applyNumberFormat="1" applyFont="1" applyFill="1" applyBorder="1" applyAlignment="1">
      <alignment horizontal="right"/>
    </xf>
    <xf numFmtId="3" fontId="213" fillId="27" borderId="8" xfId="67" applyNumberFormat="1" applyFont="1" applyFill="1" applyBorder="1" applyAlignment="1">
      <alignment horizontal="right"/>
    </xf>
    <xf numFmtId="3" fontId="213" fillId="27" borderId="33" xfId="67" applyNumberFormat="1" applyFont="1" applyFill="1" applyBorder="1" applyAlignment="1">
      <alignment horizontal="right"/>
    </xf>
    <xf numFmtId="3" fontId="286" fillId="27" borderId="255" xfId="67" applyNumberFormat="1" applyFont="1" applyFill="1" applyBorder="1" applyAlignment="1">
      <alignment horizontal="right"/>
    </xf>
    <xf numFmtId="3" fontId="288" fillId="27" borderId="384" xfId="67" applyNumberFormat="1" applyFont="1" applyFill="1" applyBorder="1" applyAlignment="1">
      <alignment horizontal="right"/>
    </xf>
    <xf numFmtId="3" fontId="213" fillId="27" borderId="40" xfId="67" applyNumberFormat="1" applyFont="1" applyFill="1" applyBorder="1" applyAlignment="1">
      <alignment horizontal="right"/>
    </xf>
    <xf numFmtId="3" fontId="202" fillId="27" borderId="255" xfId="67" applyNumberFormat="1" applyFont="1" applyFill="1" applyBorder="1" applyAlignment="1">
      <alignment horizontal="right"/>
    </xf>
    <xf numFmtId="3" fontId="286" fillId="27" borderId="384" xfId="67" applyNumberFormat="1" applyFont="1" applyFill="1" applyBorder="1" applyAlignment="1">
      <alignment horizontal="right"/>
    </xf>
    <xf numFmtId="0" fontId="166" fillId="27" borderId="33" xfId="0" applyFont="1" applyFill="1" applyBorder="1"/>
    <xf numFmtId="0" fontId="192" fillId="0" borderId="0" xfId="0" applyFont="1" applyFill="1" applyAlignment="1">
      <alignment horizontal="center"/>
    </xf>
    <xf numFmtId="0" fontId="192" fillId="0" borderId="0" xfId="0" applyFont="1" applyFill="1" applyBorder="1" applyAlignment="1">
      <alignment horizontal="center" vertical="center" wrapText="1"/>
    </xf>
    <xf numFmtId="10" fontId="132" fillId="0" borderId="0" xfId="2" applyNumberFormat="1" applyFont="1" applyFill="1" applyBorder="1" applyAlignment="1">
      <alignment horizontal="center"/>
    </xf>
    <xf numFmtId="10" fontId="192" fillId="0" borderId="0" xfId="2" applyNumberFormat="1" applyFont="1" applyFill="1" applyBorder="1" applyAlignment="1">
      <alignment horizontal="center"/>
    </xf>
    <xf numFmtId="0" fontId="166" fillId="0" borderId="11" xfId="0" applyFont="1" applyFill="1" applyBorder="1"/>
    <xf numFmtId="3" fontId="154" fillId="0" borderId="0" xfId="0" applyNumberFormat="1" applyFont="1" applyFill="1" applyBorder="1"/>
    <xf numFmtId="0" fontId="132" fillId="0" borderId="0" xfId="0" applyFont="1" applyFill="1"/>
    <xf numFmtId="10" fontId="132" fillId="27" borderId="0" xfId="2" applyNumberFormat="1" applyFont="1" applyFill="1" applyBorder="1" applyAlignment="1">
      <alignment horizontal="center"/>
    </xf>
    <xf numFmtId="10" fontId="192" fillId="27" borderId="33" xfId="2" applyNumberFormat="1" applyFont="1" applyFill="1" applyBorder="1" applyAlignment="1">
      <alignment horizontal="center"/>
    </xf>
    <xf numFmtId="3" fontId="319" fillId="32" borderId="13" xfId="67" applyNumberFormat="1" applyFont="1" applyFill="1" applyBorder="1" applyAlignment="1">
      <alignment horizontal="right"/>
    </xf>
    <xf numFmtId="3" fontId="21" fillId="5" borderId="13" xfId="67" applyNumberFormat="1" applyFont="1" applyFill="1" applyBorder="1" applyAlignment="1">
      <alignment horizontal="right"/>
    </xf>
    <xf numFmtId="3" fontId="21" fillId="32" borderId="44" xfId="67" applyNumberFormat="1" applyFont="1" applyFill="1" applyBorder="1" applyAlignment="1">
      <alignment horizontal="right"/>
    </xf>
    <xf numFmtId="10" fontId="132" fillId="32" borderId="45" xfId="2" applyNumberFormat="1" applyFont="1" applyFill="1" applyBorder="1" applyAlignment="1">
      <alignment horizontal="center"/>
    </xf>
    <xf numFmtId="3" fontId="202" fillId="32" borderId="44" xfId="67" applyNumberFormat="1" applyFont="1" applyFill="1" applyBorder="1" applyAlignment="1">
      <alignment horizontal="right"/>
    </xf>
    <xf numFmtId="3" fontId="202" fillId="32" borderId="46" xfId="67" applyNumberFormat="1" applyFont="1" applyFill="1" applyBorder="1" applyAlignment="1">
      <alignment horizontal="right"/>
    </xf>
    <xf numFmtId="3" fontId="319" fillId="32" borderId="47" xfId="67" applyNumberFormat="1" applyFont="1" applyFill="1" applyBorder="1" applyAlignment="1">
      <alignment horizontal="right"/>
    </xf>
    <xf numFmtId="3" fontId="21" fillId="5" borderId="47" xfId="67" applyNumberFormat="1" applyFont="1" applyFill="1" applyBorder="1" applyAlignment="1">
      <alignment horizontal="right"/>
    </xf>
    <xf numFmtId="10" fontId="192" fillId="32" borderId="48" xfId="2" applyNumberFormat="1" applyFont="1" applyFill="1" applyBorder="1" applyAlignment="1">
      <alignment horizontal="center"/>
    </xf>
    <xf numFmtId="0" fontId="320" fillId="5" borderId="290" xfId="0" applyFont="1" applyFill="1" applyBorder="1" applyAlignment="1">
      <alignment horizontal="center" vertical="center" wrapText="1"/>
    </xf>
    <xf numFmtId="0" fontId="192" fillId="32" borderId="336" xfId="0" applyFont="1" applyFill="1" applyBorder="1" applyAlignment="1">
      <alignment horizontal="center" vertical="center" wrapText="1"/>
    </xf>
    <xf numFmtId="3" fontId="21" fillId="32" borderId="129" xfId="67" applyNumberFormat="1" applyFont="1" applyFill="1" applyBorder="1" applyAlignment="1">
      <alignment horizontal="right"/>
    </xf>
    <xf numFmtId="3" fontId="319" fillId="32" borderId="42" xfId="67" applyNumberFormat="1" applyFont="1" applyFill="1" applyBorder="1" applyAlignment="1">
      <alignment horizontal="right"/>
    </xf>
    <xf numFmtId="10" fontId="132" fillId="32" borderId="43" xfId="2" applyNumberFormat="1" applyFont="1" applyFill="1" applyBorder="1" applyAlignment="1">
      <alignment horizontal="center"/>
    </xf>
    <xf numFmtId="167" fontId="5" fillId="14" borderId="84" xfId="1" applyFont="1" applyFill="1" applyBorder="1" applyAlignment="1">
      <alignment horizontal="center"/>
    </xf>
    <xf numFmtId="167" fontId="5" fillId="14" borderId="39" xfId="1" applyFont="1" applyFill="1" applyBorder="1" applyAlignment="1">
      <alignment horizontal="center"/>
    </xf>
    <xf numFmtId="167" fontId="5" fillId="14" borderId="55" xfId="1" applyFont="1" applyFill="1" applyBorder="1" applyAlignment="1">
      <alignment horizontal="center"/>
    </xf>
    <xf numFmtId="9" fontId="19" fillId="5" borderId="9" xfId="2" applyFont="1" applyFill="1" applyBorder="1" applyAlignment="1">
      <alignment horizontal="center"/>
    </xf>
    <xf numFmtId="9" fontId="317" fillId="14" borderId="9" xfId="2" applyFont="1" applyFill="1" applyBorder="1" applyAlignment="1">
      <alignment horizontal="center"/>
    </xf>
    <xf numFmtId="3" fontId="321" fillId="5" borderId="130" xfId="0" applyNumberFormat="1" applyFont="1" applyFill="1" applyBorder="1"/>
    <xf numFmtId="3" fontId="106" fillId="32" borderId="19" xfId="0" applyNumberFormat="1" applyFont="1" applyFill="1" applyBorder="1"/>
    <xf numFmtId="0" fontId="166" fillId="32" borderId="90" xfId="0" applyFont="1" applyFill="1" applyBorder="1"/>
    <xf numFmtId="3" fontId="323" fillId="14" borderId="49" xfId="0" applyNumberFormat="1" applyFont="1" applyFill="1" applyBorder="1"/>
    <xf numFmtId="3" fontId="323" fillId="14" borderId="50" xfId="0" applyNumberFormat="1" applyFont="1" applyFill="1" applyBorder="1"/>
    <xf numFmtId="3" fontId="323" fillId="14" borderId="51" xfId="0" applyNumberFormat="1" applyFont="1" applyFill="1" applyBorder="1"/>
    <xf numFmtId="3" fontId="155" fillId="32" borderId="19" xfId="0" applyNumberFormat="1" applyFont="1" applyFill="1" applyBorder="1"/>
    <xf numFmtId="0" fontId="21" fillId="3" borderId="0" xfId="0" applyFont="1" applyFill="1" applyBorder="1" applyAlignment="1">
      <alignment horizontal="center" vertical="center" wrapText="1"/>
    </xf>
    <xf numFmtId="3" fontId="154" fillId="0" borderId="11" xfId="0" applyNumberFormat="1" applyFont="1" applyFill="1" applyBorder="1"/>
    <xf numFmtId="0" fontId="7" fillId="16" borderId="35" xfId="0" applyFont="1" applyFill="1" applyBorder="1" applyAlignment="1">
      <alignment horizontal="center" vertical="center" wrapText="1"/>
    </xf>
    <xf numFmtId="0" fontId="7" fillId="16" borderId="29" xfId="0" applyFont="1" applyFill="1" applyBorder="1" applyAlignment="1">
      <alignment horizontal="center" vertical="center" wrapText="1"/>
    </xf>
    <xf numFmtId="0" fontId="7" fillId="16" borderId="30" xfId="0" applyFont="1" applyFill="1" applyBorder="1" applyAlignment="1">
      <alignment horizontal="center" vertical="center" wrapText="1"/>
    </xf>
    <xf numFmtId="0" fontId="7" fillId="14" borderId="35" xfId="0" applyFont="1" applyFill="1" applyBorder="1" applyAlignment="1">
      <alignment horizontal="center" vertical="center" wrapText="1"/>
    </xf>
    <xf numFmtId="0" fontId="324" fillId="32" borderId="29" xfId="0" applyFont="1" applyFill="1" applyBorder="1" applyAlignment="1">
      <alignment horizontal="center" vertical="center" wrapText="1"/>
    </xf>
    <xf numFmtId="0" fontId="7" fillId="14" borderId="30" xfId="0" applyFont="1" applyFill="1" applyBorder="1" applyAlignment="1">
      <alignment horizontal="center" vertical="center" wrapText="1"/>
    </xf>
    <xf numFmtId="168" fontId="6" fillId="0" borderId="11" xfId="2" applyNumberFormat="1" applyFont="1" applyFill="1" applyBorder="1" applyAlignment="1">
      <alignment horizontal="center"/>
    </xf>
    <xf numFmtId="0" fontId="5" fillId="0" borderId="41" xfId="0" applyFont="1" applyBorder="1" applyAlignment="1">
      <alignment horizontal="center"/>
    </xf>
    <xf numFmtId="0" fontId="5" fillId="0" borderId="6" xfId="0" applyFont="1" applyBorder="1" applyAlignment="1">
      <alignment horizontal="center"/>
    </xf>
    <xf numFmtId="166" fontId="5" fillId="0" borderId="6" xfId="3" applyFont="1" applyBorder="1" applyAlignment="1">
      <alignment horizontal="left"/>
    </xf>
    <xf numFmtId="0" fontId="5" fillId="0" borderId="6" xfId="0" applyFont="1" applyBorder="1" applyAlignment="1">
      <alignment horizontal="left"/>
    </xf>
    <xf numFmtId="169" fontId="5" fillId="0" borderId="5" xfId="0" applyNumberFormat="1" applyFont="1" applyBorder="1"/>
    <xf numFmtId="169" fontId="5" fillId="0" borderId="6" xfId="1" applyNumberFormat="1" applyFont="1" applyBorder="1" applyAlignment="1">
      <alignment horizontal="left"/>
    </xf>
    <xf numFmtId="166" fontId="5" fillId="0" borderId="5" xfId="3" applyFont="1" applyBorder="1"/>
    <xf numFmtId="9" fontId="5" fillId="0" borderId="0" xfId="2" applyFont="1" applyAlignment="1">
      <alignment horizontal="left"/>
    </xf>
    <xf numFmtId="0" fontId="5" fillId="13" borderId="35" xfId="0" applyFont="1" applyFill="1" applyBorder="1"/>
    <xf numFmtId="166" fontId="5" fillId="13" borderId="41" xfId="3" applyFont="1" applyFill="1" applyBorder="1" applyAlignment="1">
      <alignment horizontal="left"/>
    </xf>
    <xf numFmtId="166" fontId="5" fillId="28"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8" borderId="334" xfId="0" applyFont="1" applyFill="1" applyBorder="1"/>
    <xf numFmtId="0" fontId="7" fillId="0" borderId="37" xfId="0" applyFont="1" applyFill="1" applyBorder="1" applyAlignment="1">
      <alignment horizontal="left"/>
    </xf>
    <xf numFmtId="0" fontId="145" fillId="0" borderId="37" xfId="0" applyFont="1" applyBorder="1" applyAlignment="1">
      <alignment horizontal="center"/>
    </xf>
    <xf numFmtId="169" fontId="145" fillId="0" borderId="37" xfId="1" applyNumberFormat="1" applyFont="1" applyBorder="1" applyAlignment="1">
      <alignment horizontal="left"/>
    </xf>
    <xf numFmtId="0" fontId="5" fillId="0" borderId="40" xfId="0" applyFont="1" applyBorder="1"/>
    <xf numFmtId="0" fontId="0" fillId="0" borderId="0" xfId="0" applyAlignment="1">
      <alignment horizontal="left" vertical="center" wrapText="1"/>
    </xf>
    <xf numFmtId="0" fontId="0" fillId="0" borderId="0" xfId="0" applyBorder="1" applyAlignment="1">
      <alignment horizont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19" fillId="0" borderId="0" xfId="0" applyFont="1" applyAlignment="1">
      <alignment horizontal="center" vertical="center"/>
    </xf>
    <xf numFmtId="0" fontId="0" fillId="0" borderId="0" xfId="0" applyAlignment="1">
      <alignment horizontal="center"/>
    </xf>
    <xf numFmtId="0" fontId="5" fillId="0" borderId="13" xfId="0" applyFont="1" applyBorder="1" applyAlignment="1">
      <alignment horizontal="center" vertical="center" wrapText="1"/>
    </xf>
    <xf numFmtId="0" fontId="41" fillId="0" borderId="0" xfId="0" applyFont="1" applyBorder="1"/>
    <xf numFmtId="0" fontId="41" fillId="0" borderId="0" xfId="0" applyFont="1" applyBorder="1" applyAlignment="1">
      <alignment horizontal="left"/>
    </xf>
    <xf numFmtId="0" fontId="204" fillId="0" borderId="0" xfId="0" applyFont="1" applyFill="1" applyBorder="1" applyAlignment="1">
      <alignment horizontal="left"/>
    </xf>
    <xf numFmtId="0" fontId="5" fillId="0" borderId="0" xfId="0" applyFont="1" applyBorder="1" applyAlignment="1">
      <alignment horizontal="left"/>
    </xf>
    <xf numFmtId="0" fontId="205" fillId="0" borderId="0" xfId="0" applyFont="1" applyFill="1" applyBorder="1" applyAlignment="1">
      <alignment horizontal="left"/>
    </xf>
    <xf numFmtId="0" fontId="5" fillId="0" borderId="66" xfId="0" applyFont="1" applyBorder="1"/>
    <xf numFmtId="9" fontId="5" fillId="0" borderId="110" xfId="2" applyFont="1" applyBorder="1"/>
    <xf numFmtId="3" fontId="121" fillId="93" borderId="37" xfId="0" applyNumberFormat="1" applyFont="1" applyFill="1" applyBorder="1" applyAlignment="1">
      <alignment horizontal="center" vertical="center"/>
    </xf>
    <xf numFmtId="2" fontId="121" fillId="92" borderId="37" xfId="0" applyNumberFormat="1" applyFont="1" applyFill="1" applyBorder="1" applyAlignment="1">
      <alignment horizontal="center" vertical="center"/>
    </xf>
    <xf numFmtId="2" fontId="121" fillId="94" borderId="37" xfId="0" applyNumberFormat="1" applyFont="1" applyFill="1" applyBorder="1" applyAlignment="1">
      <alignment horizontal="center" vertical="center"/>
    </xf>
    <xf numFmtId="0" fontId="121" fillId="93" borderId="37" xfId="0" applyFont="1" applyFill="1" applyBorder="1" applyAlignment="1">
      <alignment horizontal="center" vertical="center"/>
    </xf>
    <xf numFmtId="1" fontId="121" fillId="92" borderId="37" xfId="0" applyNumberFormat="1" applyFont="1" applyFill="1" applyBorder="1" applyAlignment="1">
      <alignment horizontal="center" vertical="center"/>
    </xf>
    <xf numFmtId="0" fontId="121" fillId="93" borderId="40" xfId="0" applyFont="1" applyFill="1" applyBorder="1" applyAlignment="1">
      <alignment horizontal="center" vertical="center"/>
    </xf>
    <xf numFmtId="0" fontId="121" fillId="94" borderId="37" xfId="0" applyFont="1" applyFill="1" applyBorder="1" applyAlignment="1">
      <alignment horizontal="center" vertical="center"/>
    </xf>
    <xf numFmtId="0" fontId="121" fillId="92" borderId="37" xfId="0" applyFont="1" applyFill="1" applyBorder="1" applyAlignment="1">
      <alignment horizontal="center" vertical="center"/>
    </xf>
    <xf numFmtId="0" fontId="121" fillId="92" borderId="40" xfId="0" applyFont="1" applyFill="1" applyBorder="1" applyAlignment="1">
      <alignment horizontal="center" vertical="center"/>
    </xf>
    <xf numFmtId="0" fontId="121" fillId="94" borderId="40"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5" fillId="0" borderId="0" xfId="0" applyFont="1" applyBorder="1" applyAlignment="1">
      <alignment horizontal="center" vertical="center"/>
    </xf>
    <xf numFmtId="0" fontId="260" fillId="32" borderId="0" xfId="0" applyFont="1" applyFill="1" applyBorder="1" applyAlignment="1">
      <alignment horizontal="center" vertical="center"/>
    </xf>
    <xf numFmtId="169" fontId="260" fillId="32" borderId="0" xfId="1" applyNumberFormat="1" applyFont="1" applyFill="1" applyBorder="1" applyAlignment="1">
      <alignment horizontal="center" vertical="center"/>
    </xf>
    <xf numFmtId="169" fontId="5" fillId="0" borderId="50" xfId="0" applyNumberFormat="1" applyFont="1" applyFill="1" applyBorder="1" applyAlignment="1">
      <alignment horizontal="center" vertical="center"/>
    </xf>
    <xf numFmtId="0" fontId="11" fillId="0" borderId="0" xfId="0" applyFont="1" applyAlignment="1">
      <alignment wrapText="1"/>
    </xf>
    <xf numFmtId="0" fontId="6" fillId="75" borderId="0" xfId="0" applyFont="1" applyFill="1" applyBorder="1" applyAlignment="1">
      <alignment horizontal="left" vertical="center" wrapText="1"/>
    </xf>
    <xf numFmtId="0" fontId="5" fillId="75" borderId="13" xfId="0" applyFont="1" applyFill="1" applyBorder="1" applyAlignment="1">
      <alignment horizontal="left" vertical="center" wrapText="1"/>
    </xf>
    <xf numFmtId="1" fontId="5" fillId="75" borderId="13" xfId="0" applyNumberFormat="1" applyFont="1" applyFill="1" applyBorder="1" applyAlignment="1">
      <alignment horizontal="center" vertical="center" wrapText="1"/>
    </xf>
    <xf numFmtId="3" fontId="5" fillId="75" borderId="13" xfId="0" applyNumberFormat="1" applyFont="1" applyFill="1" applyBorder="1" applyAlignment="1">
      <alignment horizontal="center" vertical="center" wrapText="1"/>
    </xf>
    <xf numFmtId="0" fontId="5" fillId="75" borderId="13" xfId="0" applyFont="1" applyFill="1" applyBorder="1" applyAlignment="1">
      <alignment horizontal="center" vertical="center" wrapText="1"/>
    </xf>
    <xf numFmtId="3" fontId="147" fillId="75" borderId="13" xfId="0" applyNumberFormat="1" applyFont="1" applyFill="1" applyBorder="1" applyAlignment="1">
      <alignment horizontal="center" vertical="center" wrapText="1"/>
    </xf>
    <xf numFmtId="0" fontId="19" fillId="75" borderId="0" xfId="0" applyFont="1" applyFill="1" applyBorder="1" applyAlignment="1">
      <alignment horizontal="left" vertical="center" wrapText="1"/>
    </xf>
    <xf numFmtId="0" fontId="325" fillId="0" borderId="13" xfId="0" applyFont="1" applyFill="1" applyBorder="1" applyAlignment="1">
      <alignment horizontal="center" vertical="center" wrapText="1"/>
    </xf>
    <xf numFmtId="0" fontId="325" fillId="0" borderId="385" xfId="0" applyNumberFormat="1" applyFont="1" applyBorder="1" applyAlignment="1">
      <alignment horizontal="center" vertical="center" wrapText="1"/>
    </xf>
    <xf numFmtId="0" fontId="325" fillId="0" borderId="386" xfId="0" applyNumberFormat="1" applyFont="1" applyBorder="1" applyAlignment="1">
      <alignment horizontal="center" vertical="center" wrapText="1"/>
    </xf>
    <xf numFmtId="3" fontId="325" fillId="0" borderId="13" xfId="0" applyNumberFormat="1" applyFont="1" applyFill="1" applyBorder="1" applyAlignment="1">
      <alignment horizontal="center" vertical="center" wrapText="1"/>
    </xf>
    <xf numFmtId="0" fontId="325" fillId="75" borderId="13" xfId="0" applyFont="1" applyFill="1" applyBorder="1" applyAlignment="1">
      <alignment horizontal="center" vertical="center" wrapText="1"/>
    </xf>
    <xf numFmtId="1" fontId="325" fillId="75" borderId="13" xfId="0" applyNumberFormat="1" applyFont="1" applyFill="1" applyBorder="1" applyAlignment="1">
      <alignment horizontal="center" vertical="center" wrapText="1"/>
    </xf>
    <xf numFmtId="1" fontId="325" fillId="0" borderId="0" xfId="0" applyNumberFormat="1" applyFont="1" applyFill="1" applyAlignment="1">
      <alignment horizontal="center" vertical="center" wrapText="1"/>
    </xf>
    <xf numFmtId="0" fontId="326" fillId="37" borderId="19" xfId="0" applyFont="1" applyFill="1" applyBorder="1" applyAlignment="1">
      <alignment horizontal="center" vertical="center" wrapText="1"/>
    </xf>
    <xf numFmtId="0" fontId="325" fillId="0" borderId="0" xfId="0" applyFont="1" applyFill="1" applyBorder="1" applyAlignment="1">
      <alignment horizontal="center" vertical="center" wrapText="1"/>
    </xf>
    <xf numFmtId="0" fontId="325" fillId="0" borderId="0" xfId="0" applyNumberFormat="1" applyFont="1" applyBorder="1" applyAlignment="1">
      <alignment horizontal="center" vertical="center" wrapText="1"/>
    </xf>
    <xf numFmtId="3" fontId="325" fillId="0" borderId="0" xfId="0" applyNumberFormat="1" applyFont="1" applyFill="1" applyBorder="1" applyAlignment="1">
      <alignment horizontal="center" vertical="center" wrapText="1"/>
    </xf>
    <xf numFmtId="0" fontId="325" fillId="75" borderId="0" xfId="0" applyFont="1" applyFill="1" applyBorder="1" applyAlignment="1">
      <alignment horizontal="center" vertical="center" wrapText="1"/>
    </xf>
    <xf numFmtId="1" fontId="325" fillId="75" borderId="0" xfId="0" applyNumberFormat="1" applyFont="1" applyFill="1" applyBorder="1" applyAlignment="1">
      <alignment horizontal="center" vertical="center" wrapText="1"/>
    </xf>
    <xf numFmtId="1" fontId="19" fillId="0" borderId="0" xfId="0" applyNumberFormat="1" applyFont="1" applyBorder="1" applyAlignment="1">
      <alignment horizontal="center" vertical="center" wrapText="1"/>
    </xf>
    <xf numFmtId="1" fontId="19" fillId="0" borderId="0" xfId="0" applyNumberFormat="1" applyFont="1" applyFill="1" applyBorder="1" applyAlignment="1">
      <alignment horizontal="center" vertical="center" wrapText="1"/>
    </xf>
    <xf numFmtId="0" fontId="291" fillId="14" borderId="51" xfId="0" applyFont="1" applyFill="1" applyBorder="1" applyAlignment="1">
      <alignment horizontal="center" vertical="center" wrapText="1"/>
    </xf>
    <xf numFmtId="9" fontId="12" fillId="14" borderId="55" xfId="0" applyNumberFormat="1" applyFont="1" applyFill="1" applyBorder="1" applyAlignment="1">
      <alignment horizontal="center" vertical="center"/>
    </xf>
    <xf numFmtId="10" fontId="291" fillId="98" borderId="51" xfId="0" applyNumberFormat="1" applyFont="1" applyFill="1" applyBorder="1" applyAlignment="1">
      <alignment horizontal="center" vertical="center"/>
    </xf>
    <xf numFmtId="0" fontId="14" fillId="0" borderId="13" xfId="0" applyFont="1" applyFill="1" applyBorder="1" applyAlignment="1">
      <alignment horizontal="center" wrapText="1"/>
    </xf>
    <xf numFmtId="9" fontId="14" fillId="0" borderId="13" xfId="2" applyFont="1" applyFill="1" applyBorder="1"/>
    <xf numFmtId="0" fontId="291" fillId="14" borderId="5" xfId="0" applyFont="1" applyFill="1" applyBorder="1" applyAlignment="1">
      <alignment horizontal="center" vertical="center" wrapText="1"/>
    </xf>
    <xf numFmtId="9" fontId="12" fillId="14" borderId="110" xfId="0" applyNumberFormat="1" applyFont="1" applyFill="1" applyBorder="1" applyAlignment="1">
      <alignment horizontal="center" vertical="center"/>
    </xf>
    <xf numFmtId="10" fontId="291" fillId="98" borderId="5" xfId="0" applyNumberFormat="1" applyFont="1" applyFill="1" applyBorder="1" applyAlignment="1">
      <alignment horizontal="center" vertical="center"/>
    </xf>
    <xf numFmtId="0" fontId="55" fillId="14" borderId="0" xfId="0" applyFont="1" applyFill="1" applyAlignment="1">
      <alignment horizontal="center"/>
    </xf>
    <xf numFmtId="0" fontId="35" fillId="0" borderId="0" xfId="0" applyNumberFormat="1" applyFont="1" applyAlignment="1">
      <alignment horizontal="center"/>
    </xf>
    <xf numFmtId="0" fontId="55" fillId="0" borderId="0" xfId="0" applyFont="1" applyAlignment="1">
      <alignment horizontal="center"/>
    </xf>
    <xf numFmtId="0" fontId="0" fillId="0" borderId="0" xfId="0" applyNumberFormat="1" applyAlignment="1">
      <alignment horizontal="center"/>
    </xf>
    <xf numFmtId="0" fontId="25" fillId="0" borderId="258" xfId="0" applyFont="1" applyBorder="1" applyAlignment="1">
      <alignment horizontal="left"/>
    </xf>
    <xf numFmtId="0" fontId="25" fillId="0" borderId="258" xfId="0" applyNumberFormat="1" applyFont="1" applyBorder="1" applyAlignment="1">
      <alignment horizontal="center"/>
    </xf>
    <xf numFmtId="0" fontId="327" fillId="0" borderId="0" xfId="0" applyFont="1"/>
    <xf numFmtId="0" fontId="70" fillId="10" borderId="46" xfId="0" applyFont="1" applyFill="1" applyBorder="1" applyAlignment="1">
      <alignment horizontal="center" vertical="center"/>
    </xf>
    <xf numFmtId="0" fontId="70" fillId="10" borderId="47" xfId="0" applyFont="1" applyFill="1" applyBorder="1" applyAlignment="1">
      <alignment horizontal="center" vertical="center" wrapText="1"/>
    </xf>
    <xf numFmtId="169" fontId="70" fillId="10" borderId="47" xfId="1" applyNumberFormat="1" applyFont="1" applyFill="1" applyBorder="1" applyAlignment="1">
      <alignment horizontal="center" vertical="center"/>
    </xf>
    <xf numFmtId="169" fontId="70" fillId="10" borderId="48" xfId="1" applyNumberFormat="1" applyFont="1" applyFill="1" applyBorder="1" applyAlignment="1">
      <alignment horizontal="center" vertical="center"/>
    </xf>
    <xf numFmtId="0" fontId="12" fillId="0" borderId="0" xfId="0" applyFont="1" applyFill="1" applyAlignment="1">
      <alignment horizontal="center" vertical="top" wrapText="1"/>
    </xf>
    <xf numFmtId="0" fontId="70" fillId="16" borderId="52" xfId="0" applyFont="1" applyFill="1" applyBorder="1" applyAlignment="1">
      <alignment wrapText="1"/>
    </xf>
    <xf numFmtId="3" fontId="70" fillId="16" borderId="389" xfId="0" applyNumberFormat="1" applyFont="1" applyFill="1" applyBorder="1" applyAlignment="1">
      <alignment wrapText="1"/>
    </xf>
    <xf numFmtId="3" fontId="70" fillId="16" borderId="390" xfId="0" applyNumberFormat="1" applyFont="1" applyFill="1" applyBorder="1" applyAlignment="1">
      <alignment wrapText="1"/>
    </xf>
    <xf numFmtId="0" fontId="166" fillId="0" borderId="0" xfId="0" applyFont="1"/>
    <xf numFmtId="0" fontId="0" fillId="0" borderId="393" xfId="0" applyBorder="1" applyAlignment="1">
      <alignment wrapText="1"/>
    </xf>
    <xf numFmtId="0" fontId="0" fillId="0" borderId="387" xfId="0" pivotButton="1" applyBorder="1" applyAlignment="1">
      <alignment wrapText="1"/>
    </xf>
    <xf numFmtId="0" fontId="0" fillId="0" borderId="394" xfId="0" applyBorder="1" applyAlignment="1">
      <alignment wrapText="1"/>
    </xf>
    <xf numFmtId="0" fontId="0" fillId="0" borderId="387" xfId="0" applyBorder="1" applyAlignment="1">
      <alignment wrapText="1"/>
    </xf>
    <xf numFmtId="0" fontId="0" fillId="0" borderId="391" xfId="0" applyBorder="1" applyAlignment="1">
      <alignment wrapText="1"/>
    </xf>
    <xf numFmtId="3" fontId="0" fillId="0" borderId="391" xfId="0" applyNumberFormat="1" applyBorder="1" applyAlignment="1">
      <alignment wrapText="1"/>
    </xf>
    <xf numFmtId="0" fontId="0" fillId="0" borderId="394" xfId="0" pivotButton="1" applyBorder="1" applyAlignment="1">
      <alignment wrapText="1"/>
    </xf>
    <xf numFmtId="0" fontId="0" fillId="0" borderId="395" xfId="0" applyBorder="1" applyAlignment="1">
      <alignment wrapText="1"/>
    </xf>
    <xf numFmtId="3" fontId="0" fillId="0" borderId="396" xfId="0" applyNumberFormat="1" applyBorder="1" applyAlignment="1">
      <alignment wrapText="1"/>
    </xf>
    <xf numFmtId="0" fontId="0" fillId="81" borderId="392" xfId="0" applyFill="1" applyBorder="1" applyAlignment="1">
      <alignment wrapText="1"/>
    </xf>
    <xf numFmtId="3" fontId="0" fillId="81" borderId="392" xfId="0" applyNumberFormat="1" applyFill="1" applyBorder="1" applyAlignment="1">
      <alignment wrapText="1"/>
    </xf>
    <xf numFmtId="3" fontId="0" fillId="81" borderId="397" xfId="0" applyNumberFormat="1" applyFill="1" applyBorder="1" applyAlignment="1">
      <alignment wrapText="1"/>
    </xf>
    <xf numFmtId="0" fontId="35" fillId="0" borderId="387" xfId="0" pivotButton="1" applyFont="1" applyBorder="1" applyAlignment="1">
      <alignment horizontal="center" vertical="center" wrapText="1"/>
    </xf>
    <xf numFmtId="0" fontId="35" fillId="0" borderId="387" xfId="0" applyFont="1" applyBorder="1" applyAlignment="1">
      <alignment horizontal="center" vertical="center" wrapText="1"/>
    </xf>
    <xf numFmtId="0" fontId="35" fillId="0" borderId="388" xfId="0" applyFont="1" applyBorder="1" applyAlignment="1">
      <alignment horizontal="center" vertical="center" wrapText="1"/>
    </xf>
    <xf numFmtId="0" fontId="35" fillId="0" borderId="0" xfId="0" applyFont="1" applyAlignment="1">
      <alignment horizontal="center" vertical="center" wrapText="1"/>
    </xf>
    <xf numFmtId="0" fontId="35" fillId="0" borderId="393" xfId="0" pivotButton="1" applyFont="1" applyBorder="1" applyAlignment="1">
      <alignment wrapText="1"/>
    </xf>
    <xf numFmtId="0" fontId="0" fillId="117" borderId="387" xfId="0" applyFill="1" applyBorder="1" applyAlignment="1">
      <alignment wrapText="1"/>
    </xf>
    <xf numFmtId="3" fontId="0" fillId="117" borderId="387" xfId="0" applyNumberFormat="1" applyFill="1" applyBorder="1" applyAlignment="1">
      <alignment wrapText="1"/>
    </xf>
    <xf numFmtId="3" fontId="0" fillId="117" borderId="388" xfId="0" applyNumberFormat="1" applyFill="1" applyBorder="1" applyAlignment="1">
      <alignment wrapText="1"/>
    </xf>
    <xf numFmtId="0" fontId="0" fillId="117" borderId="391" xfId="0" applyFill="1" applyBorder="1" applyAlignment="1">
      <alignment wrapText="1"/>
    </xf>
    <xf numFmtId="3" fontId="0" fillId="117" borderId="391" xfId="0" applyNumberFormat="1" applyFill="1" applyBorder="1" applyAlignment="1">
      <alignment wrapText="1"/>
    </xf>
    <xf numFmtId="3" fontId="0" fillId="117" borderId="396" xfId="0" applyNumberFormat="1" applyFill="1" applyBorder="1" applyAlignment="1">
      <alignment wrapText="1"/>
    </xf>
    <xf numFmtId="0" fontId="0" fillId="32" borderId="391" xfId="0" applyFill="1" applyBorder="1" applyAlignment="1">
      <alignment wrapText="1"/>
    </xf>
    <xf numFmtId="3" fontId="0" fillId="32" borderId="391" xfId="0" applyNumberFormat="1" applyFill="1" applyBorder="1" applyAlignment="1">
      <alignment wrapText="1"/>
    </xf>
    <xf numFmtId="3" fontId="0" fillId="32" borderId="396" xfId="0" applyNumberFormat="1" applyFill="1" applyBorder="1" applyAlignment="1">
      <alignment wrapText="1"/>
    </xf>
    <xf numFmtId="172" fontId="7" fillId="16" borderId="0" xfId="0" applyNumberFormat="1" applyFont="1" applyFill="1" applyBorder="1" applyAlignment="1">
      <alignment horizontal="left" vertical="center" wrapText="1"/>
    </xf>
    <xf numFmtId="0" fontId="0" fillId="0" borderId="0" xfId="0" applyAlignment="1">
      <alignment horizontal="left" wrapText="1"/>
    </xf>
    <xf numFmtId="0" fontId="0" fillId="0" borderId="0" xfId="0" applyNumberFormat="1" applyAlignment="1">
      <alignment horizontal="center" wrapText="1"/>
    </xf>
    <xf numFmtId="3" fontId="0" fillId="0" borderId="0" xfId="0" applyNumberFormat="1" applyAlignment="1">
      <alignment horizontal="center" wrapText="1"/>
    </xf>
    <xf numFmtId="0" fontId="0" fillId="0" borderId="0" xfId="0" pivotButton="1" applyAlignment="1">
      <alignment horizontal="center" vertical="center" wrapText="1"/>
    </xf>
    <xf numFmtId="0" fontId="0" fillId="0" borderId="0" xfId="0" applyNumberFormat="1" applyAlignment="1">
      <alignment horizontal="center" vertical="center" wrapText="1"/>
    </xf>
    <xf numFmtId="3" fontId="0" fillId="0" borderId="0" xfId="0" applyNumberFormat="1" applyAlignment="1">
      <alignment horizontal="center" vertical="center" wrapText="1"/>
    </xf>
    <xf numFmtId="0" fontId="41" fillId="80" borderId="53" xfId="0" applyFont="1" applyFill="1" applyBorder="1" applyAlignment="1">
      <alignment horizontal="center" vertical="center" wrapText="1"/>
    </xf>
    <xf numFmtId="0" fontId="41" fillId="80" borderId="37" xfId="0" applyFont="1" applyFill="1" applyBorder="1" applyAlignment="1">
      <alignment horizontal="center" vertical="center"/>
    </xf>
    <xf numFmtId="2" fontId="41" fillId="80" borderId="37" xfId="0" applyNumberFormat="1" applyFont="1" applyFill="1" applyBorder="1" applyAlignment="1">
      <alignment horizontal="center" vertical="center"/>
    </xf>
    <xf numFmtId="0" fontId="41" fillId="80" borderId="40" xfId="0" applyFont="1" applyFill="1" applyBorder="1" applyAlignment="1">
      <alignment horizontal="center" vertical="center"/>
    </xf>
    <xf numFmtId="0" fontId="20" fillId="121" borderId="53" xfId="0" applyFont="1" applyFill="1" applyBorder="1" applyAlignment="1">
      <alignment horizontal="center" vertical="center" wrapText="1"/>
    </xf>
    <xf numFmtId="0" fontId="121" fillId="121" borderId="37" xfId="0" applyFont="1" applyFill="1" applyBorder="1" applyAlignment="1">
      <alignment horizontal="center" vertical="center"/>
    </xf>
    <xf numFmtId="2" fontId="121" fillId="121" borderId="37" xfId="0" applyNumberFormat="1" applyFont="1" applyFill="1" applyBorder="1" applyAlignment="1">
      <alignment horizontal="center" vertical="center"/>
    </xf>
    <xf numFmtId="0" fontId="121" fillId="121" borderId="40" xfId="0" applyFont="1" applyFill="1" applyBorder="1" applyAlignment="1">
      <alignment horizontal="center" vertical="center"/>
    </xf>
    <xf numFmtId="2" fontId="121" fillId="122" borderId="37" xfId="0" applyNumberFormat="1" applyFont="1" applyFill="1" applyBorder="1" applyAlignment="1">
      <alignment horizontal="center" vertical="center"/>
    </xf>
    <xf numFmtId="0" fontId="121" fillId="122" borderId="37" xfId="0" applyFont="1" applyFill="1" applyBorder="1" applyAlignment="1">
      <alignment horizontal="center" vertical="center"/>
    </xf>
    <xf numFmtId="0" fontId="121" fillId="122" borderId="40" xfId="0" applyFont="1" applyFill="1" applyBorder="1" applyAlignment="1">
      <alignment horizontal="center" vertical="center"/>
    </xf>
    <xf numFmtId="1" fontId="121" fillId="94" borderId="37" xfId="0" applyNumberFormat="1" applyFont="1" applyFill="1" applyBorder="1" applyAlignment="1">
      <alignment horizontal="center" vertical="center"/>
    </xf>
    <xf numFmtId="3" fontId="121" fillId="94" borderId="37" xfId="0" applyNumberFormat="1" applyFont="1" applyFill="1" applyBorder="1" applyAlignment="1">
      <alignment horizontal="center" vertical="center"/>
    </xf>
    <xf numFmtId="1" fontId="121" fillId="123" borderId="37" xfId="0" applyNumberFormat="1" applyFont="1" applyFill="1" applyBorder="1" applyAlignment="1">
      <alignment horizontal="center" vertical="center"/>
    </xf>
    <xf numFmtId="2" fontId="121" fillId="123" borderId="37" xfId="0" applyNumberFormat="1" applyFont="1" applyFill="1" applyBorder="1" applyAlignment="1">
      <alignment horizontal="center" vertical="center"/>
    </xf>
    <xf numFmtId="0" fontId="121" fillId="123" borderId="37" xfId="0" applyFont="1" applyFill="1" applyBorder="1" applyAlignment="1">
      <alignment horizontal="center" vertical="center"/>
    </xf>
    <xf numFmtId="3" fontId="121" fillId="123" borderId="37" xfId="0" applyNumberFormat="1" applyFont="1" applyFill="1" applyBorder="1" applyAlignment="1">
      <alignment horizontal="center" vertical="center"/>
    </xf>
    <xf numFmtId="0" fontId="121" fillId="123" borderId="40" xfId="0" applyFont="1" applyFill="1" applyBorder="1" applyAlignment="1">
      <alignment horizontal="center" vertical="center"/>
    </xf>
    <xf numFmtId="1" fontId="121" fillId="123" borderId="6" xfId="0" applyNumberFormat="1" applyFont="1" applyFill="1" applyBorder="1" applyAlignment="1">
      <alignment horizontal="center" vertical="center"/>
    </xf>
    <xf numFmtId="2" fontId="121" fillId="123" borderId="6" xfId="0" applyNumberFormat="1" applyFont="1" applyFill="1" applyBorder="1" applyAlignment="1">
      <alignment horizontal="center" vertical="center"/>
    </xf>
    <xf numFmtId="0" fontId="121" fillId="123" borderId="6" xfId="0" applyFont="1" applyFill="1" applyBorder="1" applyAlignment="1">
      <alignment horizontal="center" vertical="center"/>
    </xf>
    <xf numFmtId="3" fontId="121" fillId="123" borderId="6" xfId="0" applyNumberFormat="1" applyFont="1" applyFill="1" applyBorder="1" applyAlignment="1">
      <alignment horizontal="center" vertical="center"/>
    </xf>
    <xf numFmtId="0" fontId="121" fillId="123" borderId="8" xfId="0" applyFont="1" applyFill="1" applyBorder="1" applyAlignment="1">
      <alignment horizontal="center" vertical="center"/>
    </xf>
    <xf numFmtId="0" fontId="121" fillId="122" borderId="398" xfId="0" applyFont="1" applyFill="1" applyBorder="1" applyAlignment="1">
      <alignment horizontal="center" vertical="center" wrapText="1"/>
    </xf>
    <xf numFmtId="0" fontId="121" fillId="94" borderId="398" xfId="0" applyFont="1" applyFill="1" applyBorder="1" applyAlignment="1">
      <alignment horizontal="center" vertical="center" wrapText="1"/>
    </xf>
    <xf numFmtId="0" fontId="121" fillId="123" borderId="398" xfId="0" applyFont="1" applyFill="1" applyBorder="1" applyAlignment="1">
      <alignment horizontal="center" vertical="center" wrapText="1"/>
    </xf>
    <xf numFmtId="0" fontId="121" fillId="123" borderId="399" xfId="0" applyFont="1" applyFill="1" applyBorder="1" applyAlignment="1">
      <alignment horizontal="center" vertical="center" wrapText="1"/>
    </xf>
    <xf numFmtId="0" fontId="41" fillId="12" borderId="68" xfId="0" applyFont="1" applyFill="1" applyBorder="1" applyAlignment="1">
      <alignment horizontal="center" vertical="center" wrapText="1"/>
    </xf>
    <xf numFmtId="0" fontId="41" fillId="12" borderId="6" xfId="0" applyFont="1" applyFill="1" applyBorder="1" applyAlignment="1">
      <alignment horizontal="center" vertical="center"/>
    </xf>
    <xf numFmtId="2" fontId="41" fillId="12" borderId="6" xfId="0" applyNumberFormat="1" applyFont="1" applyFill="1" applyBorder="1" applyAlignment="1">
      <alignment horizontal="center" vertical="center"/>
    </xf>
    <xf numFmtId="0" fontId="41" fillId="12" borderId="8" xfId="0" applyFont="1" applyFill="1" applyBorder="1" applyAlignment="1">
      <alignment horizontal="center" vertical="center"/>
    </xf>
    <xf numFmtId="0" fontId="0" fillId="0" borderId="35" xfId="0" applyFont="1" applyBorder="1"/>
    <xf numFmtId="0" fontId="0" fillId="0" borderId="30" xfId="0" applyFont="1" applyBorder="1"/>
    <xf numFmtId="0" fontId="0" fillId="0" borderId="37" xfId="0" applyFont="1" applyBorder="1"/>
    <xf numFmtId="0" fontId="0" fillId="0" borderId="0" xfId="0" applyFont="1" applyBorder="1"/>
    <xf numFmtId="0" fontId="0" fillId="0" borderId="7" xfId="0" applyFont="1" applyBorder="1"/>
    <xf numFmtId="167" fontId="0" fillId="0" borderId="0" xfId="1" applyFont="1" applyAlignment="1">
      <alignment horizontal="left"/>
    </xf>
    <xf numFmtId="172" fontId="129" fillId="30" borderId="7" xfId="0" applyNumberFormat="1" applyFont="1" applyFill="1" applyBorder="1" applyAlignment="1">
      <alignment horizontal="center" vertical="center"/>
    </xf>
    <xf numFmtId="172" fontId="39" fillId="75" borderId="34" xfId="0" applyNumberFormat="1" applyFont="1" applyFill="1" applyBorder="1" applyAlignment="1">
      <alignment horizontal="center" vertical="center" wrapText="1"/>
    </xf>
    <xf numFmtId="172" fontId="39" fillId="75" borderId="67" xfId="0" applyNumberFormat="1" applyFont="1" applyFill="1" applyBorder="1" applyAlignment="1">
      <alignment horizontal="center" vertical="center" wrapText="1"/>
    </xf>
    <xf numFmtId="172" fontId="72" fillId="13" borderId="30" xfId="0" applyNumberFormat="1" applyFont="1" applyFill="1" applyBorder="1" applyAlignment="1">
      <alignment horizontal="center" vertical="center" wrapText="1"/>
    </xf>
    <xf numFmtId="172" fontId="72" fillId="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9"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2" fontId="0" fillId="0" borderId="94" xfId="0" applyNumberFormat="1" applyFont="1" applyBorder="1" applyAlignment="1">
      <alignment horizontal="center" vertical="center" wrapText="1"/>
    </xf>
    <xf numFmtId="0" fontId="39" fillId="124" borderId="5" xfId="0" applyFont="1" applyFill="1" applyBorder="1" applyAlignment="1">
      <alignment vertical="center"/>
    </xf>
    <xf numFmtId="0" fontId="39" fillId="85" borderId="6" xfId="0" applyFont="1" applyFill="1" applyBorder="1" applyAlignment="1">
      <alignment vertical="center"/>
    </xf>
    <xf numFmtId="0" fontId="39" fillId="39" borderId="6" xfId="0" applyFont="1" applyFill="1" applyBorder="1" applyAlignment="1">
      <alignment vertical="center"/>
    </xf>
    <xf numFmtId="2" fontId="106" fillId="30" borderId="58" xfId="0" applyNumberFormat="1" applyFont="1" applyFill="1" applyBorder="1" applyAlignment="1">
      <alignment horizontal="center" vertical="center"/>
    </xf>
    <xf numFmtId="2" fontId="106" fillId="30" borderId="13" xfId="0" applyNumberFormat="1" applyFont="1" applyFill="1" applyBorder="1" applyAlignment="1">
      <alignment horizontal="center" vertical="center"/>
    </xf>
    <xf numFmtId="0" fontId="12" fillId="39" borderId="6" xfId="0" applyFont="1" applyFill="1" applyBorder="1" applyAlignment="1">
      <alignment horizontal="right" vertical="center"/>
    </xf>
    <xf numFmtId="2" fontId="21" fillId="28" borderId="58" xfId="0" applyNumberFormat="1" applyFont="1" applyFill="1" applyBorder="1" applyAlignment="1">
      <alignment horizontal="center" vertical="center"/>
    </xf>
    <xf numFmtId="9" fontId="21" fillId="28" borderId="58" xfId="2" applyFont="1" applyFill="1" applyBorder="1" applyAlignment="1">
      <alignment horizontal="center" vertical="center"/>
    </xf>
    <xf numFmtId="0" fontId="64" fillId="9" borderId="0" xfId="0" applyFont="1" applyFill="1" applyBorder="1" applyAlignment="1">
      <alignment horizontal="center" vertical="center"/>
    </xf>
    <xf numFmtId="0" fontId="39" fillId="39" borderId="6" xfId="0" applyFont="1" applyFill="1" applyBorder="1" applyAlignment="1">
      <alignment vertical="center" wrapText="1"/>
    </xf>
    <xf numFmtId="172" fontId="294" fillId="30" borderId="58" xfId="0" applyNumberFormat="1" applyFont="1" applyFill="1" applyBorder="1" applyAlignment="1">
      <alignment horizontal="center" vertical="center"/>
    </xf>
    <xf numFmtId="167" fontId="39" fillId="16" borderId="0" xfId="1" applyFont="1" applyFill="1" applyBorder="1" applyAlignment="1">
      <alignment horizontal="center" vertical="center"/>
    </xf>
    <xf numFmtId="167" fontId="39" fillId="16" borderId="0" xfId="2" applyNumberFormat="1" applyFont="1" applyFill="1" applyBorder="1" applyAlignment="1">
      <alignment horizontal="center" vertical="center"/>
    </xf>
    <xf numFmtId="2" fontId="292" fillId="32" borderId="20" xfId="0" applyNumberFormat="1" applyFont="1" applyFill="1" applyBorder="1" applyAlignment="1">
      <alignment horizontal="center" vertical="center"/>
    </xf>
    <xf numFmtId="2" fontId="107" fillId="35" borderId="50" xfId="0" applyNumberFormat="1" applyFont="1" applyFill="1" applyBorder="1" applyAlignment="1">
      <alignment horizontal="center" vertical="center"/>
    </xf>
    <xf numFmtId="172" fontId="39" fillId="32" borderId="27" xfId="0" applyNumberFormat="1" applyFont="1" applyFill="1" applyBorder="1" applyAlignment="1">
      <alignment vertical="center"/>
    </xf>
    <xf numFmtId="172" fontId="39" fillId="3" borderId="27" xfId="0" applyNumberFormat="1" applyFont="1" applyFill="1" applyBorder="1" applyAlignment="1">
      <alignment horizontal="center" vertical="center"/>
    </xf>
    <xf numFmtId="2" fontId="292" fillId="3" borderId="20" xfId="0" applyNumberFormat="1" applyFont="1" applyFill="1" applyBorder="1" applyAlignment="1">
      <alignment horizontal="center" vertical="center"/>
    </xf>
    <xf numFmtId="2" fontId="107" fillId="3" borderId="50" xfId="0" applyNumberFormat="1" applyFont="1" applyFill="1" applyBorder="1" applyAlignment="1">
      <alignment horizontal="center" vertical="center"/>
    </xf>
    <xf numFmtId="2" fontId="107" fillId="3" borderId="51" xfId="0" applyNumberFormat="1" applyFont="1" applyFill="1" applyBorder="1" applyAlignment="1">
      <alignment horizontal="center" vertical="center"/>
    </xf>
    <xf numFmtId="0" fontId="12" fillId="109" borderId="6" xfId="0" applyFont="1" applyFill="1" applyBorder="1" applyAlignment="1">
      <alignment vertical="center"/>
    </xf>
    <xf numFmtId="2" fontId="12" fillId="16" borderId="19" xfId="0" applyNumberFormat="1" applyFont="1" applyFill="1" applyBorder="1" applyAlignment="1">
      <alignment horizontal="center" vertical="center"/>
    </xf>
    <xf numFmtId="0" fontId="200" fillId="3" borderId="13" xfId="0" applyFont="1" applyFill="1" applyBorder="1" applyAlignment="1">
      <alignment horizontal="center" vertical="center"/>
    </xf>
    <xf numFmtId="0" fontId="200" fillId="3" borderId="13" xfId="0" applyFont="1" applyFill="1" applyBorder="1" applyAlignment="1">
      <alignment vertical="center"/>
    </xf>
    <xf numFmtId="169" fontId="200" fillId="3" borderId="44" xfId="1" applyNumberFormat="1" applyFont="1" applyFill="1" applyBorder="1"/>
    <xf numFmtId="169" fontId="200" fillId="3" borderId="13" xfId="1" applyNumberFormat="1" applyFont="1" applyFill="1" applyBorder="1"/>
    <xf numFmtId="169" fontId="200" fillId="3" borderId="24" xfId="1" applyNumberFormat="1" applyFont="1" applyFill="1" applyBorder="1"/>
    <xf numFmtId="10" fontId="55" fillId="3" borderId="45" xfId="2" applyNumberFormat="1" applyFont="1" applyFill="1" applyBorder="1" applyAlignment="1">
      <alignment vertical="center"/>
    </xf>
    <xf numFmtId="0" fontId="0" fillId="3" borderId="0" xfId="0" applyFont="1" applyFill="1" applyAlignment="1">
      <alignment vertical="center"/>
    </xf>
    <xf numFmtId="0" fontId="275" fillId="0" borderId="13" xfId="0" applyFont="1" applyFill="1" applyBorder="1" applyAlignment="1">
      <alignment horizontal="center" vertical="center"/>
    </xf>
    <xf numFmtId="169" fontId="328" fillId="0" borderId="44" xfId="1" applyNumberFormat="1" applyFont="1" applyBorder="1"/>
    <xf numFmtId="169" fontId="328" fillId="0" borderId="13" xfId="1" applyNumberFormat="1" applyFont="1" applyBorder="1"/>
    <xf numFmtId="169" fontId="328" fillId="0" borderId="24" xfId="1" applyNumberFormat="1" applyFont="1" applyBorder="1"/>
    <xf numFmtId="169" fontId="275" fillId="0" borderId="70" xfId="1" applyNumberFormat="1" applyFont="1" applyBorder="1" applyAlignment="1">
      <alignment vertical="center"/>
    </xf>
    <xf numFmtId="169" fontId="0" fillId="3" borderId="13" xfId="1" applyNumberFormat="1" applyFont="1" applyFill="1" applyBorder="1" applyAlignment="1">
      <alignment vertical="center"/>
    </xf>
    <xf numFmtId="0" fontId="200" fillId="0" borderId="20" xfId="0" applyFont="1" applyFill="1" applyBorder="1" applyAlignment="1">
      <alignment vertical="center"/>
    </xf>
    <xf numFmtId="0" fontId="14" fillId="0" borderId="0" xfId="0" applyFont="1" applyAlignment="1">
      <alignment horizontal="center" vertical="center"/>
    </xf>
    <xf numFmtId="169" fontId="55" fillId="3" borderId="45" xfId="1" applyNumberFormat="1" applyFont="1" applyFill="1" applyBorder="1"/>
    <xf numFmtId="0" fontId="329" fillId="0" borderId="0" xfId="0" applyFont="1" applyAlignment="1">
      <alignment horizontal="center" vertical="center"/>
    </xf>
    <xf numFmtId="0" fontId="330" fillId="0" borderId="0" xfId="0" applyFont="1" applyAlignment="1">
      <alignment horizontal="justify" vertical="center"/>
    </xf>
    <xf numFmtId="0" fontId="108" fillId="0" borderId="0" xfId="0" applyFont="1" applyAlignment="1">
      <alignment horizontal="justify" vertical="center"/>
    </xf>
    <xf numFmtId="0" fontId="23" fillId="0" borderId="0" xfId="4" applyAlignment="1" applyProtection="1">
      <alignment horizontal="justify" vertical="center"/>
    </xf>
    <xf numFmtId="0" fontId="108" fillId="0" borderId="0" xfId="0" applyFont="1" applyAlignment="1">
      <alignment vertical="center"/>
    </xf>
    <xf numFmtId="0" fontId="330" fillId="5" borderId="0" xfId="0" applyFont="1" applyFill="1" applyAlignment="1">
      <alignment horizontal="justify" vertical="center"/>
    </xf>
    <xf numFmtId="0" fontId="0" fillId="126" borderId="0" xfId="0" applyFill="1" applyAlignment="1">
      <alignment horizontal="center" wrapText="1"/>
    </xf>
    <xf numFmtId="0" fontId="0" fillId="127" borderId="0" xfId="0" applyFill="1" applyAlignment="1">
      <alignment horizontal="center" wrapText="1"/>
    </xf>
    <xf numFmtId="0" fontId="0" fillId="127" borderId="403" xfId="0" applyFill="1" applyBorder="1" applyAlignment="1">
      <alignment horizontal="center" wrapText="1"/>
    </xf>
    <xf numFmtId="0" fontId="0" fillId="127" borderId="404" xfId="0" applyFill="1" applyBorder="1" applyAlignment="1">
      <alignment horizontal="center" wrapText="1"/>
    </xf>
    <xf numFmtId="0" fontId="0" fillId="127" borderId="405" xfId="0" applyFill="1" applyBorder="1" applyAlignment="1">
      <alignment horizontal="center" wrapText="1"/>
    </xf>
    <xf numFmtId="0" fontId="0" fillId="126" borderId="0" xfId="0" applyFill="1" applyBorder="1" applyAlignment="1">
      <alignment horizontal="center" wrapText="1"/>
    </xf>
    <xf numFmtId="0" fontId="0" fillId="127" borderId="0" xfId="0" applyFill="1" applyBorder="1" applyAlignment="1">
      <alignment horizontal="center" wrapText="1"/>
    </xf>
    <xf numFmtId="0" fontId="333" fillId="125" borderId="0" xfId="0" applyFont="1" applyFill="1" applyBorder="1" applyAlignment="1">
      <alignment horizontal="center" vertical="center" wrapText="1"/>
    </xf>
    <xf numFmtId="0" fontId="70" fillId="72" borderId="13" xfId="1" applyNumberFormat="1" applyFont="1" applyFill="1" applyBorder="1" applyAlignment="1">
      <alignment vertical="top" wrapText="1"/>
    </xf>
    <xf numFmtId="0" fontId="14" fillId="0" borderId="13" xfId="0" applyFont="1" applyFill="1" applyBorder="1" applyAlignment="1">
      <alignment vertical="center"/>
    </xf>
    <xf numFmtId="172" fontId="7" fillId="16" borderId="0" xfId="0" applyNumberFormat="1" applyFont="1" applyFill="1" applyBorder="1" applyAlignment="1">
      <alignment horizontal="left" vertical="center" wrapText="1"/>
    </xf>
    <xf numFmtId="9" fontId="39" fillId="16" borderId="40" xfId="2" applyFont="1" applyFill="1" applyBorder="1" applyAlignment="1">
      <alignment horizontal="center" vertical="center"/>
    </xf>
    <xf numFmtId="9" fontId="39" fillId="16" borderId="33" xfId="2" applyFont="1" applyFill="1" applyBorder="1" applyAlignment="1">
      <alignment horizontal="center" vertical="center"/>
    </xf>
    <xf numFmtId="0" fontId="12" fillId="109" borderId="41" xfId="0" applyFont="1" applyFill="1" applyBorder="1" applyAlignment="1">
      <alignment vertical="center"/>
    </xf>
    <xf numFmtId="2" fontId="12" fillId="16" borderId="335" xfId="0" applyNumberFormat="1" applyFont="1" applyFill="1" applyBorder="1" applyAlignment="1">
      <alignment horizontal="center" vertical="center"/>
    </xf>
    <xf numFmtId="2" fontId="12" fillId="16" borderId="336" xfId="0" applyNumberFormat="1" applyFont="1" applyFill="1" applyBorder="1" applyAlignment="1">
      <alignment horizontal="center" vertical="center"/>
    </xf>
    <xf numFmtId="2" fontId="292" fillId="3" borderId="55" xfId="0" applyNumberFormat="1" applyFont="1" applyFill="1" applyBorder="1" applyAlignment="1">
      <alignment horizontal="center" vertical="center"/>
    </xf>
    <xf numFmtId="9" fontId="21" fillId="28" borderId="406" xfId="2" applyFont="1" applyFill="1" applyBorder="1" applyAlignment="1">
      <alignment horizontal="center" vertical="center"/>
    </xf>
    <xf numFmtId="0" fontId="39" fillId="85" borderId="6" xfId="0" applyFont="1" applyFill="1" applyBorder="1" applyAlignment="1">
      <alignment horizontal="right" vertical="center"/>
    </xf>
    <xf numFmtId="2" fontId="107" fillId="3" borderId="17" xfId="0" applyNumberFormat="1" applyFont="1" applyFill="1" applyBorder="1" applyAlignment="1">
      <alignment horizontal="center" vertical="center"/>
    </xf>
    <xf numFmtId="2" fontId="107" fillId="3" borderId="341" xfId="0" applyNumberFormat="1" applyFont="1" applyFill="1" applyBorder="1" applyAlignment="1">
      <alignment horizontal="center" vertical="center"/>
    </xf>
    <xf numFmtId="0" fontId="55" fillId="85" borderId="6" xfId="0" applyFont="1" applyFill="1" applyBorder="1" applyAlignment="1">
      <alignment vertical="center"/>
    </xf>
    <xf numFmtId="2" fontId="318" fillId="32" borderId="13" xfId="0" applyNumberFormat="1" applyFont="1" applyFill="1" applyBorder="1" applyAlignment="1">
      <alignment horizontal="center" vertical="center"/>
    </xf>
    <xf numFmtId="2" fontId="318" fillId="3" borderId="13" xfId="0" applyNumberFormat="1" applyFont="1" applyFill="1" applyBorder="1" applyAlignment="1">
      <alignment horizontal="center" vertical="center"/>
    </xf>
    <xf numFmtId="2" fontId="318" fillId="3" borderId="45" xfId="0" applyNumberFormat="1" applyFont="1" applyFill="1" applyBorder="1" applyAlignment="1">
      <alignment horizontal="center" vertical="center"/>
    </xf>
    <xf numFmtId="0" fontId="55" fillId="124" borderId="5" xfId="0" applyFont="1" applyFill="1" applyBorder="1" applyAlignment="1">
      <alignment vertical="center"/>
    </xf>
    <xf numFmtId="2" fontId="318" fillId="35" borderId="50" xfId="0" applyNumberFormat="1" applyFont="1" applyFill="1" applyBorder="1" applyAlignment="1">
      <alignment horizontal="center" vertical="center"/>
    </xf>
    <xf numFmtId="2" fontId="318" fillId="3" borderId="50" xfId="0" applyNumberFormat="1" applyFont="1" applyFill="1" applyBorder="1" applyAlignment="1">
      <alignment horizontal="center" vertical="center"/>
    </xf>
    <xf numFmtId="2" fontId="318" fillId="3" borderId="51" xfId="0" applyNumberFormat="1" applyFont="1" applyFill="1" applyBorder="1" applyAlignment="1">
      <alignment horizontal="center" vertical="center"/>
    </xf>
    <xf numFmtId="2" fontId="107" fillId="3" borderId="47" xfId="0" applyNumberFormat="1" applyFont="1" applyFill="1" applyBorder="1" applyAlignment="1">
      <alignment horizontal="center" vertical="center"/>
    </xf>
    <xf numFmtId="2" fontId="107" fillId="3" borderId="48" xfId="0" applyNumberFormat="1" applyFont="1" applyFill="1" applyBorder="1" applyAlignment="1">
      <alignment horizontal="center" vertical="center"/>
    </xf>
    <xf numFmtId="172" fontId="106" fillId="13" borderId="58" xfId="0" applyNumberFormat="1" applyFont="1" applyFill="1" applyBorder="1" applyAlignment="1">
      <alignment horizontal="center" vertical="center"/>
    </xf>
    <xf numFmtId="172" fontId="106" fillId="13" borderId="13" xfId="0" applyNumberFormat="1" applyFont="1" applyFill="1" applyBorder="1" applyAlignment="1">
      <alignment horizontal="center" vertical="center"/>
    </xf>
    <xf numFmtId="0" fontId="30" fillId="72" borderId="41" xfId="0" applyFont="1" applyFill="1" applyBorder="1" applyAlignment="1">
      <alignment horizontal="center" vertical="center" wrapText="1"/>
    </xf>
    <xf numFmtId="0" fontId="334" fillId="16" borderId="0" xfId="0" applyFont="1" applyFill="1" applyBorder="1" applyAlignment="1">
      <alignment horizontal="center" vertical="center" wrapText="1"/>
    </xf>
    <xf numFmtId="1" fontId="55" fillId="16" borderId="37" xfId="0" applyNumberFormat="1" applyFont="1" applyFill="1" applyBorder="1" applyAlignment="1">
      <alignment horizontal="center" vertical="center" wrapText="1"/>
    </xf>
    <xf numFmtId="172" fontId="334" fillId="16" borderId="52" xfId="0" applyNumberFormat="1" applyFont="1" applyFill="1" applyBorder="1" applyAlignment="1">
      <alignment horizontal="center"/>
    </xf>
    <xf numFmtId="172" fontId="334" fillId="16" borderId="37" xfId="0" applyNumberFormat="1" applyFont="1" applyFill="1" applyBorder="1" applyAlignment="1">
      <alignment horizontal="center"/>
    </xf>
    <xf numFmtId="172" fontId="334" fillId="16" borderId="40" xfId="0" applyNumberFormat="1" applyFont="1" applyFill="1" applyBorder="1" applyAlignment="1">
      <alignment horizontal="center"/>
    </xf>
    <xf numFmtId="17" fontId="55" fillId="16" borderId="7" xfId="0" applyNumberFormat="1" applyFont="1" applyFill="1" applyBorder="1" applyAlignment="1">
      <alignment horizontal="center" vertical="center" wrapText="1"/>
    </xf>
    <xf numFmtId="17" fontId="55" fillId="16" borderId="84" xfId="0" applyNumberFormat="1" applyFont="1" applyFill="1" applyBorder="1" applyAlignment="1">
      <alignment horizontal="center" vertical="center" wrapText="1"/>
    </xf>
    <xf numFmtId="172" fontId="55" fillId="16" borderId="0" xfId="0" applyNumberFormat="1" applyFont="1" applyFill="1" applyAlignment="1">
      <alignment horizontal="center"/>
    </xf>
    <xf numFmtId="172" fontId="55" fillId="16" borderId="30" xfId="0" applyNumberFormat="1" applyFont="1" applyFill="1" applyBorder="1" applyAlignment="1">
      <alignment horizontal="center" vertical="center" wrapText="1"/>
    </xf>
    <xf numFmtId="2" fontId="335" fillId="16" borderId="84" xfId="0" applyNumberFormat="1" applyFont="1" applyFill="1" applyBorder="1" applyAlignment="1">
      <alignment horizontal="center" vertical="center"/>
    </xf>
    <xf numFmtId="172" fontId="335" fillId="16" borderId="7" xfId="0" applyNumberFormat="1" applyFont="1" applyFill="1" applyBorder="1" applyAlignment="1">
      <alignment horizontal="center" vertical="center"/>
    </xf>
    <xf numFmtId="172" fontId="335" fillId="16" borderId="9" xfId="0" applyNumberFormat="1" applyFont="1" applyFill="1" applyBorder="1" applyAlignment="1">
      <alignment horizontal="center" vertical="center"/>
    </xf>
    <xf numFmtId="172" fontId="55" fillId="16" borderId="0" xfId="0" applyNumberFormat="1" applyFont="1" applyFill="1" applyBorder="1" applyAlignment="1">
      <alignment horizontal="center" vertical="center" wrapText="1"/>
    </xf>
    <xf numFmtId="0" fontId="70" fillId="0" borderId="0" xfId="0" applyFont="1" applyFill="1" applyAlignment="1">
      <alignment horizontal="left" vertical="center" wrapText="1"/>
    </xf>
    <xf numFmtId="0" fontId="70" fillId="0" borderId="0" xfId="0" applyFont="1" applyFill="1" applyAlignment="1">
      <alignment horizontal="left" vertical="center"/>
    </xf>
    <xf numFmtId="0" fontId="70" fillId="0" borderId="0" xfId="0" applyFont="1" applyAlignment="1">
      <alignment vertical="center"/>
    </xf>
    <xf numFmtId="3" fontId="70" fillId="0" borderId="25" xfId="0" applyNumberFormat="1" applyFont="1" applyFill="1" applyBorder="1" applyAlignment="1">
      <alignment horizontal="center" vertical="center"/>
    </xf>
    <xf numFmtId="3" fontId="70" fillId="15" borderId="25" xfId="0" applyNumberFormat="1" applyFont="1" applyFill="1" applyBorder="1" applyAlignment="1">
      <alignment horizontal="center" vertical="center"/>
    </xf>
    <xf numFmtId="3" fontId="70" fillId="12" borderId="25" xfId="0" applyNumberFormat="1" applyFont="1" applyFill="1" applyBorder="1" applyAlignment="1">
      <alignment horizontal="center" vertical="center"/>
    </xf>
    <xf numFmtId="3" fontId="70" fillId="86" borderId="25" xfId="0" applyNumberFormat="1" applyFont="1" applyFill="1" applyBorder="1" applyAlignment="1">
      <alignment horizontal="center" vertical="center"/>
    </xf>
    <xf numFmtId="3" fontId="70" fillId="87" borderId="25" xfId="0" applyNumberFormat="1" applyFont="1" applyFill="1" applyBorder="1" applyAlignment="1">
      <alignment horizontal="center" vertical="center"/>
    </xf>
    <xf numFmtId="0" fontId="39" fillId="0" borderId="34" xfId="0" applyFont="1" applyBorder="1" applyAlignment="1">
      <alignment horizontal="left" vertical="top" wrapText="1"/>
    </xf>
    <xf numFmtId="0" fontId="12" fillId="0" borderId="0" xfId="0" applyFont="1" applyFill="1" applyAlignment="1">
      <alignment vertical="center"/>
    </xf>
    <xf numFmtId="0" fontId="39" fillId="0" borderId="25" xfId="0" applyFont="1" applyBorder="1" applyAlignment="1">
      <alignment horizontal="left" vertical="top" wrapText="1"/>
    </xf>
    <xf numFmtId="0" fontId="70" fillId="0" borderId="24" xfId="0" applyFont="1" applyBorder="1" applyAlignment="1">
      <alignment horizontal="left" vertical="center" wrapText="1"/>
    </xf>
    <xf numFmtId="169" fontId="70" fillId="0" borderId="25" xfId="1" applyNumberFormat="1" applyFont="1" applyFill="1" applyBorder="1" applyAlignment="1">
      <alignment vertical="top" wrapText="1"/>
    </xf>
    <xf numFmtId="0" fontId="70" fillId="0" borderId="38" xfId="0" applyFont="1" applyBorder="1" applyAlignment="1">
      <alignment horizontal="left" vertical="center" wrapText="1"/>
    </xf>
    <xf numFmtId="169" fontId="70" fillId="0" borderId="34" xfId="1" applyNumberFormat="1" applyFont="1" applyFill="1" applyBorder="1" applyAlignment="1">
      <alignment vertical="top" wrapText="1"/>
    </xf>
    <xf numFmtId="0" fontId="70" fillId="0" borderId="38" xfId="0" applyFont="1" applyBorder="1"/>
    <xf numFmtId="3" fontId="70" fillId="0" borderId="34" xfId="0" applyNumberFormat="1" applyFont="1" applyFill="1" applyBorder="1" applyAlignment="1">
      <alignment horizontal="center" vertical="center"/>
    </xf>
    <xf numFmtId="3" fontId="70" fillId="15" borderId="34" xfId="0" applyNumberFormat="1" applyFont="1" applyFill="1" applyBorder="1" applyAlignment="1">
      <alignment horizontal="center" vertical="center"/>
    </xf>
    <xf numFmtId="3" fontId="70" fillId="12" borderId="34" xfId="0" applyNumberFormat="1" applyFont="1" applyFill="1" applyBorder="1" applyAlignment="1">
      <alignment horizontal="center" vertical="center"/>
    </xf>
    <xf numFmtId="3" fontId="70" fillId="86" borderId="34" xfId="0" applyNumberFormat="1" applyFont="1" applyFill="1" applyBorder="1" applyAlignment="1">
      <alignment horizontal="center" vertical="center"/>
    </xf>
    <xf numFmtId="3" fontId="70" fillId="87" borderId="34" xfId="0" applyNumberFormat="1" applyFont="1" applyFill="1" applyBorder="1" applyAlignment="1">
      <alignment horizontal="center" vertical="center"/>
    </xf>
    <xf numFmtId="0" fontId="12" fillId="0" borderId="13" xfId="0" applyFont="1" applyFill="1" applyBorder="1" applyAlignment="1">
      <alignment vertical="center" wrapText="1"/>
    </xf>
    <xf numFmtId="0" fontId="12" fillId="0" borderId="13" xfId="0" applyFont="1" applyFill="1" applyBorder="1" applyAlignment="1">
      <alignment vertical="center"/>
    </xf>
    <xf numFmtId="3" fontId="39" fillId="0" borderId="25" xfId="0" applyNumberFormat="1" applyFont="1" applyFill="1" applyBorder="1" applyAlignment="1">
      <alignment horizontal="center" vertical="center"/>
    </xf>
    <xf numFmtId="3" fontId="39" fillId="15" borderId="25" xfId="0" applyNumberFormat="1" applyFont="1" applyFill="1" applyBorder="1" applyAlignment="1">
      <alignment horizontal="center" vertical="center"/>
    </xf>
    <xf numFmtId="3" fontId="39" fillId="12" borderId="25" xfId="0" applyNumberFormat="1" applyFont="1" applyFill="1" applyBorder="1" applyAlignment="1">
      <alignment horizontal="center" vertical="center"/>
    </xf>
    <xf numFmtId="3" fontId="39" fillId="86" borderId="25" xfId="0" applyNumberFormat="1" applyFont="1" applyFill="1" applyBorder="1" applyAlignment="1">
      <alignment horizontal="center" vertical="center"/>
    </xf>
    <xf numFmtId="3" fontId="39" fillId="87" borderId="25" xfId="0" applyNumberFormat="1" applyFont="1" applyFill="1" applyBorder="1" applyAlignment="1">
      <alignment horizontal="center" vertical="center"/>
    </xf>
    <xf numFmtId="0" fontId="338" fillId="0" borderId="13" xfId="4" applyFont="1" applyFill="1" applyBorder="1" applyAlignment="1" applyProtection="1">
      <alignment vertical="center"/>
    </xf>
    <xf numFmtId="0" fontId="291" fillId="0" borderId="13" xfId="0" applyFont="1" applyFill="1" applyBorder="1" applyAlignment="1">
      <alignment vertical="center"/>
    </xf>
    <xf numFmtId="0" fontId="70" fillId="0" borderId="0" xfId="0" applyFont="1" applyBorder="1" applyAlignment="1">
      <alignment horizontal="right" vertical="top" wrapText="1"/>
    </xf>
    <xf numFmtId="3" fontId="70" fillId="0" borderId="0" xfId="0" applyNumberFormat="1" applyFont="1" applyFill="1" applyBorder="1" applyAlignment="1">
      <alignment horizontal="center" vertical="center"/>
    </xf>
    <xf numFmtId="3" fontId="70" fillId="15" borderId="0" xfId="0" applyNumberFormat="1" applyFont="1" applyFill="1" applyBorder="1" applyAlignment="1">
      <alignment horizontal="center" vertical="center"/>
    </xf>
    <xf numFmtId="3" fontId="70" fillId="12" borderId="0" xfId="0" applyNumberFormat="1" applyFont="1" applyFill="1" applyBorder="1" applyAlignment="1">
      <alignment horizontal="center" vertical="center"/>
    </xf>
    <xf numFmtId="3" fontId="70" fillId="86" borderId="0" xfId="0" applyNumberFormat="1" applyFont="1" applyFill="1" applyBorder="1" applyAlignment="1">
      <alignment horizontal="center" vertical="center"/>
    </xf>
    <xf numFmtId="3" fontId="70" fillId="87" borderId="0" xfId="0" applyNumberFormat="1" applyFont="1" applyFill="1" applyBorder="1" applyAlignment="1">
      <alignment horizontal="center" vertical="center"/>
    </xf>
    <xf numFmtId="10" fontId="39" fillId="16" borderId="25" xfId="2" applyNumberFormat="1" applyFont="1" applyFill="1" applyBorder="1" applyAlignment="1">
      <alignment horizontal="center" vertical="center"/>
    </xf>
    <xf numFmtId="0" fontId="39" fillId="29" borderId="25" xfId="1" applyNumberFormat="1" applyFont="1" applyFill="1" applyBorder="1" applyAlignment="1">
      <alignment horizontal="center" vertical="center"/>
    </xf>
    <xf numFmtId="169" fontId="70" fillId="0" borderId="0" xfId="1" applyNumberFormat="1" applyFont="1" applyFill="1" applyBorder="1" applyAlignment="1">
      <alignment horizontal="left" vertical="top" wrapText="1"/>
    </xf>
    <xf numFmtId="0" fontId="70" fillId="0" borderId="25" xfId="0" applyFont="1" applyBorder="1" applyAlignment="1">
      <alignment horizontal="left" vertical="center" wrapText="1"/>
    </xf>
    <xf numFmtId="3" fontId="70" fillId="16" borderId="25" xfId="0" applyNumberFormat="1" applyFont="1" applyFill="1" applyBorder="1" applyAlignment="1">
      <alignment horizontal="center" vertical="center"/>
    </xf>
    <xf numFmtId="9" fontId="70" fillId="0" borderId="25" xfId="2" applyFont="1" applyFill="1" applyBorder="1" applyAlignment="1">
      <alignment horizontal="center" vertical="center"/>
    </xf>
    <xf numFmtId="9" fontId="70" fillId="15" borderId="25" xfId="2" applyFont="1" applyFill="1" applyBorder="1" applyAlignment="1">
      <alignment horizontal="center" vertical="center"/>
    </xf>
    <xf numFmtId="10" fontId="70" fillId="12" borderId="25" xfId="2" applyNumberFormat="1" applyFont="1" applyFill="1" applyBorder="1" applyAlignment="1">
      <alignment horizontal="center" vertical="center"/>
    </xf>
    <xf numFmtId="9" fontId="70" fillId="86" borderId="25" xfId="2" applyFont="1" applyFill="1" applyBorder="1" applyAlignment="1">
      <alignment horizontal="center" vertical="center"/>
    </xf>
    <xf numFmtId="9" fontId="70" fillId="87" borderId="25" xfId="2" applyFont="1" applyFill="1" applyBorder="1" applyAlignment="1">
      <alignment horizontal="center" vertical="center"/>
    </xf>
    <xf numFmtId="168" fontId="70" fillId="16" borderId="25" xfId="2" applyNumberFormat="1" applyFont="1" applyFill="1" applyBorder="1" applyAlignment="1">
      <alignment horizontal="center" vertical="center"/>
    </xf>
    <xf numFmtId="168" fontId="70" fillId="15" borderId="25" xfId="2"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0" xfId="0" applyFont="1" applyBorder="1" applyAlignment="1">
      <alignment horizontal="left" vertical="center" wrapText="1"/>
    </xf>
    <xf numFmtId="0" fontId="70" fillId="16" borderId="0" xfId="0" applyFont="1" applyFill="1" applyBorder="1" applyAlignment="1">
      <alignment horizontal="left" vertical="center"/>
    </xf>
    <xf numFmtId="0" fontId="70" fillId="0" borderId="0" xfId="0" applyFont="1" applyFill="1" applyBorder="1" applyAlignment="1">
      <alignment horizontal="center" vertical="center"/>
    </xf>
    <xf numFmtId="0" fontId="70" fillId="0" borderId="0" xfId="0" applyFont="1" applyFill="1" applyBorder="1" applyAlignment="1">
      <alignment horizontal="left" vertical="center" wrapText="1"/>
    </xf>
    <xf numFmtId="0" fontId="70" fillId="0" borderId="0" xfId="0" applyFont="1" applyFill="1" applyBorder="1" applyAlignment="1">
      <alignment horizontal="left" vertical="center"/>
    </xf>
    <xf numFmtId="167" fontId="70" fillId="0" borderId="25" xfId="1" applyFont="1" applyFill="1" applyBorder="1" applyAlignment="1">
      <alignment horizontal="center" vertical="center"/>
    </xf>
    <xf numFmtId="167" fontId="70" fillId="15" borderId="25" xfId="1" applyFont="1" applyFill="1" applyBorder="1" applyAlignment="1">
      <alignment horizontal="center" vertical="center"/>
    </xf>
    <xf numFmtId="167" fontId="70" fillId="12" borderId="25" xfId="1" applyFont="1" applyFill="1" applyBorder="1" applyAlignment="1">
      <alignment horizontal="center" vertical="center"/>
    </xf>
    <xf numFmtId="167" fontId="70" fillId="86" borderId="25" xfId="1" applyFont="1" applyFill="1" applyBorder="1" applyAlignment="1">
      <alignment horizontal="center" vertical="center"/>
    </xf>
    <xf numFmtId="167" fontId="70" fillId="87" borderId="25" xfId="1" applyFont="1" applyFill="1" applyBorder="1" applyAlignment="1">
      <alignment horizontal="center" vertical="center"/>
    </xf>
    <xf numFmtId="167" fontId="70" fillId="16" borderId="25" xfId="1" applyFont="1" applyFill="1" applyBorder="1" applyAlignment="1">
      <alignment horizontal="center" vertical="center"/>
    </xf>
    <xf numFmtId="167" fontId="70" fillId="0" borderId="0" xfId="1" applyFont="1" applyFill="1" applyBorder="1" applyAlignment="1">
      <alignment horizontal="center" vertical="center"/>
    </xf>
    <xf numFmtId="167" fontId="70" fillId="16" borderId="27" xfId="1" applyFont="1" applyFill="1" applyBorder="1" applyAlignment="1">
      <alignment horizontal="center" vertical="center"/>
    </xf>
    <xf numFmtId="0" fontId="70" fillId="0" borderId="25" xfId="0" applyFont="1" applyBorder="1" applyAlignment="1">
      <alignment horizontal="right" vertical="center" wrapText="1"/>
    </xf>
    <xf numFmtId="0" fontId="12" fillId="0" borderId="0" xfId="0" applyFont="1" applyAlignment="1">
      <alignment horizontal="center" vertical="center"/>
    </xf>
    <xf numFmtId="0" fontId="12" fillId="0" borderId="0" xfId="0" applyFont="1" applyFill="1" applyAlignment="1">
      <alignment horizontal="center" vertical="center"/>
    </xf>
    <xf numFmtId="0" fontId="70" fillId="0" borderId="269" xfId="0" applyFont="1" applyBorder="1" applyAlignment="1">
      <alignment horizontal="left" vertical="center" wrapText="1"/>
    </xf>
    <xf numFmtId="2" fontId="70" fillId="0" borderId="0" xfId="0" applyNumberFormat="1" applyFont="1" applyFill="1" applyBorder="1" applyAlignment="1">
      <alignment horizontal="center" vertical="center"/>
    </xf>
    <xf numFmtId="2" fontId="70" fillId="15" borderId="0" xfId="0" applyNumberFormat="1" applyFont="1" applyFill="1" applyBorder="1" applyAlignment="1">
      <alignment horizontal="center" vertical="center"/>
    </xf>
    <xf numFmtId="2" fontId="70" fillId="12" borderId="0" xfId="0" applyNumberFormat="1" applyFont="1" applyFill="1" applyBorder="1" applyAlignment="1">
      <alignment horizontal="center" vertical="center"/>
    </xf>
    <xf numFmtId="2" fontId="70" fillId="86" borderId="0" xfId="0" applyNumberFormat="1" applyFont="1" applyFill="1" applyBorder="1" applyAlignment="1">
      <alignment horizontal="center" vertical="center"/>
    </xf>
    <xf numFmtId="2" fontId="70" fillId="87" borderId="0" xfId="0" applyNumberFormat="1" applyFont="1" applyFill="1" applyBorder="1" applyAlignment="1">
      <alignment horizontal="center" vertical="center"/>
    </xf>
    <xf numFmtId="2" fontId="70" fillId="0" borderId="25" xfId="0" applyNumberFormat="1" applyFont="1" applyFill="1" applyBorder="1" applyAlignment="1">
      <alignment horizontal="center" vertical="center"/>
    </xf>
    <xf numFmtId="2" fontId="70" fillId="15" borderId="25" xfId="0" applyNumberFormat="1" applyFont="1" applyFill="1" applyBorder="1" applyAlignment="1">
      <alignment horizontal="center" vertical="center"/>
    </xf>
    <xf numFmtId="2" fontId="70" fillId="12" borderId="25" xfId="0" applyNumberFormat="1" applyFont="1" applyFill="1" applyBorder="1" applyAlignment="1">
      <alignment horizontal="center" vertical="center"/>
    </xf>
    <xf numFmtId="2" fontId="70" fillId="86" borderId="25" xfId="0" applyNumberFormat="1" applyFont="1" applyFill="1" applyBorder="1" applyAlignment="1">
      <alignment horizontal="center" vertical="center"/>
    </xf>
    <xf numFmtId="2" fontId="70" fillId="87" borderId="25" xfId="0" applyNumberFormat="1" applyFont="1" applyFill="1" applyBorder="1" applyAlignment="1">
      <alignment horizontal="center" vertical="center"/>
    </xf>
    <xf numFmtId="2" fontId="70" fillId="0" borderId="34" xfId="0" applyNumberFormat="1" applyFont="1" applyFill="1" applyBorder="1" applyAlignment="1">
      <alignment horizontal="center" vertical="center"/>
    </xf>
    <xf numFmtId="2" fontId="70" fillId="15" borderId="34" xfId="0" applyNumberFormat="1" applyFont="1" applyFill="1" applyBorder="1" applyAlignment="1">
      <alignment horizontal="center" vertical="center"/>
    </xf>
    <xf numFmtId="2" fontId="70" fillId="12" borderId="34" xfId="0" applyNumberFormat="1" applyFont="1" applyFill="1" applyBorder="1" applyAlignment="1">
      <alignment horizontal="center" vertical="center"/>
    </xf>
    <xf numFmtId="2" fontId="70" fillId="86" borderId="34" xfId="0" applyNumberFormat="1" applyFont="1" applyFill="1" applyBorder="1" applyAlignment="1">
      <alignment horizontal="center" vertical="center"/>
    </xf>
    <xf numFmtId="2" fontId="70" fillId="87" borderId="34" xfId="0" applyNumberFormat="1" applyFont="1" applyFill="1" applyBorder="1" applyAlignment="1">
      <alignment horizontal="center" vertical="center"/>
    </xf>
    <xf numFmtId="167" fontId="70" fillId="16" borderId="34" xfId="1" applyFont="1" applyFill="1" applyBorder="1" applyAlignment="1">
      <alignment horizontal="center" vertical="center"/>
    </xf>
    <xf numFmtId="167" fontId="70" fillId="16" borderId="0" xfId="1" applyFont="1" applyFill="1" applyBorder="1" applyAlignment="1">
      <alignment horizontal="center" vertical="center"/>
    </xf>
    <xf numFmtId="0" fontId="70" fillId="16" borderId="0" xfId="0" applyFont="1" applyFill="1" applyAlignment="1">
      <alignment horizontal="center" vertical="center"/>
    </xf>
    <xf numFmtId="169" fontId="70" fillId="15" borderId="25" xfId="1" applyNumberFormat="1" applyFont="1" applyFill="1" applyBorder="1" applyAlignment="1">
      <alignment horizontal="center" vertical="center"/>
    </xf>
    <xf numFmtId="169" fontId="70" fillId="12" borderId="25" xfId="1" applyNumberFormat="1" applyFont="1" applyFill="1" applyBorder="1" applyAlignment="1">
      <alignment horizontal="center" vertical="center"/>
    </xf>
    <xf numFmtId="169" fontId="70" fillId="86" borderId="25" xfId="1" applyNumberFormat="1" applyFont="1" applyFill="1" applyBorder="1" applyAlignment="1">
      <alignment horizontal="center" vertical="center"/>
    </xf>
    <xf numFmtId="169" fontId="70" fillId="87" borderId="25" xfId="1" applyNumberFormat="1" applyFont="1" applyFill="1" applyBorder="1" applyAlignment="1">
      <alignment horizontal="center" vertical="center"/>
    </xf>
    <xf numFmtId="169" fontId="70" fillId="16" borderId="25" xfId="1" applyNumberFormat="1" applyFont="1" applyFill="1" applyBorder="1" applyAlignment="1">
      <alignment horizontal="center" vertical="center"/>
    </xf>
    <xf numFmtId="0" fontId="21" fillId="0" borderId="25" xfId="0" applyFont="1" applyBorder="1" applyAlignment="1">
      <alignment horizontal="right" vertical="center" wrapText="1"/>
    </xf>
    <xf numFmtId="167" fontId="7" fillId="0" borderId="25" xfId="1" applyFont="1" applyFill="1" applyBorder="1" applyAlignment="1">
      <alignment horizontal="center" vertical="center"/>
    </xf>
    <xf numFmtId="169" fontId="7" fillId="12" borderId="25" xfId="1" applyNumberFormat="1" applyFont="1" applyFill="1" applyBorder="1" applyAlignment="1">
      <alignment horizontal="center" vertical="center"/>
    </xf>
    <xf numFmtId="169" fontId="7" fillId="87" borderId="25" xfId="1" applyNumberFormat="1" applyFont="1" applyFill="1" applyBorder="1" applyAlignment="1">
      <alignment horizontal="center" vertical="center"/>
    </xf>
    <xf numFmtId="0" fontId="7" fillId="0" borderId="0" xfId="0" applyFont="1" applyAlignment="1">
      <alignment vertical="center"/>
    </xf>
    <xf numFmtId="169" fontId="21" fillId="12" borderId="25" xfId="1" applyNumberFormat="1" applyFont="1" applyFill="1" applyBorder="1" applyAlignment="1">
      <alignment horizontal="center" vertical="center"/>
    </xf>
    <xf numFmtId="169" fontId="21" fillId="87" borderId="25" xfId="1" applyNumberFormat="1" applyFont="1" applyFill="1" applyBorder="1" applyAlignment="1">
      <alignment horizontal="center" vertical="center"/>
    </xf>
    <xf numFmtId="9" fontId="21" fillId="16" borderId="25" xfId="2" applyFont="1" applyFill="1" applyBorder="1" applyAlignment="1">
      <alignment horizontal="right" vertical="center"/>
    </xf>
    <xf numFmtId="0" fontId="21" fillId="0" borderId="0" xfId="0" applyFont="1" applyAlignment="1">
      <alignment vertical="center"/>
    </xf>
    <xf numFmtId="167" fontId="21" fillId="0" borderId="25" xfId="1" applyFont="1" applyFill="1" applyBorder="1" applyAlignment="1">
      <alignment horizontal="center" vertical="center"/>
    </xf>
    <xf numFmtId="0" fontId="12" fillId="0" borderId="0" xfId="0" applyFont="1" applyFill="1" applyBorder="1" applyAlignment="1">
      <alignment horizontal="left" vertical="center" wrapText="1"/>
    </xf>
    <xf numFmtId="0" fontId="39" fillId="0" borderId="34" xfId="0" applyFont="1" applyBorder="1" applyAlignment="1">
      <alignment horizontal="left" vertical="center" wrapText="1"/>
    </xf>
    <xf numFmtId="169" fontId="70" fillId="15" borderId="0" xfId="1" applyNumberFormat="1" applyFont="1" applyFill="1" applyBorder="1" applyAlignment="1">
      <alignment horizontal="center" vertical="center"/>
    </xf>
    <xf numFmtId="169" fontId="70" fillId="12" borderId="0" xfId="1" applyNumberFormat="1" applyFont="1" applyFill="1" applyBorder="1" applyAlignment="1">
      <alignment horizontal="center" vertical="center"/>
    </xf>
    <xf numFmtId="169" fontId="70" fillId="86" borderId="0" xfId="1" applyNumberFormat="1" applyFont="1" applyFill="1" applyBorder="1" applyAlignment="1">
      <alignment horizontal="center" vertical="center"/>
    </xf>
    <xf numFmtId="169" fontId="70" fillId="87" borderId="0" xfId="1" applyNumberFormat="1" applyFont="1" applyFill="1" applyBorder="1" applyAlignment="1">
      <alignment horizontal="center" vertical="center"/>
    </xf>
    <xf numFmtId="169" fontId="109" fillId="16" borderId="0" xfId="1" applyNumberFormat="1" applyFont="1" applyFill="1" applyBorder="1" applyAlignment="1">
      <alignment horizontal="center" vertical="center"/>
    </xf>
    <xf numFmtId="169" fontId="70" fillId="29" borderId="13" xfId="1" applyNumberFormat="1" applyFont="1" applyFill="1" applyBorder="1" applyAlignment="1">
      <alignment horizontal="left" vertical="top" wrapText="1"/>
    </xf>
    <xf numFmtId="9" fontId="336" fillId="16" borderId="34" xfId="2" applyFont="1" applyFill="1" applyBorder="1" applyAlignment="1">
      <alignment horizontal="right" vertical="center"/>
    </xf>
    <xf numFmtId="0" fontId="70" fillId="0" borderId="45" xfId="0" applyFont="1" applyFill="1" applyBorder="1" applyAlignment="1">
      <alignment horizontal="center" vertical="center"/>
    </xf>
    <xf numFmtId="0" fontId="39" fillId="0" borderId="334" xfId="0" applyFont="1" applyBorder="1" applyAlignment="1">
      <alignment horizontal="center" vertical="top"/>
    </xf>
    <xf numFmtId="0" fontId="70" fillId="0" borderId="276" xfId="0" applyFont="1" applyFill="1" applyBorder="1" applyAlignment="1">
      <alignment horizontal="center" vertical="center"/>
    </xf>
    <xf numFmtId="0" fontId="39" fillId="0" borderId="66" xfId="0" applyFont="1" applyBorder="1" applyAlignment="1">
      <alignment horizontal="center" vertical="top"/>
    </xf>
    <xf numFmtId="0" fontId="70" fillId="0" borderId="55" xfId="0" applyFont="1" applyFill="1" applyBorder="1" applyAlignment="1">
      <alignment horizontal="center" vertical="center"/>
    </xf>
    <xf numFmtId="0" fontId="70" fillId="72" borderId="45" xfId="1" applyNumberFormat="1" applyFont="1" applyFill="1" applyBorder="1" applyAlignment="1">
      <alignment vertical="top" wrapText="1"/>
    </xf>
    <xf numFmtId="0" fontId="39" fillId="0" borderId="45" xfId="0" applyFont="1" applyFill="1" applyBorder="1" applyAlignment="1">
      <alignment horizontal="center" vertical="center"/>
    </xf>
    <xf numFmtId="169" fontId="70" fillId="29" borderId="45" xfId="1" applyNumberFormat="1" applyFont="1" applyFill="1" applyBorder="1" applyAlignment="1">
      <alignment horizontal="left" vertical="top" wrapText="1"/>
    </xf>
    <xf numFmtId="0" fontId="39" fillId="0" borderId="37" xfId="0" applyFont="1" applyFill="1" applyBorder="1" applyAlignment="1">
      <alignment horizontal="center" vertical="center"/>
    </xf>
    <xf numFmtId="169" fontId="70" fillId="0" borderId="7" xfId="1" applyNumberFormat="1" applyFont="1" applyFill="1" applyBorder="1" applyAlignment="1">
      <alignment horizontal="left" vertical="top" wrapText="1"/>
    </xf>
    <xf numFmtId="0" fontId="70" fillId="0" borderId="37" xfId="0" applyFont="1" applyBorder="1" applyAlignment="1">
      <alignment horizontal="center" vertical="center"/>
    </xf>
    <xf numFmtId="0" fontId="70" fillId="0" borderId="334" xfId="0" applyFont="1" applyBorder="1" applyAlignment="1">
      <alignment horizontal="center" vertical="center"/>
    </xf>
    <xf numFmtId="0" fontId="70" fillId="16" borderId="7" xfId="0" applyFont="1" applyFill="1" applyBorder="1" applyAlignment="1">
      <alignment horizontal="left" vertical="center"/>
    </xf>
    <xf numFmtId="0" fontId="70" fillId="0" borderId="37" xfId="0" applyFont="1" applyFill="1" applyBorder="1" applyAlignment="1">
      <alignment horizontal="center" vertical="center"/>
    </xf>
    <xf numFmtId="0" fontId="70" fillId="0" borderId="90" xfId="0" applyFont="1" applyFill="1" applyBorder="1" applyAlignment="1">
      <alignment horizontal="center" vertical="center"/>
    </xf>
    <xf numFmtId="167" fontId="70" fillId="0" borderId="7" xfId="1" applyFont="1" applyFill="1" applyBorder="1" applyAlignment="1">
      <alignment horizontal="center" vertical="center"/>
    </xf>
    <xf numFmtId="0" fontId="70" fillId="0" borderId="0" xfId="0" applyFont="1" applyBorder="1" applyAlignment="1">
      <alignment horizontal="right" vertical="center" wrapText="1"/>
    </xf>
    <xf numFmtId="0" fontId="70" fillId="0" borderId="334" xfId="0" applyFont="1" applyBorder="1" applyAlignment="1">
      <alignment horizontal="center" vertical="center" wrapText="1"/>
    </xf>
    <xf numFmtId="0" fontId="70" fillId="0" borderId="291" xfId="0" applyFont="1" applyBorder="1" applyAlignment="1">
      <alignment horizontal="center" vertical="center" wrapText="1"/>
    </xf>
    <xf numFmtId="0" fontId="70" fillId="0" borderId="407" xfId="0" applyFont="1" applyBorder="1" applyAlignment="1">
      <alignment horizontal="center" vertical="center" wrapText="1"/>
    </xf>
    <xf numFmtId="0" fontId="70" fillId="0" borderId="408" xfId="0" applyFont="1" applyFill="1" applyBorder="1" applyAlignment="1">
      <alignment horizontal="center" vertical="center"/>
    </xf>
    <xf numFmtId="0" fontId="70" fillId="0" borderId="66" xfId="0" applyFont="1" applyBorder="1" applyAlignment="1">
      <alignment horizontal="center" vertical="center" wrapText="1"/>
    </xf>
    <xf numFmtId="0" fontId="70" fillId="16" borderId="0" xfId="0" applyFont="1" applyFill="1" applyBorder="1" applyAlignment="1">
      <alignment horizontal="center" vertical="center"/>
    </xf>
    <xf numFmtId="0" fontId="70" fillId="0" borderId="90" xfId="0" applyFont="1" applyFill="1" applyBorder="1" applyAlignment="1">
      <alignment horizontal="left" vertical="center"/>
    </xf>
    <xf numFmtId="0" fontId="70" fillId="0" borderId="66" xfId="0" applyFont="1" applyBorder="1" applyAlignment="1">
      <alignment horizontal="center" vertical="center"/>
    </xf>
    <xf numFmtId="0" fontId="70" fillId="0" borderId="7" xfId="0" applyFont="1" applyFill="1" applyBorder="1" applyAlignment="1">
      <alignment horizontal="left" vertical="center"/>
    </xf>
    <xf numFmtId="169" fontId="70" fillId="0" borderId="0" xfId="1" applyNumberFormat="1" applyFont="1" applyFill="1" applyBorder="1" applyAlignment="1">
      <alignment horizontal="center" vertical="center"/>
    </xf>
    <xf numFmtId="0" fontId="70" fillId="0" borderId="56" xfId="0" applyFont="1" applyBorder="1" applyAlignment="1">
      <alignment horizontal="center" vertical="center"/>
    </xf>
    <xf numFmtId="0" fontId="70" fillId="0" borderId="57" xfId="0" applyFont="1" applyBorder="1" applyAlignment="1">
      <alignment horizontal="left" vertical="center" wrapText="1"/>
    </xf>
    <xf numFmtId="169" fontId="70" fillId="0" borderId="33" xfId="1" applyNumberFormat="1" applyFont="1" applyFill="1" applyBorder="1" applyAlignment="1">
      <alignment horizontal="center" vertical="center"/>
    </xf>
    <xf numFmtId="169" fontId="70" fillId="16" borderId="57" xfId="1" applyNumberFormat="1" applyFont="1" applyFill="1" applyBorder="1" applyAlignment="1">
      <alignment horizontal="center" vertical="center"/>
    </xf>
    <xf numFmtId="0" fontId="70" fillId="0" borderId="48" xfId="0" applyFont="1" applyFill="1" applyBorder="1" applyAlignment="1">
      <alignment horizontal="center" vertical="center"/>
    </xf>
    <xf numFmtId="0" fontId="39" fillId="0" borderId="11" xfId="0" applyFont="1" applyFill="1" applyBorder="1" applyAlignment="1">
      <alignment horizontal="center" vertical="center"/>
    </xf>
    <xf numFmtId="0" fontId="39" fillId="15" borderId="11" xfId="0" applyFont="1" applyFill="1" applyBorder="1" applyAlignment="1">
      <alignment horizontal="center" vertical="center"/>
    </xf>
    <xf numFmtId="0" fontId="39" fillId="12" borderId="11" xfId="0" applyFont="1" applyFill="1" applyBorder="1" applyAlignment="1">
      <alignment horizontal="center" vertical="center"/>
    </xf>
    <xf numFmtId="0" fontId="39" fillId="86" borderId="11" xfId="0" applyFont="1" applyFill="1" applyBorder="1" applyAlignment="1">
      <alignment horizontal="center" vertical="center"/>
    </xf>
    <xf numFmtId="0" fontId="39" fillId="87" borderId="11" xfId="0" applyFont="1" applyFill="1" applyBorder="1" applyAlignment="1">
      <alignment horizontal="center" vertical="center"/>
    </xf>
    <xf numFmtId="0" fontId="70" fillId="0" borderId="51" xfId="0" applyFont="1" applyFill="1" applyBorder="1" applyAlignment="1">
      <alignment horizontal="center" vertical="center"/>
    </xf>
    <xf numFmtId="0" fontId="39" fillId="0" borderId="37" xfId="0" applyFont="1" applyBorder="1" applyAlignment="1">
      <alignment horizontal="center" vertical="top"/>
    </xf>
    <xf numFmtId="0" fontId="70" fillId="0" borderId="53" xfId="0" applyFont="1" applyBorder="1" applyAlignment="1">
      <alignment horizontal="center" vertical="center"/>
    </xf>
    <xf numFmtId="0" fontId="39" fillId="73" borderId="54" xfId="0" applyFont="1" applyFill="1" applyBorder="1" applyAlignment="1">
      <alignment horizontal="left" vertical="center" wrapText="1"/>
    </xf>
    <xf numFmtId="0" fontId="39" fillId="0" borderId="54" xfId="0" applyFont="1" applyFill="1" applyBorder="1" applyAlignment="1">
      <alignment horizontal="center" vertical="center"/>
    </xf>
    <xf numFmtId="0" fontId="39" fillId="15" borderId="54" xfId="0" applyFont="1" applyFill="1" applyBorder="1" applyAlignment="1">
      <alignment horizontal="center" vertical="center"/>
    </xf>
    <xf numFmtId="0" fontId="39" fillId="12" borderId="54" xfId="0" applyFont="1" applyFill="1" applyBorder="1" applyAlignment="1">
      <alignment horizontal="center" vertical="center"/>
    </xf>
    <xf numFmtId="0" fontId="39" fillId="86" borderId="54" xfId="0" applyFont="1" applyFill="1" applyBorder="1" applyAlignment="1">
      <alignment horizontal="center" vertical="center"/>
    </xf>
    <xf numFmtId="0" fontId="39" fillId="87" borderId="54" xfId="0" applyFont="1" applyFill="1" applyBorder="1" applyAlignment="1">
      <alignment horizontal="center" vertical="center"/>
    </xf>
    <xf numFmtId="0" fontId="39" fillId="16" borderId="54" xfId="0" applyFont="1" applyFill="1" applyBorder="1" applyAlignment="1">
      <alignment horizontal="center" vertical="center"/>
    </xf>
    <xf numFmtId="0" fontId="39" fillId="113" borderId="43" xfId="0" applyFont="1" applyFill="1" applyBorder="1" applyAlignment="1">
      <alignment horizontal="center" vertical="center"/>
    </xf>
    <xf numFmtId="0" fontId="21" fillId="0" borderId="55" xfId="0" applyFont="1" applyFill="1" applyBorder="1" applyAlignment="1">
      <alignment horizontal="center" vertical="center"/>
    </xf>
    <xf numFmtId="0" fontId="39" fillId="72" borderId="88" xfId="0" applyFont="1" applyFill="1" applyBorder="1" applyAlignment="1">
      <alignment horizontal="center" vertical="center"/>
    </xf>
    <xf numFmtId="3" fontId="70" fillId="72" borderId="24" xfId="0" applyNumberFormat="1" applyFont="1" applyFill="1" applyBorder="1" applyAlignment="1">
      <alignment horizontal="center" vertical="center"/>
    </xf>
    <xf numFmtId="0" fontId="70" fillId="0" borderId="13" xfId="0" applyFont="1" applyBorder="1" applyAlignment="1">
      <alignment horizontal="left" vertical="center" wrapText="1"/>
    </xf>
    <xf numFmtId="0" fontId="70" fillId="0" borderId="20" xfId="0" applyFont="1" applyBorder="1" applyAlignment="1">
      <alignment horizontal="left" vertical="center" wrapText="1"/>
    </xf>
    <xf numFmtId="3" fontId="70" fillId="72" borderId="38" xfId="0" applyNumberFormat="1" applyFont="1" applyFill="1" applyBorder="1" applyAlignment="1">
      <alignment horizontal="right" vertical="center"/>
    </xf>
    <xf numFmtId="3" fontId="39" fillId="72" borderId="24" xfId="0" applyNumberFormat="1" applyFont="1" applyFill="1" applyBorder="1" applyAlignment="1">
      <alignment horizontal="right" vertical="center"/>
    </xf>
    <xf numFmtId="10" fontId="70" fillId="72" borderId="24" xfId="2" applyNumberFormat="1" applyFont="1" applyFill="1" applyBorder="1" applyAlignment="1">
      <alignment horizontal="center" vertical="center"/>
    </xf>
    <xf numFmtId="3" fontId="39" fillId="72" borderId="24" xfId="0" applyNumberFormat="1" applyFont="1" applyFill="1" applyBorder="1" applyAlignment="1">
      <alignment horizontal="center" vertical="center"/>
    </xf>
    <xf numFmtId="0" fontId="39" fillId="29" borderId="50" xfId="0" applyFont="1" applyFill="1" applyBorder="1" applyAlignment="1">
      <alignment horizontal="center" vertical="center"/>
    </xf>
    <xf numFmtId="4" fontId="70" fillId="29" borderId="20"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wrapText="1"/>
    </xf>
    <xf numFmtId="3" fontId="70" fillId="29" borderId="13" xfId="0" applyNumberFormat="1" applyFont="1" applyFill="1" applyBorder="1" applyAlignment="1">
      <alignment horizontal="right" vertical="center"/>
    </xf>
    <xf numFmtId="3" fontId="39" fillId="29" borderId="13" xfId="0" applyNumberFormat="1" applyFont="1" applyFill="1" applyBorder="1" applyAlignment="1">
      <alignment horizontal="right" vertical="center"/>
    </xf>
    <xf numFmtId="10" fontId="70" fillId="29" borderId="13" xfId="2" applyNumberFormat="1" applyFont="1" applyFill="1" applyBorder="1" applyAlignment="1">
      <alignment horizontal="center" vertical="center"/>
    </xf>
    <xf numFmtId="3" fontId="39" fillId="29" borderId="13" xfId="0" applyNumberFormat="1" applyFont="1" applyFill="1" applyBorder="1" applyAlignment="1">
      <alignment horizontal="center" vertical="center"/>
    </xf>
    <xf numFmtId="0" fontId="70" fillId="0" borderId="409" xfId="0" applyFont="1" applyFill="1" applyBorder="1" applyAlignment="1">
      <alignment horizontal="center" vertical="center" wrapText="1"/>
    </xf>
    <xf numFmtId="0" fontId="70" fillId="0" borderId="26" xfId="0" applyFont="1" applyFill="1" applyBorder="1" applyAlignment="1">
      <alignment horizontal="right" vertical="center" wrapText="1"/>
    </xf>
    <xf numFmtId="167" fontId="70" fillId="0" borderId="26" xfId="1" applyFont="1" applyFill="1" applyBorder="1" applyAlignment="1">
      <alignment horizontal="center" vertical="center"/>
    </xf>
    <xf numFmtId="180" fontId="20" fillId="0" borderId="26" xfId="1" applyNumberFormat="1" applyFont="1" applyFill="1" applyBorder="1" applyAlignment="1">
      <alignment horizontal="center" vertical="center"/>
    </xf>
    <xf numFmtId="0" fontId="70" fillId="0" borderId="410" xfId="0" applyFont="1" applyFill="1" applyBorder="1" applyAlignment="1">
      <alignment horizontal="center" vertical="center"/>
    </xf>
    <xf numFmtId="0" fontId="70" fillId="0" borderId="57" xfId="0" applyFont="1" applyBorder="1" applyAlignment="1">
      <alignment horizontal="righ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vertical="center"/>
    </xf>
    <xf numFmtId="0" fontId="304" fillId="0" borderId="0" xfId="4" applyFont="1" applyFill="1" applyBorder="1" applyAlignment="1" applyProtection="1">
      <alignment horizontal="center" vertical="center" wrapText="1"/>
    </xf>
    <xf numFmtId="0" fontId="22" fillId="0" borderId="0" xfId="0" applyFont="1" applyAlignment="1">
      <alignment horizontal="center" vertical="center"/>
    </xf>
    <xf numFmtId="0" fontId="22" fillId="0" borderId="0" xfId="0" applyFont="1" applyAlignment="1">
      <alignment vertical="center"/>
    </xf>
    <xf numFmtId="168" fontId="22" fillId="0" borderId="0" xfId="2" applyNumberFormat="1" applyFont="1" applyAlignment="1">
      <alignment horizontal="center" vertical="center"/>
    </xf>
    <xf numFmtId="0" fontId="56" fillId="0" borderId="384" xfId="0" applyFont="1" applyBorder="1" applyAlignment="1">
      <alignment horizontal="center" vertical="center" wrapText="1"/>
    </xf>
    <xf numFmtId="0" fontId="56" fillId="0" borderId="338" xfId="0" applyFont="1" applyBorder="1" applyAlignment="1">
      <alignment horizontal="center" vertical="center" wrapText="1"/>
    </xf>
    <xf numFmtId="0" fontId="56" fillId="3" borderId="338" xfId="0" applyFont="1" applyFill="1" applyBorder="1" applyAlignment="1">
      <alignment horizontal="center" vertical="center" wrapText="1"/>
    </xf>
    <xf numFmtId="0" fontId="56" fillId="0" borderId="255" xfId="0" applyFont="1" applyBorder="1" applyAlignment="1">
      <alignment horizontal="center" vertical="center" wrapText="1"/>
    </xf>
    <xf numFmtId="0" fontId="0" fillId="3" borderId="0" xfId="0" applyFont="1" applyFill="1" applyAlignment="1">
      <alignment horizontal="center" vertical="center"/>
    </xf>
    <xf numFmtId="167"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2" borderId="20" xfId="0" applyFont="1" applyFill="1" applyBorder="1" applyAlignment="1">
      <alignment horizontal="center" vertical="center"/>
    </xf>
    <xf numFmtId="164" fontId="0" fillId="32" borderId="20" xfId="0" applyNumberFormat="1" applyFont="1" applyFill="1" applyBorder="1" applyAlignment="1">
      <alignment vertical="center"/>
    </xf>
    <xf numFmtId="0" fontId="0" fillId="32" borderId="20" xfId="0" applyFont="1" applyFill="1" applyBorder="1" applyAlignment="1">
      <alignment vertical="center"/>
    </xf>
    <xf numFmtId="10" fontId="0" fillId="32" borderId="20" xfId="2" applyNumberFormat="1" applyFont="1" applyFill="1" applyBorder="1" applyAlignment="1">
      <alignment vertical="center"/>
    </xf>
    <xf numFmtId="181" fontId="135" fillId="73" borderId="42" xfId="2" applyNumberFormat="1" applyFont="1" applyFill="1" applyBorder="1" applyAlignment="1">
      <alignment horizontal="center" vertical="center"/>
    </xf>
    <xf numFmtId="0" fontId="1" fillId="0" borderId="0" xfId="0" applyFont="1" applyAlignment="1">
      <alignment vertical="center"/>
    </xf>
    <xf numFmtId="167" fontId="83" fillId="73" borderId="13" xfId="1" applyFont="1" applyFill="1" applyBorder="1" applyAlignment="1">
      <alignment vertical="center"/>
    </xf>
    <xf numFmtId="10" fontId="83" fillId="73" borderId="13" xfId="2" applyNumberFormat="1" applyFont="1" applyFill="1" applyBorder="1" applyAlignment="1">
      <alignment vertical="center"/>
    </xf>
    <xf numFmtId="181" fontId="83" fillId="73" borderId="13" xfId="2" applyNumberFormat="1" applyFont="1" applyFill="1" applyBorder="1" applyAlignment="1">
      <alignment horizontal="center" vertical="center"/>
    </xf>
    <xf numFmtId="10" fontId="5" fillId="32" borderId="17" xfId="0" applyNumberFormat="1" applyFont="1" applyFill="1" applyBorder="1" applyAlignment="1">
      <alignment horizontal="center" vertical="center"/>
    </xf>
    <xf numFmtId="0" fontId="5" fillId="32" borderId="17" xfId="0" applyFont="1" applyFill="1" applyBorder="1" applyAlignment="1">
      <alignment horizontal="center" vertical="center" wrapText="1"/>
    </xf>
    <xf numFmtId="181" fontId="135" fillId="73" borderId="42" xfId="2" applyNumberFormat="1" applyFont="1" applyFill="1" applyBorder="1" applyAlignment="1">
      <alignment horizontal="center" vertical="center" wrapText="1"/>
    </xf>
    <xf numFmtId="0" fontId="70" fillId="0" borderId="0" xfId="0" applyFont="1" applyFill="1" applyBorder="1"/>
    <xf numFmtId="0" fontId="39" fillId="0" borderId="0" xfId="0" applyFont="1" applyFill="1" applyBorder="1" applyAlignment="1">
      <alignment vertical="center"/>
    </xf>
    <xf numFmtId="0" fontId="291" fillId="0" borderId="0" xfId="0" applyFont="1" applyFill="1" applyBorder="1" applyAlignment="1">
      <alignment vertical="center"/>
    </xf>
    <xf numFmtId="0" fontId="200"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35" fillId="0" borderId="51" xfId="0" applyNumberFormat="1" applyFont="1" applyFill="1" applyBorder="1" applyAlignment="1">
      <alignment horizontal="center" vertical="center"/>
    </xf>
    <xf numFmtId="167" fontId="0" fillId="0" borderId="0" xfId="1" applyFont="1" applyFill="1" applyAlignment="1">
      <alignment vertical="center"/>
    </xf>
    <xf numFmtId="169" fontId="0" fillId="0" borderId="20" xfId="1" applyNumberFormat="1" applyFont="1" applyFill="1" applyBorder="1" applyAlignment="1">
      <alignment vertical="center"/>
    </xf>
    <xf numFmtId="169" fontId="200"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9" fontId="0" fillId="0" borderId="13" xfId="1" applyNumberFormat="1" applyFont="1" applyFill="1" applyBorder="1" applyAlignment="1">
      <alignment vertical="center"/>
    </xf>
    <xf numFmtId="169" fontId="200"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9" fontId="200" fillId="0" borderId="13" xfId="1" applyNumberFormat="1" applyFont="1" applyFill="1" applyBorder="1"/>
    <xf numFmtId="9" fontId="11" fillId="0" borderId="13" xfId="2" applyFont="1" applyFill="1" applyBorder="1" applyAlignment="1">
      <alignment horizontal="center" vertical="center"/>
    </xf>
    <xf numFmtId="0" fontId="35"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1" fillId="0" borderId="25" xfId="2" applyFont="1" applyFill="1" applyBorder="1" applyAlignment="1">
      <alignment horizontal="center" vertical="center"/>
    </xf>
    <xf numFmtId="9" fontId="11" fillId="0" borderId="58" xfId="2" applyFont="1" applyFill="1" applyBorder="1" applyAlignment="1">
      <alignment horizontal="center" vertical="center"/>
    </xf>
    <xf numFmtId="0" fontId="23" fillId="0" borderId="0" xfId="4" applyAlignment="1" applyProtection="1">
      <alignment vertical="center"/>
    </xf>
    <xf numFmtId="0" fontId="0" fillId="3" borderId="13" xfId="0" applyFont="1" applyFill="1" applyBorder="1" applyAlignment="1">
      <alignment horizontal="center" vertical="center"/>
    </xf>
    <xf numFmtId="181" fontId="83" fillId="3" borderId="13" xfId="2" applyNumberFormat="1" applyFont="1" applyFill="1" applyBorder="1" applyAlignment="1">
      <alignment horizontal="center" vertical="center"/>
    </xf>
    <xf numFmtId="10" fontId="70"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70" fillId="2" borderId="45" xfId="2" applyNumberFormat="1" applyFont="1" applyFill="1" applyBorder="1" applyAlignment="1">
      <alignment vertical="center"/>
    </xf>
    <xf numFmtId="9" fontId="11" fillId="0" borderId="13" xfId="2" applyFont="1" applyBorder="1" applyAlignment="1">
      <alignment horizontal="center" vertical="center"/>
    </xf>
    <xf numFmtId="9" fontId="11" fillId="3" borderId="13" xfId="2" applyFont="1" applyFill="1" applyBorder="1" applyAlignment="1">
      <alignment horizontal="center" vertical="center"/>
    </xf>
    <xf numFmtId="9" fontId="11" fillId="112" borderId="13" xfId="2" applyFont="1" applyFill="1" applyBorder="1" applyAlignment="1">
      <alignment horizontal="center" vertical="center"/>
    </xf>
    <xf numFmtId="2" fontId="121" fillId="92" borderId="0" xfId="0" applyNumberFormat="1" applyFont="1" applyFill="1" applyBorder="1" applyAlignment="1">
      <alignment horizontal="center" vertical="center"/>
    </xf>
    <xf numFmtId="2" fontId="121" fillId="92" borderId="37" xfId="0" applyNumberFormat="1" applyFont="1" applyFill="1" applyBorder="1" applyAlignment="1">
      <alignment horizontal="center" vertical="top"/>
    </xf>
    <xf numFmtId="2" fontId="121" fillId="92" borderId="37" xfId="0" applyNumberFormat="1" applyFont="1" applyFill="1" applyBorder="1" applyAlignment="1">
      <alignment horizontal="center" vertical="top" wrapText="1"/>
    </xf>
    <xf numFmtId="0" fontId="11" fillId="0" borderId="421" xfId="0" pivotButton="1" applyFont="1" applyBorder="1" applyAlignment="1">
      <alignment horizontal="center" vertical="center" wrapText="1"/>
    </xf>
    <xf numFmtId="0" fontId="11" fillId="0" borderId="421" xfId="0" applyFont="1" applyBorder="1" applyAlignment="1">
      <alignment wrapText="1"/>
    </xf>
    <xf numFmtId="0" fontId="11" fillId="0" borderId="415" xfId="0" pivotButton="1" applyFont="1" applyBorder="1" applyAlignment="1">
      <alignment horizontal="center" vertical="center" wrapText="1"/>
    </xf>
    <xf numFmtId="0" fontId="11" fillId="0" borderId="416" xfId="0" applyFont="1" applyBorder="1" applyAlignment="1">
      <alignment horizontal="center" wrapText="1"/>
    </xf>
    <xf numFmtId="0" fontId="11" fillId="0" borderId="417" xfId="0" applyFont="1" applyBorder="1" applyAlignment="1">
      <alignment horizontal="center" wrapText="1"/>
    </xf>
    <xf numFmtId="0" fontId="11" fillId="0" borderId="415" xfId="0" applyFont="1" applyBorder="1" applyAlignment="1">
      <alignment wrapText="1"/>
    </xf>
    <xf numFmtId="3" fontId="11" fillId="0" borderId="415" xfId="0" applyNumberFormat="1" applyFont="1" applyBorder="1" applyAlignment="1">
      <alignment horizontal="center" wrapText="1"/>
    </xf>
    <xf numFmtId="0" fontId="11" fillId="0" borderId="263" xfId="0" applyFont="1" applyBorder="1" applyAlignment="1">
      <alignment wrapText="1"/>
    </xf>
    <xf numFmtId="3" fontId="11" fillId="0" borderId="263" xfId="0" applyNumberFormat="1" applyFont="1" applyBorder="1" applyAlignment="1">
      <alignment horizontal="center" wrapText="1"/>
    </xf>
    <xf numFmtId="3" fontId="11" fillId="81" borderId="419" xfId="0" applyNumberFormat="1" applyFont="1" applyFill="1" applyBorder="1" applyAlignment="1">
      <alignment horizontal="center" wrapText="1"/>
    </xf>
    <xf numFmtId="0" fontId="11" fillId="0" borderId="415" xfId="0" applyFont="1" applyBorder="1" applyAlignment="1">
      <alignment horizontal="center" vertical="center" wrapText="1"/>
    </xf>
    <xf numFmtId="0" fontId="11" fillId="0" borderId="415" xfId="0" pivotButton="1" applyFont="1" applyBorder="1" applyAlignment="1">
      <alignment wrapText="1"/>
    </xf>
    <xf numFmtId="3" fontId="11" fillId="0" borderId="422" xfId="0" applyNumberFormat="1" applyFont="1" applyBorder="1" applyAlignment="1">
      <alignment horizontal="center" wrapText="1"/>
    </xf>
    <xf numFmtId="3" fontId="11" fillId="0" borderId="423" xfId="0" applyNumberFormat="1" applyFont="1" applyBorder="1" applyAlignment="1">
      <alignment horizontal="center" wrapText="1"/>
    </xf>
    <xf numFmtId="3" fontId="11" fillId="81" borderId="421" xfId="0" applyNumberFormat="1" applyFont="1" applyFill="1" applyBorder="1" applyAlignment="1">
      <alignment horizontal="center" wrapText="1"/>
    </xf>
    <xf numFmtId="3" fontId="11" fillId="0" borderId="418" xfId="0" applyNumberFormat="1" applyFont="1" applyBorder="1" applyAlignment="1">
      <alignment horizontal="center" wrapText="1"/>
    </xf>
    <xf numFmtId="3" fontId="11" fillId="0" borderId="0" xfId="0" applyNumberFormat="1" applyFont="1" applyAlignment="1">
      <alignment horizontal="center" wrapText="1"/>
    </xf>
    <xf numFmtId="0" fontId="11" fillId="0" borderId="422" xfId="0" applyFont="1" applyBorder="1" applyAlignment="1">
      <alignment horizontal="center" vertical="center" wrapText="1"/>
    </xf>
    <xf numFmtId="0" fontId="11" fillId="0" borderId="418" xfId="0" applyFont="1" applyBorder="1" applyAlignment="1">
      <alignment horizontal="center" vertical="center" wrapText="1"/>
    </xf>
    <xf numFmtId="0" fontId="11" fillId="81" borderId="419" xfId="0" applyFont="1" applyFill="1" applyBorder="1" applyAlignment="1">
      <alignment wrapText="1"/>
    </xf>
    <xf numFmtId="3" fontId="11" fillId="81" borderId="420" xfId="0" applyNumberFormat="1" applyFont="1" applyFill="1" applyBorder="1" applyAlignment="1">
      <alignment horizontal="center" wrapText="1"/>
    </xf>
    <xf numFmtId="0" fontId="107" fillId="7" borderId="88" xfId="0" applyFont="1" applyFill="1" applyBorder="1" applyAlignment="1">
      <alignment horizontal="center" vertical="center" wrapText="1"/>
    </xf>
    <xf numFmtId="3" fontId="108" fillId="0" borderId="6" xfId="0" applyNumberFormat="1" applyFont="1" applyBorder="1"/>
    <xf numFmtId="3" fontId="318" fillId="3" borderId="8" xfId="67" applyNumberFormat="1" applyFont="1" applyFill="1" applyBorder="1" applyAlignment="1">
      <alignment horizontal="right"/>
    </xf>
    <xf numFmtId="3" fontId="106" fillId="3" borderId="37" xfId="0" applyNumberFormat="1" applyFont="1" applyFill="1" applyBorder="1"/>
    <xf numFmtId="168" fontId="106" fillId="3" borderId="0" xfId="2" applyNumberFormat="1" applyFont="1" applyFill="1" applyBorder="1"/>
    <xf numFmtId="168" fontId="106" fillId="3" borderId="7" xfId="2" applyNumberFormat="1" applyFont="1" applyFill="1" applyBorder="1"/>
    <xf numFmtId="10" fontId="11" fillId="3" borderId="0" xfId="2" applyNumberFormat="1" applyFont="1" applyFill="1" applyBorder="1" applyAlignment="1">
      <alignment horizontal="center"/>
    </xf>
    <xf numFmtId="172" fontId="7" fillId="16" borderId="0" xfId="0" applyNumberFormat="1" applyFont="1" applyFill="1" applyBorder="1" applyAlignment="1">
      <alignment horizontal="left" vertical="center" wrapText="1"/>
    </xf>
    <xf numFmtId="169" fontId="70" fillId="32" borderId="4" xfId="1" applyNumberFormat="1" applyFont="1" applyFill="1" applyBorder="1"/>
    <xf numFmtId="169" fontId="70" fillId="10" borderId="4" xfId="1" applyNumberFormat="1" applyFont="1" applyFill="1" applyBorder="1"/>
    <xf numFmtId="169" fontId="70" fillId="5" borderId="4" xfId="1" applyNumberFormat="1" applyFont="1" applyFill="1" applyBorder="1"/>
    <xf numFmtId="169" fontId="70" fillId="0" borderId="4" xfId="1" applyNumberFormat="1" applyFont="1" applyFill="1" applyBorder="1"/>
    <xf numFmtId="169" fontId="70" fillId="0" borderId="0" xfId="1" applyNumberFormat="1" applyFont="1" applyFill="1" applyBorder="1"/>
    <xf numFmtId="169" fontId="70" fillId="32" borderId="424" xfId="1" applyNumberFormat="1" applyFont="1" applyFill="1" applyBorder="1"/>
    <xf numFmtId="169" fontId="70" fillId="32" borderId="425" xfId="1" applyNumberFormat="1" applyFont="1" applyFill="1" applyBorder="1"/>
    <xf numFmtId="169" fontId="70" fillId="32" borderId="426" xfId="1" applyNumberFormat="1" applyFont="1" applyFill="1" applyBorder="1"/>
    <xf numFmtId="169" fontId="70" fillId="32" borderId="427" xfId="1" applyNumberFormat="1" applyFont="1" applyFill="1" applyBorder="1"/>
    <xf numFmtId="169" fontId="70" fillId="32" borderId="428" xfId="1" applyNumberFormat="1" applyFont="1" applyFill="1" applyBorder="1"/>
    <xf numFmtId="169" fontId="70" fillId="10" borderId="427" xfId="1" applyNumberFormat="1" applyFont="1" applyFill="1" applyBorder="1"/>
    <xf numFmtId="169" fontId="70" fillId="10" borderId="428" xfId="1" applyNumberFormat="1" applyFont="1" applyFill="1" applyBorder="1"/>
    <xf numFmtId="169" fontId="70" fillId="5" borderId="427" xfId="1" applyNumberFormat="1" applyFont="1" applyFill="1" applyBorder="1"/>
    <xf numFmtId="169" fontId="70" fillId="5" borderId="428" xfId="1" applyNumberFormat="1" applyFont="1" applyFill="1" applyBorder="1"/>
    <xf numFmtId="169" fontId="70" fillId="0" borderId="427" xfId="1" applyNumberFormat="1" applyFont="1" applyFill="1" applyBorder="1"/>
    <xf numFmtId="169" fontId="70" fillId="0" borderId="428" xfId="1" applyNumberFormat="1" applyFont="1" applyFill="1" applyBorder="1"/>
    <xf numFmtId="169" fontId="70" fillId="0" borderId="37" xfId="1" applyNumberFormat="1" applyFont="1" applyFill="1" applyBorder="1"/>
    <xf numFmtId="169" fontId="70" fillId="0" borderId="7" xfId="1" applyNumberFormat="1" applyFont="1" applyFill="1" applyBorder="1"/>
    <xf numFmtId="169" fontId="70" fillId="0" borderId="429" xfId="1" applyNumberFormat="1" applyFont="1" applyFill="1" applyBorder="1"/>
    <xf numFmtId="169" fontId="70" fillId="0" borderId="430" xfId="1" applyNumberFormat="1" applyFont="1" applyFill="1" applyBorder="1"/>
    <xf numFmtId="169" fontId="70" fillId="0" borderId="431" xfId="1" applyNumberFormat="1" applyFont="1" applyFill="1" applyBorder="1"/>
    <xf numFmtId="169" fontId="6" fillId="72" borderId="232" xfId="1" applyNumberFormat="1" applyFont="1" applyFill="1" applyBorder="1" applyAlignment="1">
      <alignment vertical="center" wrapText="1"/>
    </xf>
    <xf numFmtId="169" fontId="6" fillId="72" borderId="233" xfId="1" applyNumberFormat="1" applyFont="1" applyFill="1" applyBorder="1" applyAlignment="1">
      <alignment vertical="center" wrapText="1"/>
    </xf>
    <xf numFmtId="169" fontId="6" fillId="72" borderId="234" xfId="1" applyNumberFormat="1" applyFont="1" applyFill="1" applyBorder="1" applyAlignment="1">
      <alignment vertical="center" wrapText="1"/>
    </xf>
    <xf numFmtId="169" fontId="269" fillId="98" borderId="235" xfId="1" applyNumberFormat="1" applyFont="1" applyFill="1" applyBorder="1" applyAlignment="1">
      <alignment vertical="center" wrapText="1"/>
    </xf>
    <xf numFmtId="169" fontId="269" fillId="98" borderId="236" xfId="1" applyNumberFormat="1" applyFont="1" applyFill="1" applyBorder="1" applyAlignment="1">
      <alignment vertical="center" wrapText="1"/>
    </xf>
    <xf numFmtId="169" fontId="269" fillId="91" borderId="236" xfId="1" applyNumberFormat="1" applyFont="1" applyFill="1" applyBorder="1" applyAlignment="1">
      <alignment vertical="center" wrapText="1"/>
    </xf>
    <xf numFmtId="169" fontId="269" fillId="91" borderId="237" xfId="1" applyNumberFormat="1" applyFont="1" applyFill="1" applyBorder="1" applyAlignment="1">
      <alignment vertical="center" wrapText="1"/>
    </xf>
    <xf numFmtId="169" fontId="6" fillId="73" borderId="238" xfId="1" applyNumberFormat="1" applyFont="1" applyFill="1" applyBorder="1" applyAlignment="1">
      <alignment vertical="center" wrapText="1"/>
    </xf>
    <xf numFmtId="169" fontId="6" fillId="73" borderId="239" xfId="1" applyNumberFormat="1" applyFont="1" applyFill="1" applyBorder="1" applyAlignment="1">
      <alignment vertical="center" wrapText="1"/>
    </xf>
    <xf numFmtId="169" fontId="6" fillId="73" borderId="240" xfId="1" applyNumberFormat="1" applyFont="1" applyFill="1" applyBorder="1" applyAlignment="1">
      <alignment vertical="center" wrapText="1"/>
    </xf>
    <xf numFmtId="169" fontId="6" fillId="10" borderId="241" xfId="1" applyNumberFormat="1" applyFont="1" applyFill="1" applyBorder="1" applyAlignment="1">
      <alignment vertical="center" wrapText="1"/>
    </xf>
    <xf numFmtId="169" fontId="6" fillId="10" borderId="242" xfId="1" applyNumberFormat="1" applyFont="1" applyFill="1" applyBorder="1" applyAlignment="1">
      <alignment vertical="center" wrapText="1"/>
    </xf>
    <xf numFmtId="169" fontId="6" fillId="10" borderId="243" xfId="1" applyNumberFormat="1" applyFont="1" applyFill="1" applyBorder="1" applyAlignment="1">
      <alignment vertical="center" wrapText="1"/>
    </xf>
    <xf numFmtId="169" fontId="6" fillId="10" borderId="244" xfId="1" applyNumberFormat="1" applyFont="1" applyFill="1" applyBorder="1" applyAlignment="1">
      <alignment vertical="center" wrapText="1"/>
    </xf>
    <xf numFmtId="169" fontId="6" fillId="73" borderId="245" xfId="1" applyNumberFormat="1" applyFont="1" applyFill="1" applyBorder="1" applyAlignment="1">
      <alignment vertical="center" wrapText="1"/>
    </xf>
    <xf numFmtId="169" fontId="6" fillId="73" borderId="246" xfId="1" applyNumberFormat="1" applyFont="1" applyFill="1" applyBorder="1" applyAlignment="1">
      <alignment vertical="center" wrapText="1"/>
    </xf>
    <xf numFmtId="169" fontId="6" fillId="73" borderId="247" xfId="1" applyNumberFormat="1" applyFont="1" applyFill="1" applyBorder="1" applyAlignment="1">
      <alignment vertical="center" wrapText="1"/>
    </xf>
    <xf numFmtId="169" fontId="6" fillId="27" borderId="248" xfId="1" applyNumberFormat="1" applyFont="1" applyFill="1" applyBorder="1" applyAlignment="1">
      <alignment vertical="center" wrapText="1"/>
    </xf>
    <xf numFmtId="169" fontId="6" fillId="27" borderId="249" xfId="1" applyNumberFormat="1" applyFont="1" applyFill="1" applyBorder="1" applyAlignment="1">
      <alignment vertical="center" wrapText="1"/>
    </xf>
    <xf numFmtId="169" fontId="6" fillId="27" borderId="250" xfId="1" applyNumberFormat="1" applyFont="1" applyFill="1" applyBorder="1" applyAlignment="1">
      <alignment vertical="center" wrapText="1"/>
    </xf>
    <xf numFmtId="169" fontId="6" fillId="72" borderId="251" xfId="1" applyNumberFormat="1" applyFont="1" applyFill="1" applyBorder="1" applyAlignment="1">
      <alignment vertical="center" wrapText="1"/>
    </xf>
    <xf numFmtId="169" fontId="6" fillId="72" borderId="252" xfId="1" applyNumberFormat="1" applyFont="1" applyFill="1" applyBorder="1" applyAlignment="1">
      <alignment vertical="center" wrapText="1"/>
    </xf>
    <xf numFmtId="169" fontId="6" fillId="72" borderId="253" xfId="1" applyNumberFormat="1" applyFont="1" applyFill="1" applyBorder="1" applyAlignment="1">
      <alignment vertical="center" wrapText="1"/>
    </xf>
    <xf numFmtId="169" fontId="6" fillId="72" borderId="254" xfId="1" applyNumberFormat="1" applyFont="1" applyFill="1" applyBorder="1" applyAlignment="1">
      <alignment vertical="center" wrapText="1"/>
    </xf>
    <xf numFmtId="169" fontId="6" fillId="72" borderId="29" xfId="1" applyNumberFormat="1" applyFont="1" applyFill="1" applyBorder="1" applyAlignment="1">
      <alignment vertical="center" wrapText="1"/>
    </xf>
    <xf numFmtId="169" fontId="19" fillId="14" borderId="49" xfId="1" applyNumberFormat="1" applyFont="1" applyFill="1" applyBorder="1" applyAlignment="1">
      <alignment vertical="center"/>
    </xf>
    <xf numFmtId="169" fontId="19" fillId="14" borderId="50" xfId="1" applyNumberFormat="1" applyFont="1" applyFill="1" applyBorder="1" applyAlignment="1">
      <alignment vertical="center"/>
    </xf>
    <xf numFmtId="169" fontId="19" fillId="14" borderId="88" xfId="1" applyNumberFormat="1" applyFont="1" applyFill="1" applyBorder="1" applyAlignment="1">
      <alignment vertical="center"/>
    </xf>
    <xf numFmtId="169" fontId="19" fillId="16" borderId="49" xfId="1" applyNumberFormat="1" applyFont="1" applyFill="1" applyBorder="1" applyAlignment="1">
      <alignment vertical="center"/>
    </xf>
    <xf numFmtId="169" fontId="19" fillId="16" borderId="50" xfId="1" applyNumberFormat="1" applyFont="1" applyFill="1" applyBorder="1" applyAlignment="1">
      <alignment vertical="center"/>
    </xf>
    <xf numFmtId="169" fontId="19" fillId="16" borderId="51" xfId="1" applyNumberFormat="1" applyFont="1" applyFill="1" applyBorder="1" applyAlignment="1">
      <alignment vertical="center"/>
    </xf>
    <xf numFmtId="169" fontId="19" fillId="5" borderId="49" xfId="1" applyNumberFormat="1" applyFont="1" applyFill="1" applyBorder="1" applyAlignment="1">
      <alignment vertical="center"/>
    </xf>
    <xf numFmtId="169" fontId="19" fillId="5" borderId="50" xfId="1" applyNumberFormat="1" applyFont="1" applyFill="1" applyBorder="1" applyAlignment="1">
      <alignment vertical="center"/>
    </xf>
    <xf numFmtId="169" fontId="19" fillId="5" borderId="51" xfId="1" applyNumberFormat="1" applyFont="1" applyFill="1" applyBorder="1" applyAlignment="1">
      <alignment vertical="center"/>
    </xf>
    <xf numFmtId="3" fontId="265" fillId="3" borderId="88" xfId="0" applyNumberFormat="1" applyFont="1" applyFill="1" applyBorder="1"/>
    <xf numFmtId="3" fontId="144" fillId="3" borderId="5" xfId="0" applyNumberFormat="1" applyFont="1" applyFill="1" applyBorder="1"/>
    <xf numFmtId="168" fontId="153" fillId="3" borderId="0" xfId="2" applyNumberFormat="1" applyFont="1" applyFill="1" applyBorder="1" applyAlignment="1">
      <alignment horizontal="center"/>
    </xf>
    <xf numFmtId="0" fontId="257" fillId="3" borderId="0" xfId="0" applyFont="1" applyFill="1"/>
    <xf numFmtId="3" fontId="152" fillId="3" borderId="0" xfId="85" applyNumberFormat="1" applyFont="1" applyFill="1" applyBorder="1"/>
    <xf numFmtId="3" fontId="20" fillId="3" borderId="0" xfId="85" applyNumberFormat="1" applyFont="1" applyFill="1" applyBorder="1"/>
    <xf numFmtId="169" fontId="19" fillId="3" borderId="0" xfId="1" applyNumberFormat="1" applyFont="1" applyFill="1" applyAlignment="1">
      <alignment vertical="center"/>
    </xf>
    <xf numFmtId="168" fontId="153" fillId="3" borderId="33" xfId="2" applyNumberFormat="1" applyFont="1" applyFill="1" applyBorder="1" applyAlignment="1">
      <alignment horizontal="center" vertical="center"/>
    </xf>
    <xf numFmtId="167" fontId="70" fillId="0" borderId="25" xfId="1" applyFont="1" applyFill="1" applyBorder="1" applyAlignment="1">
      <alignment horizontal="center" vertical="center"/>
    </xf>
    <xf numFmtId="2" fontId="121" fillId="92" borderId="37" xfId="0" applyNumberFormat="1" applyFont="1" applyFill="1" applyBorder="1" applyAlignment="1">
      <alignment horizontal="center" vertical="center"/>
    </xf>
    <xf numFmtId="1" fontId="121" fillId="92" borderId="37" xfId="0" applyNumberFormat="1" applyFont="1" applyFill="1" applyBorder="1" applyAlignment="1">
      <alignment horizontal="center" vertical="center"/>
    </xf>
    <xf numFmtId="0" fontId="0" fillId="0" borderId="0" xfId="0" applyAlignment="1">
      <alignment horizontal="left" vertical="center" wrapText="1"/>
    </xf>
    <xf numFmtId="2" fontId="106" fillId="30" borderId="45" xfId="0" applyNumberFormat="1" applyFont="1" applyFill="1" applyBorder="1" applyAlignment="1">
      <alignment horizontal="center" vertical="center"/>
    </xf>
    <xf numFmtId="172" fontId="39" fillId="40" borderId="29" xfId="0" applyNumberFormat="1" applyFont="1" applyFill="1" applyBorder="1" applyAlignment="1">
      <alignment horizontal="center" vertical="center"/>
    </xf>
    <xf numFmtId="172" fontId="39" fillId="40" borderId="30" xfId="0" applyNumberFormat="1" applyFont="1" applyFill="1" applyBorder="1" applyAlignment="1">
      <alignment horizontal="center" vertical="center"/>
    </xf>
    <xf numFmtId="172" fontId="39" fillId="40" borderId="34" xfId="0" applyNumberFormat="1" applyFont="1" applyFill="1" applyBorder="1" applyAlignment="1">
      <alignment horizontal="center" vertical="center" wrapText="1"/>
    </xf>
    <xf numFmtId="172" fontId="39" fillId="40" borderId="67" xfId="0" applyNumberFormat="1" applyFont="1" applyFill="1" applyBorder="1" applyAlignment="1">
      <alignment horizontal="center" vertical="center" wrapText="1"/>
    </xf>
    <xf numFmtId="2" fontId="106" fillId="3" borderId="58" xfId="0" applyNumberFormat="1" applyFont="1" applyFill="1" applyBorder="1" applyAlignment="1">
      <alignment horizontal="center" vertical="center"/>
    </xf>
    <xf numFmtId="17" fontId="0" fillId="3" borderId="7" xfId="0" applyNumberFormat="1" applyFont="1" applyFill="1" applyBorder="1" applyAlignment="1">
      <alignment horizontal="center" vertical="center" wrapText="1"/>
    </xf>
    <xf numFmtId="17" fontId="0" fillId="3" borderId="84" xfId="0" applyNumberFormat="1" applyFont="1" applyFill="1" applyBorder="1" applyAlignment="1">
      <alignment horizontal="center" vertical="center" wrapText="1"/>
    </xf>
    <xf numFmtId="2" fontId="129" fillId="3" borderId="84" xfId="0" applyNumberFormat="1" applyFont="1" applyFill="1" applyBorder="1" applyAlignment="1">
      <alignment horizontal="center" vertical="center"/>
    </xf>
    <xf numFmtId="172" fontId="129" fillId="3" borderId="7" xfId="0" applyNumberFormat="1" applyFont="1" applyFill="1" applyBorder="1" applyAlignment="1">
      <alignment horizontal="center" vertical="center"/>
    </xf>
    <xf numFmtId="172" fontId="129" fillId="3" borderId="9" xfId="0" applyNumberFormat="1" applyFont="1" applyFill="1" applyBorder="1" applyAlignment="1">
      <alignment horizontal="center" vertical="center"/>
    </xf>
    <xf numFmtId="2" fontId="12" fillId="3" borderId="335" xfId="0" applyNumberFormat="1" applyFont="1" applyFill="1" applyBorder="1" applyAlignment="1">
      <alignment horizontal="center" vertical="center"/>
    </xf>
    <xf numFmtId="9" fontId="21" fillId="3" borderId="58" xfId="2" applyFont="1" applyFill="1" applyBorder="1" applyAlignment="1">
      <alignment horizontal="center" vertical="center"/>
    </xf>
    <xf numFmtId="2" fontId="12" fillId="3" borderId="336" xfId="0" applyNumberFormat="1" applyFont="1" applyFill="1" applyBorder="1" applyAlignment="1">
      <alignment horizontal="center" vertical="center"/>
    </xf>
    <xf numFmtId="9" fontId="21" fillId="3" borderId="406" xfId="2" applyFont="1" applyFill="1" applyBorder="1" applyAlignment="1">
      <alignment horizontal="center" vertical="center"/>
    </xf>
    <xf numFmtId="0" fontId="39" fillId="83" borderId="5" xfId="0" applyFont="1" applyFill="1" applyBorder="1" applyAlignment="1">
      <alignment vertical="center"/>
    </xf>
    <xf numFmtId="0" fontId="55" fillId="83" borderId="5" xfId="0" applyFont="1" applyFill="1" applyBorder="1" applyAlignment="1">
      <alignment vertical="center"/>
    </xf>
    <xf numFmtId="2" fontId="292" fillId="32" borderId="55" xfId="0" applyNumberFormat="1" applyFont="1" applyFill="1" applyBorder="1" applyAlignment="1">
      <alignment horizontal="center" vertical="center"/>
    </xf>
    <xf numFmtId="2" fontId="318" fillId="32" borderId="45" xfId="0" applyNumberFormat="1" applyFont="1" applyFill="1" applyBorder="1" applyAlignment="1">
      <alignment horizontal="center" vertical="center"/>
    </xf>
    <xf numFmtId="2" fontId="107" fillId="3" borderId="49" xfId="0" applyNumberFormat="1" applyFont="1" applyFill="1" applyBorder="1" applyAlignment="1">
      <alignment horizontal="center" vertical="center"/>
    </xf>
    <xf numFmtId="2" fontId="318" fillId="3" borderId="49" xfId="0" applyNumberFormat="1" applyFont="1" applyFill="1" applyBorder="1" applyAlignment="1">
      <alignment horizontal="center" vertical="center"/>
    </xf>
    <xf numFmtId="2" fontId="12" fillId="3" borderId="290" xfId="0" applyNumberFormat="1" applyFont="1" applyFill="1" applyBorder="1" applyAlignment="1">
      <alignment horizontal="center" vertical="center"/>
    </xf>
    <xf numFmtId="2" fontId="292" fillId="3" borderId="284" xfId="0" applyNumberFormat="1" applyFont="1" applyFill="1" applyBorder="1" applyAlignment="1">
      <alignment horizontal="center" vertical="center"/>
    </xf>
    <xf numFmtId="2" fontId="106" fillId="30" borderId="44" xfId="0" applyNumberFormat="1" applyFont="1" applyFill="1" applyBorder="1" applyAlignment="1">
      <alignment horizontal="center" vertical="center"/>
    </xf>
    <xf numFmtId="2" fontId="106" fillId="3" borderId="406" xfId="0" applyNumberFormat="1" applyFont="1" applyFill="1" applyBorder="1" applyAlignment="1">
      <alignment horizontal="center" vertical="center"/>
    </xf>
    <xf numFmtId="2" fontId="21" fillId="28" borderId="44" xfId="0" applyNumberFormat="1" applyFont="1" applyFill="1" applyBorder="1" applyAlignment="1">
      <alignment horizontal="center" vertical="center"/>
    </xf>
    <xf numFmtId="2" fontId="318" fillId="3" borderId="44" xfId="0" applyNumberFormat="1" applyFont="1" applyFill="1" applyBorder="1" applyAlignment="1">
      <alignment horizontal="center" vertical="center"/>
    </xf>
    <xf numFmtId="2" fontId="107" fillId="3" borderId="340" xfId="0" applyNumberFormat="1" applyFont="1" applyFill="1" applyBorder="1" applyAlignment="1">
      <alignment horizontal="center" vertical="center"/>
    </xf>
    <xf numFmtId="2" fontId="107" fillId="3" borderId="46" xfId="0" applyNumberFormat="1" applyFont="1" applyFill="1" applyBorder="1" applyAlignment="1">
      <alignment horizontal="center" vertical="center"/>
    </xf>
    <xf numFmtId="1" fontId="39" fillId="40" borderId="35" xfId="0" applyNumberFormat="1" applyFont="1" applyFill="1" applyBorder="1" applyAlignment="1">
      <alignment horizontal="left" vertical="center"/>
    </xf>
    <xf numFmtId="172" fontId="39" fillId="40" borderId="66" xfId="0" applyNumberFormat="1" applyFont="1" applyFill="1" applyBorder="1" applyAlignment="1">
      <alignment horizontal="center" vertical="center" wrapText="1"/>
    </xf>
    <xf numFmtId="172" fontId="39" fillId="3" borderId="291" xfId="0" applyNumberFormat="1" applyFont="1" applyFill="1" applyBorder="1" applyAlignment="1">
      <alignment horizontal="center" vertical="center"/>
    </xf>
    <xf numFmtId="172" fontId="39" fillId="3" borderId="276" xfId="0" applyNumberFormat="1" applyFont="1" applyFill="1" applyBorder="1" applyAlignment="1">
      <alignment horizontal="center" vertical="center"/>
    </xf>
    <xf numFmtId="1" fontId="39" fillId="3" borderId="6" xfId="0" applyNumberFormat="1" applyFont="1" applyFill="1" applyBorder="1" applyAlignment="1">
      <alignment horizontal="center" vertical="center" wrapText="1"/>
    </xf>
    <xf numFmtId="172" fontId="29" fillId="3" borderId="5" xfId="0" applyNumberFormat="1" applyFont="1" applyFill="1" applyBorder="1" applyAlignment="1">
      <alignment horizontal="center"/>
    </xf>
    <xf numFmtId="172" fontId="29" fillId="3" borderId="6" xfId="0" applyNumberFormat="1" applyFont="1" applyFill="1" applyBorder="1" applyAlignment="1">
      <alignment horizontal="center"/>
    </xf>
    <xf numFmtId="172" fontId="29" fillId="3" borderId="8" xfId="0" applyNumberFormat="1" applyFont="1" applyFill="1" applyBorder="1" applyAlignment="1">
      <alignment horizontal="center"/>
    </xf>
    <xf numFmtId="2" fontId="106" fillId="3" borderId="17" xfId="0" applyNumberFormat="1" applyFont="1" applyFill="1" applyBorder="1" applyAlignment="1">
      <alignment horizontal="center" vertical="center"/>
    </xf>
    <xf numFmtId="2" fontId="106" fillId="3" borderId="341" xfId="0" applyNumberFormat="1" applyFont="1" applyFill="1" applyBorder="1" applyAlignment="1">
      <alignment horizontal="center" vertical="center"/>
    </xf>
    <xf numFmtId="0" fontId="39" fillId="85" borderId="8" xfId="0" applyFont="1" applyFill="1" applyBorder="1" applyAlignment="1">
      <alignment horizontal="right" vertical="center"/>
    </xf>
    <xf numFmtId="0" fontId="39" fillId="39" borderId="6" xfId="0" applyFont="1" applyFill="1" applyBorder="1" applyAlignment="1">
      <alignment horizontal="left" vertical="center"/>
    </xf>
    <xf numFmtId="9" fontId="21" fillId="28" borderId="44" xfId="2" applyNumberFormat="1" applyFont="1" applyFill="1" applyBorder="1" applyAlignment="1">
      <alignment horizontal="center" vertical="center"/>
    </xf>
    <xf numFmtId="2" fontId="106" fillId="3" borderId="47" xfId="0" applyNumberFormat="1" applyFont="1" applyFill="1" applyBorder="1" applyAlignment="1">
      <alignment horizontal="center" vertical="center"/>
    </xf>
    <xf numFmtId="2" fontId="106" fillId="3" borderId="48" xfId="0" applyNumberFormat="1" applyFont="1" applyFill="1" applyBorder="1" applyAlignment="1">
      <alignment horizontal="center" vertical="center"/>
    </xf>
    <xf numFmtId="2" fontId="107" fillId="3" borderId="13" xfId="0" applyNumberFormat="1" applyFont="1" applyFill="1" applyBorder="1" applyAlignment="1">
      <alignment horizontal="center" vertical="center"/>
    </xf>
    <xf numFmtId="2" fontId="107" fillId="35" borderId="49" xfId="0" applyNumberFormat="1" applyFont="1" applyFill="1" applyBorder="1" applyAlignment="1">
      <alignment horizontal="center" vertical="center"/>
    </xf>
    <xf numFmtId="2" fontId="107" fillId="35" borderId="51" xfId="0" applyNumberFormat="1" applyFont="1" applyFill="1" applyBorder="1" applyAlignment="1">
      <alignment horizontal="center" vertical="center"/>
    </xf>
    <xf numFmtId="2" fontId="12" fillId="16" borderId="130" xfId="0" applyNumberFormat="1" applyFont="1" applyFill="1" applyBorder="1" applyAlignment="1">
      <alignment horizontal="center" vertical="center"/>
    </xf>
    <xf numFmtId="2" fontId="12" fillId="16" borderId="90" xfId="0" applyNumberFormat="1" applyFont="1" applyFill="1" applyBorder="1" applyAlignment="1">
      <alignment horizontal="center" vertical="center"/>
    </xf>
    <xf numFmtId="2" fontId="292" fillId="32" borderId="284" xfId="0" applyNumberFormat="1" applyFont="1" applyFill="1" applyBorder="1" applyAlignment="1">
      <alignment horizontal="center" vertical="center"/>
    </xf>
    <xf numFmtId="172" fontId="294" fillId="30" borderId="44" xfId="0" applyNumberFormat="1" applyFont="1" applyFill="1" applyBorder="1" applyAlignment="1">
      <alignment horizontal="center" vertical="center"/>
    </xf>
    <xf numFmtId="2" fontId="318" fillId="32" borderId="44" xfId="0" applyNumberFormat="1" applyFont="1" applyFill="1" applyBorder="1" applyAlignment="1">
      <alignment horizontal="center" vertical="center"/>
    </xf>
    <xf numFmtId="172" fontId="106" fillId="13" borderId="44" xfId="0" applyNumberFormat="1" applyFont="1" applyFill="1" applyBorder="1" applyAlignment="1">
      <alignment horizontal="center" vertical="center"/>
    </xf>
    <xf numFmtId="2" fontId="107" fillId="3" borderId="45" xfId="0" applyNumberFormat="1" applyFont="1" applyFill="1" applyBorder="1" applyAlignment="1">
      <alignment horizontal="center" vertical="center"/>
    </xf>
    <xf numFmtId="172" fontId="106" fillId="14" borderId="46" xfId="0" applyNumberFormat="1" applyFont="1" applyFill="1" applyBorder="1" applyAlignment="1">
      <alignment horizontal="center"/>
    </xf>
    <xf numFmtId="172" fontId="106" fillId="14" borderId="432" xfId="0" applyNumberFormat="1" applyFont="1" applyFill="1" applyBorder="1" applyAlignment="1">
      <alignment horizontal="center"/>
    </xf>
    <xf numFmtId="172" fontId="106" fillId="3" borderId="47" xfId="0" applyNumberFormat="1" applyFont="1" applyFill="1" applyBorder="1" applyAlignment="1">
      <alignment horizontal="center"/>
    </xf>
    <xf numFmtId="172" fontId="106" fillId="3" borderId="48" xfId="0" applyNumberFormat="1" applyFont="1" applyFill="1" applyBorder="1" applyAlignment="1">
      <alignment horizontal="center"/>
    </xf>
    <xf numFmtId="1" fontId="39" fillId="75" borderId="35" xfId="0" applyNumberFormat="1" applyFont="1" applyFill="1" applyBorder="1" applyAlignment="1">
      <alignment horizontal="left" vertical="center"/>
    </xf>
    <xf numFmtId="172" fontId="39" fillId="75" borderId="66" xfId="0" applyNumberFormat="1" applyFont="1" applyFill="1" applyBorder="1" applyAlignment="1">
      <alignment horizontal="center" vertical="center" wrapText="1"/>
    </xf>
    <xf numFmtId="172" fontId="70" fillId="32" borderId="291" xfId="0" applyNumberFormat="1" applyFont="1" applyFill="1" applyBorder="1" applyAlignment="1">
      <alignment vertical="center"/>
    </xf>
    <xf numFmtId="0" fontId="0" fillId="32" borderId="0" xfId="0" applyFont="1" applyFill="1" applyBorder="1" applyAlignment="1">
      <alignment horizontal="center" vertical="center"/>
    </xf>
    <xf numFmtId="2" fontId="318" fillId="35" borderId="49" xfId="0" applyNumberFormat="1" applyFont="1" applyFill="1" applyBorder="1" applyAlignment="1">
      <alignment horizontal="center" vertical="center"/>
    </xf>
    <xf numFmtId="0" fontId="70" fillId="16" borderId="0" xfId="0" applyFont="1" applyFill="1" applyBorder="1" applyAlignment="1">
      <alignment vertical="center"/>
    </xf>
    <xf numFmtId="0" fontId="0" fillId="0" borderId="0" xfId="0" applyFont="1" applyFill="1" applyBorder="1"/>
    <xf numFmtId="2" fontId="341" fillId="0" borderId="0" xfId="0" applyNumberFormat="1" applyFont="1" applyFill="1" applyBorder="1"/>
    <xf numFmtId="2" fontId="342" fillId="0" borderId="0" xfId="0" applyNumberFormat="1" applyFont="1" applyFill="1" applyBorder="1" applyAlignment="1">
      <alignment horizontal="center"/>
    </xf>
    <xf numFmtId="0" fontId="107" fillId="0" borderId="0" xfId="0" applyFont="1" applyFill="1" applyBorder="1" applyAlignment="1">
      <alignment horizontal="left" vertical="center"/>
    </xf>
    <xf numFmtId="0" fontId="341" fillId="0" borderId="0" xfId="0" applyFont="1" applyFill="1" applyBorder="1"/>
    <xf numFmtId="0" fontId="343" fillId="0" borderId="0" xfId="0" applyFont="1" applyFill="1" applyBorder="1" applyAlignment="1">
      <alignment horizontal="center"/>
    </xf>
    <xf numFmtId="172" fontId="0" fillId="0" borderId="0" xfId="0" applyNumberFormat="1" applyFont="1" applyFill="1" applyBorder="1" applyAlignment="1">
      <alignment horizontal="center"/>
    </xf>
    <xf numFmtId="0" fontId="39" fillId="0" borderId="35" xfId="0" applyFont="1" applyFill="1" applyBorder="1"/>
    <xf numFmtId="0" fontId="71" fillId="0" borderId="29" xfId="0" applyFont="1" applyFill="1" applyBorder="1" applyAlignment="1">
      <alignment horizontal="right"/>
    </xf>
    <xf numFmtId="172" fontId="35" fillId="0" borderId="275" xfId="0" applyNumberFormat="1" applyFont="1" applyFill="1" applyBorder="1" applyAlignment="1">
      <alignment horizontal="left"/>
    </xf>
    <xf numFmtId="172" fontId="35" fillId="0" borderId="54" xfId="0" applyNumberFormat="1" applyFont="1" applyFill="1" applyBorder="1" applyAlignment="1">
      <alignment horizontal="center"/>
    </xf>
    <xf numFmtId="0" fontId="0" fillId="0" borderId="29" xfId="0" applyFont="1" applyFill="1" applyBorder="1"/>
    <xf numFmtId="172" fontId="344" fillId="0" borderId="29" xfId="0" applyNumberFormat="1" applyFont="1" applyFill="1" applyBorder="1" applyAlignment="1">
      <alignment horizontal="center"/>
    </xf>
    <xf numFmtId="0" fontId="0" fillId="0" borderId="30" xfId="0" applyFont="1" applyFill="1" applyBorder="1"/>
    <xf numFmtId="0" fontId="39" fillId="4" borderId="37" xfId="0" applyFont="1" applyFill="1" applyBorder="1"/>
    <xf numFmtId="0" fontId="71" fillId="22" borderId="0" xfId="0" applyFont="1" applyFill="1" applyBorder="1" applyAlignment="1">
      <alignment horizontal="right"/>
    </xf>
    <xf numFmtId="1" fontId="19" fillId="24" borderId="36" xfId="0" applyNumberFormat="1" applyFont="1" applyFill="1" applyBorder="1" applyAlignment="1">
      <alignment horizontal="center"/>
    </xf>
    <xf numFmtId="0" fontId="19" fillId="24" borderId="27" xfId="0" applyFont="1" applyFill="1" applyBorder="1" applyAlignment="1">
      <alignment horizontal="center"/>
    </xf>
    <xf numFmtId="0" fontId="19" fillId="0" borderId="276" xfId="0" applyFont="1" applyFill="1" applyBorder="1" applyAlignment="1">
      <alignment horizontal="center"/>
    </xf>
    <xf numFmtId="0" fontId="19" fillId="3" borderId="276" xfId="0" applyFont="1" applyFill="1" applyBorder="1" applyAlignment="1">
      <alignment horizontal="center"/>
    </xf>
    <xf numFmtId="0" fontId="345" fillId="4" borderId="37" xfId="0" applyFont="1" applyFill="1" applyBorder="1" applyAlignment="1">
      <alignment horizontal="left" vertical="center"/>
    </xf>
    <xf numFmtId="2" fontId="19" fillId="24" borderId="23" xfId="0" applyNumberFormat="1" applyFont="1" applyFill="1" applyBorder="1" applyAlignment="1">
      <alignment horizontal="center"/>
    </xf>
    <xf numFmtId="3" fontId="19" fillId="24" borderId="0" xfId="0" applyNumberFormat="1" applyFont="1" applyFill="1" applyBorder="1" applyAlignment="1">
      <alignment horizontal="center"/>
    </xf>
    <xf numFmtId="3" fontId="19" fillId="0" borderId="7" xfId="0" applyNumberFormat="1" applyFont="1" applyFill="1" applyBorder="1" applyAlignment="1">
      <alignment horizontal="center"/>
    </xf>
    <xf numFmtId="3" fontId="19" fillId="3" borderId="7" xfId="0" applyNumberFormat="1" applyFont="1" applyFill="1" applyBorder="1" applyAlignment="1">
      <alignment horizontal="center"/>
    </xf>
    <xf numFmtId="0" fontId="69" fillId="4" borderId="37" xfId="0" applyFont="1" applyFill="1" applyBorder="1" applyAlignment="1">
      <alignment horizontal="left" vertical="center"/>
    </xf>
    <xf numFmtId="2" fontId="19" fillId="24" borderId="0" xfId="0" applyNumberFormat="1" applyFont="1" applyFill="1" applyBorder="1" applyAlignment="1">
      <alignment horizontal="center"/>
    </xf>
    <xf numFmtId="2" fontId="19" fillId="0" borderId="7" xfId="0" applyNumberFormat="1" applyFont="1" applyFill="1" applyBorder="1" applyAlignment="1">
      <alignment horizontal="center"/>
    </xf>
    <xf numFmtId="2" fontId="19" fillId="3" borderId="7" xfId="0" applyNumberFormat="1" applyFont="1" applyFill="1" applyBorder="1" applyAlignment="1">
      <alignment horizontal="center"/>
    </xf>
    <xf numFmtId="0" fontId="39" fillId="4" borderId="37" xfId="0" applyFont="1" applyFill="1" applyBorder="1" applyAlignment="1">
      <alignment horizontal="left" vertical="center"/>
    </xf>
    <xf numFmtId="172" fontId="19" fillId="16" borderId="23" xfId="0" applyNumberFormat="1" applyFont="1" applyFill="1" applyBorder="1" applyAlignment="1">
      <alignment horizontal="center"/>
    </xf>
    <xf numFmtId="0" fontId="19" fillId="24" borderId="0" xfId="0" applyFont="1" applyFill="1" applyBorder="1" applyAlignment="1">
      <alignment horizontal="center"/>
    </xf>
    <xf numFmtId="0" fontId="19" fillId="16" borderId="0" xfId="0" applyFont="1" applyFill="1" applyBorder="1" applyAlignment="1">
      <alignment horizontal="center"/>
    </xf>
    <xf numFmtId="0" fontId="19" fillId="0" borderId="7" xfId="0" applyFont="1" applyFill="1" applyBorder="1" applyAlignment="1">
      <alignment horizontal="center"/>
    </xf>
    <xf numFmtId="0" fontId="19" fillId="3" borderId="7" xfId="0" applyFont="1" applyFill="1" applyBorder="1" applyAlignment="1">
      <alignment horizontal="center"/>
    </xf>
    <xf numFmtId="172" fontId="14" fillId="16" borderId="23" xfId="0" applyNumberFormat="1" applyFont="1" applyFill="1" applyBorder="1" applyAlignment="1">
      <alignment horizontal="center"/>
    </xf>
    <xf numFmtId="172" fontId="19" fillId="16" borderId="0" xfId="0" applyNumberFormat="1" applyFont="1" applyFill="1" applyBorder="1" applyAlignment="1">
      <alignment horizontal="center"/>
    </xf>
    <xf numFmtId="0" fontId="258" fillId="25" borderId="37" xfId="0" applyFont="1" applyFill="1" applyBorder="1" applyAlignment="1">
      <alignment horizontal="left" vertical="center"/>
    </xf>
    <xf numFmtId="0" fontId="346" fillId="26" borderId="0" xfId="0" applyFont="1" applyFill="1" applyBorder="1" applyAlignment="1">
      <alignment horizontal="right"/>
    </xf>
    <xf numFmtId="2" fontId="0" fillId="24" borderId="279" xfId="0" applyNumberFormat="1" applyFont="1" applyFill="1" applyBorder="1" applyAlignment="1">
      <alignment horizontal="center"/>
    </xf>
    <xf numFmtId="2" fontId="0" fillId="24" borderId="2" xfId="0" applyNumberFormat="1" applyFont="1" applyFill="1" applyBorder="1" applyAlignment="1">
      <alignment horizontal="center"/>
    </xf>
    <xf numFmtId="2" fontId="0" fillId="0" borderId="108" xfId="0" applyNumberFormat="1" applyFont="1" applyFill="1" applyBorder="1" applyAlignment="1">
      <alignment horizontal="center"/>
    </xf>
    <xf numFmtId="2" fontId="0" fillId="3" borderId="108" xfId="0" applyNumberFormat="1" applyFont="1" applyFill="1" applyBorder="1" applyAlignment="1">
      <alignment horizontal="center"/>
    </xf>
    <xf numFmtId="2" fontId="0" fillId="24" borderId="280" xfId="0" applyNumberFormat="1" applyFont="1" applyFill="1" applyBorder="1" applyAlignment="1">
      <alignment horizontal="center"/>
    </xf>
    <xf numFmtId="2" fontId="0" fillId="24" borderId="100" xfId="0" applyNumberFormat="1" applyFont="1" applyFill="1" applyBorder="1" applyAlignment="1">
      <alignment horizontal="center"/>
    </xf>
    <xf numFmtId="2" fontId="0" fillId="0" borderId="277" xfId="0" applyNumberFormat="1" applyFont="1" applyFill="1" applyBorder="1" applyAlignment="1">
      <alignment horizontal="center"/>
    </xf>
    <xf numFmtId="2" fontId="0" fillId="3" borderId="277" xfId="0" applyNumberFormat="1" applyFont="1" applyFill="1" applyBorder="1" applyAlignment="1">
      <alignment horizontal="center"/>
    </xf>
    <xf numFmtId="0" fontId="69" fillId="116" borderId="52" xfId="0" applyFont="1" applyFill="1" applyBorder="1" applyAlignment="1">
      <alignment horizontal="left" vertical="center"/>
    </xf>
    <xf numFmtId="0" fontId="71" fillId="116" borderId="11" xfId="0" applyFont="1" applyFill="1" applyBorder="1" applyAlignment="1">
      <alignment horizontal="right"/>
    </xf>
    <xf numFmtId="2" fontId="35" fillId="73" borderId="281" xfId="0" applyNumberFormat="1" applyFont="1" applyFill="1" applyBorder="1" applyAlignment="1">
      <alignment horizontal="center"/>
    </xf>
    <xf numFmtId="2" fontId="35" fillId="73" borderId="101" xfId="0" applyNumberFormat="1" applyFont="1" applyFill="1" applyBorder="1" applyAlignment="1">
      <alignment horizontal="center"/>
    </xf>
    <xf numFmtId="2" fontId="35" fillId="73" borderId="278" xfId="0" applyNumberFormat="1" applyFont="1" applyFill="1" applyBorder="1" applyAlignment="1">
      <alignment horizontal="center"/>
    </xf>
    <xf numFmtId="0" fontId="69" fillId="116" borderId="0" xfId="0" applyFont="1" applyFill="1" applyBorder="1" applyAlignment="1">
      <alignment horizontal="left" vertical="center"/>
    </xf>
    <xf numFmtId="0" fontId="71" fillId="116" borderId="0" xfId="0" applyFont="1" applyFill="1" applyBorder="1" applyAlignment="1">
      <alignment horizontal="right"/>
    </xf>
    <xf numFmtId="2" fontId="35" fillId="73" borderId="0" xfId="0" applyNumberFormat="1" applyFont="1" applyFill="1" applyBorder="1" applyAlignment="1">
      <alignment horizontal="center"/>
    </xf>
    <xf numFmtId="2" fontId="35" fillId="3" borderId="278" xfId="0" applyNumberFormat="1" applyFont="1" applyFill="1" applyBorder="1" applyAlignment="1">
      <alignment horizontal="center"/>
    </xf>
    <xf numFmtId="2" fontId="19" fillId="3" borderId="110" xfId="0" applyNumberFormat="1" applyFont="1" applyFill="1" applyBorder="1" applyAlignment="1">
      <alignment horizontal="center"/>
    </xf>
    <xf numFmtId="0" fontId="6" fillId="73" borderId="0" xfId="0" applyFont="1" applyFill="1" applyBorder="1" applyAlignment="1">
      <alignment horizontal="left" vertical="center" wrapText="1"/>
    </xf>
    <xf numFmtId="0" fontId="348" fillId="16" borderId="0" xfId="0" applyFont="1" applyFill="1" applyBorder="1"/>
    <xf numFmtId="172" fontId="302"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2" fontId="5" fillId="16" borderId="0" xfId="0" applyNumberFormat="1" applyFont="1" applyFill="1" applyBorder="1" applyAlignment="1">
      <alignment horizontal="center"/>
    </xf>
    <xf numFmtId="172" fontId="17" fillId="21"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351" fillId="16" borderId="27" xfId="0" applyFont="1" applyFill="1" applyBorder="1" applyAlignment="1">
      <alignment horizontal="center"/>
    </xf>
    <xf numFmtId="0" fontId="302" fillId="16" borderId="27" xfId="0" applyFont="1" applyFill="1" applyBorder="1" applyAlignment="1">
      <alignment horizontal="center"/>
    </xf>
    <xf numFmtId="0" fontId="302" fillId="16" borderId="27" xfId="0" applyFont="1" applyFill="1" applyBorder="1" applyAlignment="1">
      <alignment horizontal="right"/>
    </xf>
    <xf numFmtId="0" fontId="302" fillId="16" borderId="57" xfId="0" applyFont="1" applyFill="1" applyBorder="1" applyAlignment="1">
      <alignment horizontal="center"/>
    </xf>
    <xf numFmtId="0" fontId="302"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2" fontId="7" fillId="0" borderId="0" xfId="0" applyNumberFormat="1" applyFont="1" applyFill="1" applyBorder="1"/>
    <xf numFmtId="172" fontId="7" fillId="0" borderId="0" xfId="0" applyNumberFormat="1" applyFont="1" applyFill="1" applyBorder="1" applyAlignment="1">
      <alignment horizontal="left"/>
    </xf>
    <xf numFmtId="0" fontId="7" fillId="0" borderId="0" xfId="0" applyFont="1" applyFill="1" applyBorder="1"/>
    <xf numFmtId="172"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2" fontId="6" fillId="4" borderId="29" xfId="0" applyNumberFormat="1" applyFont="1" applyFill="1" applyBorder="1" applyAlignment="1">
      <alignment horizontal="center"/>
    </xf>
    <xf numFmtId="0" fontId="6" fillId="4" borderId="0" xfId="0" applyFont="1" applyFill="1" applyBorder="1"/>
    <xf numFmtId="0" fontId="341" fillId="15" borderId="0" xfId="0" applyFont="1" applyFill="1" applyBorder="1" applyAlignment="1">
      <alignment horizontal="right"/>
    </xf>
    <xf numFmtId="172" fontId="6" fillId="4" borderId="0" xfId="0" applyNumberFormat="1" applyFont="1" applyFill="1" applyBorder="1" applyAlignment="1">
      <alignment horizontal="center"/>
    </xf>
    <xf numFmtId="172" fontId="349" fillId="15" borderId="0" xfId="0" applyNumberFormat="1" applyFont="1" applyFill="1" applyBorder="1" applyAlignment="1">
      <alignment horizontal="center"/>
    </xf>
    <xf numFmtId="172" fontId="17" fillId="4" borderId="0" xfId="0" applyNumberFormat="1" applyFont="1" applyFill="1" applyBorder="1" applyAlignment="1">
      <alignment horizontal="center"/>
    </xf>
    <xf numFmtId="172" fontId="6" fillId="0" borderId="0" xfId="0" applyNumberFormat="1" applyFont="1" applyFill="1" applyBorder="1" applyAlignment="1">
      <alignment horizontal="center"/>
    </xf>
    <xf numFmtId="172" fontId="6" fillId="15" borderId="0" xfId="0" applyNumberFormat="1" applyFont="1" applyFill="1" applyBorder="1" applyAlignment="1">
      <alignment horizontal="center"/>
    </xf>
    <xf numFmtId="172" fontId="260" fillId="0" borderId="0" xfId="0" applyNumberFormat="1" applyFont="1" applyFill="1" applyBorder="1" applyAlignment="1">
      <alignment horizontal="center"/>
    </xf>
    <xf numFmtId="172" fontId="350" fillId="15" borderId="0" xfId="0" applyNumberFormat="1" applyFont="1" applyFill="1" applyBorder="1" applyAlignment="1">
      <alignment horizontal="center"/>
    </xf>
    <xf numFmtId="3" fontId="17" fillId="0" borderId="0" xfId="0" applyNumberFormat="1" applyFont="1" applyFill="1" applyBorder="1" applyAlignment="1">
      <alignment horizontal="center"/>
    </xf>
    <xf numFmtId="0" fontId="353" fillId="4" borderId="0" xfId="0" applyFont="1" applyFill="1" applyBorder="1"/>
    <xf numFmtId="1" fontId="6" fillId="0" borderId="0" xfId="0" applyNumberFormat="1" applyFont="1" applyFill="1" applyBorder="1" applyAlignment="1">
      <alignment horizontal="center"/>
    </xf>
    <xf numFmtId="1" fontId="349"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260"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2" fontId="7" fillId="4" borderId="37" xfId="0" applyNumberFormat="1" applyFont="1" applyFill="1" applyBorder="1" applyAlignment="1">
      <alignment horizontal="center"/>
    </xf>
    <xf numFmtId="172" fontId="7" fillId="4" borderId="0" xfId="0" applyNumberFormat="1" applyFont="1" applyFill="1" applyBorder="1" applyAlignment="1">
      <alignment horizontal="center"/>
    </xf>
    <xf numFmtId="172" fontId="7" fillId="4" borderId="7" xfId="0" applyNumberFormat="1" applyFont="1" applyFill="1" applyBorder="1" applyAlignment="1">
      <alignment horizontal="center"/>
    </xf>
    <xf numFmtId="172" fontId="354" fillId="2" borderId="37" xfId="0" applyNumberFormat="1" applyFont="1" applyFill="1" applyBorder="1" applyAlignment="1">
      <alignment horizontal="center"/>
    </xf>
    <xf numFmtId="172" fontId="354" fillId="2" borderId="0" xfId="0" applyNumberFormat="1" applyFont="1" applyFill="1" applyBorder="1" applyAlignment="1">
      <alignment horizontal="center"/>
    </xf>
    <xf numFmtId="172" fontId="354" fillId="2" borderId="7" xfId="0" applyNumberFormat="1" applyFont="1" applyFill="1" applyBorder="1" applyAlignment="1">
      <alignment horizontal="center"/>
    </xf>
    <xf numFmtId="172" fontId="355" fillId="4" borderId="37" xfId="0" applyNumberFormat="1" applyFont="1" applyFill="1" applyBorder="1" applyAlignment="1">
      <alignment horizontal="center"/>
    </xf>
    <xf numFmtId="172" fontId="355" fillId="4" borderId="0" xfId="0" applyNumberFormat="1" applyFont="1" applyFill="1" applyBorder="1" applyAlignment="1">
      <alignment horizontal="center"/>
    </xf>
    <xf numFmtId="172" fontId="355" fillId="4" borderId="7" xfId="0" applyNumberFormat="1" applyFont="1" applyFill="1" applyBorder="1" applyAlignment="1">
      <alignment horizontal="center"/>
    </xf>
    <xf numFmtId="172" fontId="7" fillId="15" borderId="37" xfId="0" applyNumberFormat="1" applyFont="1" applyFill="1" applyBorder="1" applyAlignment="1">
      <alignment horizontal="center"/>
    </xf>
    <xf numFmtId="172" fontId="7" fillId="15" borderId="0" xfId="0" applyNumberFormat="1" applyFont="1" applyFill="1" applyBorder="1" applyAlignment="1">
      <alignment horizontal="center"/>
    </xf>
    <xf numFmtId="172" fontId="7" fillId="15" borderId="7" xfId="0" applyNumberFormat="1" applyFont="1" applyFill="1" applyBorder="1" applyAlignment="1">
      <alignment horizontal="center"/>
    </xf>
    <xf numFmtId="172" fontId="356" fillId="2" borderId="37" xfId="0" applyNumberFormat="1" applyFont="1" applyFill="1" applyBorder="1" applyAlignment="1">
      <alignment horizontal="center"/>
    </xf>
    <xf numFmtId="172" fontId="356" fillId="2" borderId="0" xfId="0" applyNumberFormat="1" applyFont="1" applyFill="1" applyBorder="1" applyAlignment="1">
      <alignment horizontal="center"/>
    </xf>
    <xf numFmtId="172" fontId="351" fillId="4" borderId="60" xfId="0" applyNumberFormat="1" applyFont="1" applyFill="1" applyBorder="1" applyAlignment="1">
      <alignment horizontal="center"/>
    </xf>
    <xf numFmtId="172" fontId="351" fillId="4" borderId="61" xfId="0" applyNumberFormat="1" applyFont="1" applyFill="1" applyBorder="1" applyAlignment="1">
      <alignment horizontal="center"/>
    </xf>
    <xf numFmtId="172" fontId="351" fillId="4" borderId="62" xfId="0" applyNumberFormat="1" applyFont="1" applyFill="1" applyBorder="1" applyAlignment="1">
      <alignment horizontal="center"/>
    </xf>
    <xf numFmtId="172" fontId="7" fillId="19" borderId="37" xfId="0" applyNumberFormat="1" applyFont="1" applyFill="1" applyBorder="1" applyAlignment="1">
      <alignment horizontal="center"/>
    </xf>
    <xf numFmtId="172" fontId="7" fillId="19" borderId="0" xfId="0" applyNumberFormat="1" applyFont="1" applyFill="1" applyBorder="1" applyAlignment="1">
      <alignment horizontal="center"/>
    </xf>
    <xf numFmtId="172" fontId="7" fillId="20" borderId="0" xfId="0" applyNumberFormat="1" applyFont="1" applyFill="1" applyBorder="1" applyAlignment="1">
      <alignment horizontal="center"/>
    </xf>
    <xf numFmtId="172" fontId="7" fillId="20" borderId="7" xfId="0" applyNumberFormat="1" applyFont="1" applyFill="1" applyBorder="1" applyAlignment="1">
      <alignment horizontal="center"/>
    </xf>
    <xf numFmtId="172" fontId="355" fillId="29" borderId="77" xfId="0" applyNumberFormat="1" applyFont="1" applyFill="1" applyBorder="1" applyAlignment="1">
      <alignment horizontal="center"/>
    </xf>
    <xf numFmtId="172" fontId="355" fillId="29" borderId="102" xfId="0" applyNumberFormat="1" applyFont="1" applyFill="1" applyBorder="1" applyAlignment="1">
      <alignment horizontal="center"/>
    </xf>
    <xf numFmtId="172" fontId="357" fillId="72" borderId="83" xfId="0" applyNumberFormat="1" applyFont="1" applyFill="1" applyBorder="1" applyAlignment="1">
      <alignment horizontal="center"/>
    </xf>
    <xf numFmtId="0" fontId="303" fillId="25" borderId="37" xfId="0" applyFont="1" applyFill="1" applyBorder="1" applyAlignment="1">
      <alignment horizontal="left" vertical="center"/>
    </xf>
    <xf numFmtId="172" fontId="6" fillId="4" borderId="37" xfId="0" applyNumberFormat="1" applyFont="1" applyFill="1" applyBorder="1" applyAlignment="1">
      <alignment horizontal="center"/>
    </xf>
    <xf numFmtId="172" fontId="6" fillId="4" borderId="7" xfId="0" applyNumberFormat="1" applyFont="1" applyFill="1" applyBorder="1" applyAlignment="1">
      <alignment horizontal="center"/>
    </xf>
    <xf numFmtId="172" fontId="358" fillId="2" borderId="37" xfId="0" applyNumberFormat="1" applyFont="1" applyFill="1" applyBorder="1" applyAlignment="1">
      <alignment horizontal="center"/>
    </xf>
    <xf numFmtId="172" fontId="358" fillId="2" borderId="0" xfId="0" applyNumberFormat="1" applyFont="1" applyFill="1" applyBorder="1" applyAlignment="1">
      <alignment horizontal="center"/>
    </xf>
    <xf numFmtId="172" fontId="358" fillId="2" borderId="7" xfId="0" applyNumberFormat="1" applyFont="1" applyFill="1" applyBorder="1" applyAlignment="1">
      <alignment horizontal="center"/>
    </xf>
    <xf numFmtId="172" fontId="17" fillId="4" borderId="37" xfId="0" applyNumberFormat="1" applyFont="1" applyFill="1" applyBorder="1" applyAlignment="1">
      <alignment horizontal="center"/>
    </xf>
    <xf numFmtId="172" fontId="17" fillId="4" borderId="7" xfId="0" applyNumberFormat="1" applyFont="1" applyFill="1" applyBorder="1" applyAlignment="1">
      <alignment horizontal="center"/>
    </xf>
    <xf numFmtId="172" fontId="6" fillId="15" borderId="37" xfId="0" applyNumberFormat="1" applyFont="1" applyFill="1" applyBorder="1" applyAlignment="1">
      <alignment horizontal="center"/>
    </xf>
    <xf numFmtId="172" fontId="6" fillId="15" borderId="7" xfId="0" applyNumberFormat="1" applyFont="1" applyFill="1" applyBorder="1" applyAlignment="1">
      <alignment horizontal="center"/>
    </xf>
    <xf numFmtId="172" fontId="65" fillId="2" borderId="37" xfId="0" applyNumberFormat="1" applyFont="1" applyFill="1" applyBorder="1" applyAlignment="1">
      <alignment horizontal="center"/>
    </xf>
    <xf numFmtId="172" fontId="65" fillId="2" borderId="0" xfId="0" applyNumberFormat="1" applyFont="1" applyFill="1" applyBorder="1" applyAlignment="1">
      <alignment horizontal="center"/>
    </xf>
    <xf numFmtId="172" fontId="16" fillId="4" borderId="64" xfId="0" applyNumberFormat="1" applyFont="1" applyFill="1" applyBorder="1" applyAlignment="1">
      <alignment horizontal="center"/>
    </xf>
    <xf numFmtId="172" fontId="16" fillId="4" borderId="65" xfId="0" applyNumberFormat="1" applyFont="1" applyFill="1" applyBorder="1" applyAlignment="1">
      <alignment horizontal="center"/>
    </xf>
    <xf numFmtId="172" fontId="6" fillId="19" borderId="37" xfId="0" applyNumberFormat="1" applyFont="1" applyFill="1" applyBorder="1" applyAlignment="1">
      <alignment horizontal="center"/>
    </xf>
    <xf numFmtId="172" fontId="6" fillId="19" borderId="0" xfId="0" applyNumberFormat="1" applyFont="1" applyFill="1" applyBorder="1" applyAlignment="1">
      <alignment horizontal="center"/>
    </xf>
    <xf numFmtId="172" fontId="6" fillId="20" borderId="0" xfId="0" applyNumberFormat="1" applyFont="1" applyFill="1" applyBorder="1" applyAlignment="1">
      <alignment horizontal="center"/>
    </xf>
    <xf numFmtId="172" fontId="6" fillId="20" borderId="7" xfId="0" applyNumberFormat="1" applyFont="1" applyFill="1" applyBorder="1" applyAlignment="1">
      <alignment horizontal="center"/>
    </xf>
    <xf numFmtId="172" fontId="17" fillId="21" borderId="23" xfId="0" applyNumberFormat="1" applyFont="1" applyFill="1" applyBorder="1" applyAlignment="1">
      <alignment horizontal="center"/>
    </xf>
    <xf numFmtId="0" fontId="5" fillId="0" borderId="7" xfId="0" applyFont="1" applyBorder="1"/>
    <xf numFmtId="172" fontId="355" fillId="29" borderId="184" xfId="0" applyNumberFormat="1" applyFont="1" applyFill="1" applyBorder="1" applyAlignment="1">
      <alignment horizontal="center"/>
    </xf>
    <xf numFmtId="172"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2" fontId="357" fillId="72" borderId="183" xfId="0" applyNumberFormat="1" applyFont="1" applyFill="1" applyBorder="1" applyAlignment="1">
      <alignment horizontal="center"/>
    </xf>
    <xf numFmtId="172" fontId="357" fillId="72" borderId="102" xfId="0" applyNumberFormat="1" applyFont="1" applyFill="1" applyBorder="1" applyAlignment="1">
      <alignment horizontal="center"/>
    </xf>
    <xf numFmtId="172" fontId="260" fillId="0" borderId="23" xfId="0" applyNumberFormat="1" applyFont="1" applyFill="1" applyBorder="1" applyAlignment="1">
      <alignment horizontal="center"/>
    </xf>
    <xf numFmtId="1" fontId="260" fillId="0" borderId="23" xfId="0" applyNumberFormat="1" applyFont="1" applyFill="1" applyBorder="1" applyAlignment="1">
      <alignment horizontal="center"/>
    </xf>
    <xf numFmtId="0" fontId="7" fillId="0" borderId="23" xfId="0" applyFont="1" applyFill="1" applyBorder="1"/>
    <xf numFmtId="172" fontId="7" fillId="0" borderId="23" xfId="0" applyNumberFormat="1" applyFont="1" applyFill="1" applyBorder="1"/>
    <xf numFmtId="172" fontId="350" fillId="15" borderId="23" xfId="0" applyNumberFormat="1" applyFont="1" applyFill="1" applyBorder="1" applyAlignment="1">
      <alignment horizontal="center"/>
    </xf>
    <xf numFmtId="0" fontId="260" fillId="4" borderId="23" xfId="0" applyFont="1" applyFill="1" applyBorder="1"/>
    <xf numFmtId="172" fontId="260" fillId="15" borderId="0" xfId="0" applyNumberFormat="1" applyFont="1" applyFill="1" applyBorder="1" applyAlignment="1">
      <alignment horizontal="right"/>
    </xf>
    <xf numFmtId="0" fontId="260" fillId="17" borderId="0" xfId="0" applyFont="1" applyFill="1" applyBorder="1"/>
    <xf numFmtId="172" fontId="260" fillId="4" borderId="37" xfId="0" applyNumberFormat="1" applyFont="1" applyFill="1" applyBorder="1" applyAlignment="1">
      <alignment horizontal="center"/>
    </xf>
    <xf numFmtId="172" fontId="260" fillId="4" borderId="0" xfId="0" applyNumberFormat="1" applyFont="1" applyFill="1" applyBorder="1" applyAlignment="1">
      <alignment horizontal="center"/>
    </xf>
    <xf numFmtId="172" fontId="260" fillId="4" borderId="7" xfId="0" applyNumberFormat="1" applyFont="1" applyFill="1" applyBorder="1" applyAlignment="1">
      <alignment horizontal="center"/>
    </xf>
    <xf numFmtId="172" fontId="260" fillId="2" borderId="37" xfId="0" applyNumberFormat="1" applyFont="1" applyFill="1" applyBorder="1" applyAlignment="1">
      <alignment horizontal="center"/>
    </xf>
    <xf numFmtId="172" fontId="260" fillId="2" borderId="0" xfId="0" applyNumberFormat="1" applyFont="1" applyFill="1" applyBorder="1" applyAlignment="1">
      <alignment horizontal="center"/>
    </xf>
    <xf numFmtId="172" fontId="260" fillId="2" borderId="7" xfId="0" applyNumberFormat="1" applyFont="1" applyFill="1" applyBorder="1" applyAlignment="1">
      <alignment horizontal="center"/>
    </xf>
    <xf numFmtId="172" fontId="260" fillId="15" borderId="37" xfId="0" applyNumberFormat="1" applyFont="1" applyFill="1" applyBorder="1" applyAlignment="1">
      <alignment horizontal="center"/>
    </xf>
    <xf numFmtId="172" fontId="260" fillId="15" borderId="0" xfId="0" applyNumberFormat="1" applyFont="1" applyFill="1" applyBorder="1" applyAlignment="1">
      <alignment horizontal="center"/>
    </xf>
    <xf numFmtId="172" fontId="260" fillId="15" borderId="7" xfId="0" applyNumberFormat="1" applyFont="1" applyFill="1" applyBorder="1" applyAlignment="1">
      <alignment horizontal="center"/>
    </xf>
    <xf numFmtId="172" fontId="260" fillId="4" borderId="60" xfId="0" applyNumberFormat="1" applyFont="1" applyFill="1" applyBorder="1" applyAlignment="1">
      <alignment horizontal="center"/>
    </xf>
    <xf numFmtId="172" fontId="260" fillId="4" borderId="61" xfId="0" applyNumberFormat="1" applyFont="1" applyFill="1" applyBorder="1" applyAlignment="1">
      <alignment horizontal="center"/>
    </xf>
    <xf numFmtId="172" fontId="260" fillId="4" borderId="62" xfId="0" applyNumberFormat="1" applyFont="1" applyFill="1" applyBorder="1" applyAlignment="1">
      <alignment horizontal="center"/>
    </xf>
    <xf numFmtId="172" fontId="260" fillId="19" borderId="37" xfId="0" applyNumberFormat="1" applyFont="1" applyFill="1" applyBorder="1" applyAlignment="1">
      <alignment horizontal="center"/>
    </xf>
    <xf numFmtId="172" fontId="260" fillId="19" borderId="0" xfId="0" applyNumberFormat="1" applyFont="1" applyFill="1" applyBorder="1" applyAlignment="1">
      <alignment horizontal="center"/>
    </xf>
    <xf numFmtId="172" fontId="260" fillId="20" borderId="0" xfId="0" applyNumberFormat="1" applyFont="1" applyFill="1" applyBorder="1" applyAlignment="1">
      <alignment horizontal="center"/>
    </xf>
    <xf numFmtId="172" fontId="260" fillId="20" borderId="7" xfId="0" applyNumberFormat="1" applyFont="1" applyFill="1" applyBorder="1" applyAlignment="1">
      <alignment horizontal="center"/>
    </xf>
    <xf numFmtId="172" fontId="260" fillId="29" borderId="77" xfId="0" applyNumberFormat="1" applyFont="1" applyFill="1" applyBorder="1" applyAlignment="1">
      <alignment horizontal="center"/>
    </xf>
    <xf numFmtId="172" fontId="260" fillId="29" borderId="102" xfId="0" applyNumberFormat="1" applyFont="1" applyFill="1" applyBorder="1" applyAlignment="1">
      <alignment horizontal="center"/>
    </xf>
    <xf numFmtId="172" fontId="260" fillId="29" borderId="184" xfId="0" applyNumberFormat="1" applyFont="1" applyFill="1" applyBorder="1" applyAlignment="1">
      <alignment horizontal="center"/>
    </xf>
    <xf numFmtId="172" fontId="260" fillId="72" borderId="183" xfId="0" applyNumberFormat="1" applyFont="1" applyFill="1" applyBorder="1" applyAlignment="1">
      <alignment horizontal="center"/>
    </xf>
    <xf numFmtId="172" fontId="260" fillId="72" borderId="83" xfId="0" applyNumberFormat="1" applyFont="1" applyFill="1" applyBorder="1" applyAlignment="1">
      <alignment horizontal="center"/>
    </xf>
    <xf numFmtId="172" fontId="260" fillId="72" borderId="102" xfId="0" applyNumberFormat="1" applyFont="1" applyFill="1" applyBorder="1" applyAlignment="1">
      <alignment horizontal="center"/>
    </xf>
    <xf numFmtId="172" fontId="260" fillId="0" borderId="23" xfId="0" applyNumberFormat="1" applyFont="1" applyFill="1" applyBorder="1"/>
    <xf numFmtId="172" fontId="260" fillId="0" borderId="0" xfId="0" applyNumberFormat="1" applyFont="1" applyFill="1" applyBorder="1"/>
    <xf numFmtId="0" fontId="260" fillId="0" borderId="0" xfId="0" applyFont="1"/>
    <xf numFmtId="0" fontId="72" fillId="0" borderId="37" xfId="0" applyFont="1" applyBorder="1" applyAlignment="1">
      <alignment horizontal="center" vertical="center" wrapText="1"/>
    </xf>
    <xf numFmtId="0" fontId="72" fillId="0" borderId="0" xfId="0" applyFont="1" applyBorder="1" applyAlignment="1">
      <alignment horizontal="left" vertical="center" wrapText="1"/>
    </xf>
    <xf numFmtId="166" fontId="72" fillId="15" borderId="0" xfId="3" applyFont="1" applyFill="1" applyBorder="1" applyAlignment="1">
      <alignment horizontal="center" vertical="center"/>
    </xf>
    <xf numFmtId="0" fontId="72" fillId="0" borderId="90" xfId="0" applyFont="1" applyFill="1" applyBorder="1" applyAlignment="1">
      <alignment horizontal="center" vertical="center"/>
    </xf>
    <xf numFmtId="0" fontId="72" fillId="0" borderId="0" xfId="0" applyFont="1" applyAlignment="1">
      <alignment vertical="center"/>
    </xf>
    <xf numFmtId="183" fontId="70" fillId="15" borderId="25" xfId="3" applyNumberFormat="1" applyFont="1" applyFill="1" applyBorder="1" applyAlignment="1">
      <alignment horizontal="center" vertical="center"/>
    </xf>
    <xf numFmtId="183" fontId="70" fillId="15" borderId="269" xfId="3" applyNumberFormat="1" applyFont="1" applyFill="1" applyBorder="1" applyAlignment="1">
      <alignment horizontal="center" vertical="center"/>
    </xf>
    <xf numFmtId="3" fontId="17"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2" fontId="260" fillId="3" borderId="0" xfId="0" applyNumberFormat="1" applyFont="1" applyFill="1" applyBorder="1"/>
    <xf numFmtId="172" fontId="7" fillId="3" borderId="0" xfId="0" applyNumberFormat="1" applyFont="1" applyFill="1" applyBorder="1"/>
    <xf numFmtId="172" fontId="7" fillId="3" borderId="0" xfId="0" applyNumberFormat="1" applyFont="1" applyFill="1" applyBorder="1" applyAlignment="1">
      <alignment horizontal="center" vertical="center"/>
    </xf>
    <xf numFmtId="172"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341"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2"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349" fillId="15" borderId="29" xfId="0" applyNumberFormat="1" applyFont="1" applyFill="1" applyBorder="1" applyAlignment="1">
      <alignment horizontal="center" vertical="center" wrapText="1"/>
    </xf>
    <xf numFmtId="172" fontId="349" fillId="15" borderId="29" xfId="0" applyNumberFormat="1" applyFont="1" applyFill="1" applyBorder="1" applyAlignment="1">
      <alignment horizontal="center" vertical="center" wrapText="1"/>
    </xf>
    <xf numFmtId="0" fontId="352" fillId="15" borderId="29" xfId="0" applyFont="1" applyFill="1" applyBorder="1" applyAlignment="1">
      <alignment horizontal="center" vertical="center" wrapText="1"/>
    </xf>
    <xf numFmtId="0" fontId="349" fillId="15" borderId="29" xfId="0" applyNumberFormat="1" applyFont="1" applyFill="1" applyBorder="1" applyAlignment="1">
      <alignment horizontal="center" vertical="center" wrapText="1"/>
    </xf>
    <xf numFmtId="0" fontId="17" fillId="4" borderId="29" xfId="0" applyFont="1" applyFill="1" applyBorder="1" applyAlignment="1">
      <alignment horizontal="center" vertical="center" wrapText="1"/>
    </xf>
    <xf numFmtId="1" fontId="17"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349"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4" xfId="0" applyFont="1" applyFill="1" applyBorder="1" applyAlignment="1">
      <alignment horizontal="center" vertical="center" wrapText="1"/>
    </xf>
    <xf numFmtId="0" fontId="260" fillId="0" borderId="94" xfId="0" applyFont="1" applyFill="1" applyBorder="1" applyAlignment="1">
      <alignment horizontal="center" vertical="center" wrapText="1"/>
    </xf>
    <xf numFmtId="0" fontId="260" fillId="0" borderId="29" xfId="0" applyFont="1" applyFill="1" applyBorder="1" applyAlignment="1">
      <alignment horizontal="center" vertical="center" wrapText="1"/>
    </xf>
    <xf numFmtId="0" fontId="350" fillId="15" borderId="94" xfId="0" applyFont="1" applyFill="1" applyBorder="1" applyAlignment="1">
      <alignment horizontal="center" vertical="center" wrapText="1"/>
    </xf>
    <xf numFmtId="0" fontId="350" fillId="15" borderId="29" xfId="0" applyFont="1" applyFill="1" applyBorder="1" applyAlignment="1">
      <alignment horizontal="center" vertical="center" wrapText="1"/>
    </xf>
    <xf numFmtId="0" fontId="349" fillId="0" borderId="29" xfId="0" applyFont="1" applyFill="1" applyBorder="1" applyAlignment="1">
      <alignment horizontal="center" vertical="center" wrapText="1"/>
    </xf>
    <xf numFmtId="0" fontId="349" fillId="3" borderId="29" xfId="0" applyFont="1" applyFill="1" applyBorder="1" applyAlignment="1">
      <alignment horizontal="center" vertical="center" wrapText="1"/>
    </xf>
    <xf numFmtId="172"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72" fillId="0" borderId="0" xfId="0" applyNumberFormat="1" applyFont="1" applyFill="1" applyBorder="1" applyAlignment="1">
      <alignment horizontal="center" vertical="center"/>
    </xf>
    <xf numFmtId="2" fontId="72" fillId="15" borderId="0" xfId="0" applyNumberFormat="1" applyFont="1" applyFill="1" applyBorder="1" applyAlignment="1">
      <alignment horizontal="center" vertical="center"/>
    </xf>
    <xf numFmtId="2" fontId="72" fillId="12" borderId="0" xfId="0" applyNumberFormat="1" applyFont="1" applyFill="1" applyBorder="1" applyAlignment="1">
      <alignment horizontal="center" vertical="center"/>
    </xf>
    <xf numFmtId="2" fontId="72" fillId="86" borderId="0" xfId="0" applyNumberFormat="1" applyFont="1" applyFill="1" applyBorder="1" applyAlignment="1">
      <alignment horizontal="center" vertical="center"/>
    </xf>
    <xf numFmtId="2" fontId="72" fillId="87" borderId="0" xfId="0" applyNumberFormat="1" applyFont="1" applyFill="1" applyBorder="1" applyAlignment="1">
      <alignment horizontal="center" vertical="center"/>
    </xf>
    <xf numFmtId="167" fontId="39" fillId="87" borderId="25" xfId="1" applyFont="1" applyFill="1" applyBorder="1" applyAlignment="1">
      <alignment horizontal="center" vertical="center"/>
    </xf>
    <xf numFmtId="0" fontId="39" fillId="0" borderId="54" xfId="0" applyFont="1" applyFill="1" applyBorder="1" applyAlignment="1">
      <alignment horizontal="center" vertical="center" wrapText="1"/>
    </xf>
    <xf numFmtId="0" fontId="39" fillId="15" borderId="54" xfId="0" applyFont="1" applyFill="1" applyBorder="1" applyAlignment="1">
      <alignment horizontal="center" vertical="center" wrapText="1"/>
    </xf>
    <xf numFmtId="0" fontId="39" fillId="12" borderId="54" xfId="0" applyFont="1" applyFill="1" applyBorder="1" applyAlignment="1">
      <alignment horizontal="center" vertical="center" wrapText="1"/>
    </xf>
    <xf numFmtId="0" fontId="39" fillId="86" borderId="54" xfId="0" applyFont="1" applyFill="1" applyBorder="1" applyAlignment="1">
      <alignment horizontal="center" vertical="center" wrapText="1"/>
    </xf>
    <xf numFmtId="0" fontId="39" fillId="87" borderId="54" xfId="0" applyFont="1" applyFill="1" applyBorder="1" applyAlignment="1">
      <alignment horizontal="center" vertical="center" wrapText="1"/>
    </xf>
    <xf numFmtId="0" fontId="39" fillId="73" borderId="54" xfId="0" applyFont="1" applyFill="1" applyBorder="1" applyAlignment="1">
      <alignment horizontal="center" vertical="center"/>
    </xf>
    <xf numFmtId="167" fontId="70" fillId="73" borderId="25" xfId="1" applyFont="1" applyFill="1" applyBorder="1" applyAlignment="1">
      <alignment horizontal="center" vertical="center"/>
    </xf>
    <xf numFmtId="167" fontId="70" fillId="73" borderId="26" xfId="1" applyFont="1" applyFill="1" applyBorder="1" applyAlignment="1">
      <alignment horizontal="center" vertical="center"/>
    </xf>
    <xf numFmtId="166" fontId="72" fillId="73" borderId="0" xfId="3" applyFont="1" applyFill="1" applyBorder="1" applyAlignment="1">
      <alignment horizontal="center" vertical="center"/>
    </xf>
    <xf numFmtId="183" fontId="70" fillId="73" borderId="25" xfId="3" applyNumberFormat="1" applyFont="1" applyFill="1" applyBorder="1" applyAlignment="1">
      <alignment horizontal="center" vertical="center"/>
    </xf>
    <xf numFmtId="183" fontId="70" fillId="73" borderId="269" xfId="3" applyNumberFormat="1" applyFont="1" applyFill="1" applyBorder="1" applyAlignment="1">
      <alignment horizontal="center" vertical="center"/>
    </xf>
    <xf numFmtId="2" fontId="72" fillId="73" borderId="0" xfId="0" applyNumberFormat="1" applyFont="1" applyFill="1" applyBorder="1" applyAlignment="1">
      <alignment horizontal="center" vertical="center"/>
    </xf>
    <xf numFmtId="2" fontId="70" fillId="73" borderId="25" xfId="0" applyNumberFormat="1" applyFont="1" applyFill="1" applyBorder="1" applyAlignment="1">
      <alignment horizontal="center" vertical="center"/>
    </xf>
    <xf numFmtId="2" fontId="70" fillId="73" borderId="34" xfId="0" applyNumberFormat="1" applyFont="1" applyFill="1" applyBorder="1" applyAlignment="1">
      <alignment horizontal="center" vertical="center"/>
    </xf>
    <xf numFmtId="2" fontId="70" fillId="73" borderId="0" xfId="0" applyNumberFormat="1" applyFont="1" applyFill="1" applyBorder="1" applyAlignment="1">
      <alignment horizontal="center" vertical="center"/>
    </xf>
    <xf numFmtId="0" fontId="70" fillId="73" borderId="0" xfId="0" applyFont="1" applyFill="1" applyBorder="1" applyAlignment="1">
      <alignment horizontal="center" vertical="center"/>
    </xf>
    <xf numFmtId="169" fontId="70" fillId="73" borderId="25" xfId="1" applyNumberFormat="1" applyFont="1" applyFill="1" applyBorder="1" applyAlignment="1">
      <alignment horizontal="center" vertical="center"/>
    </xf>
    <xf numFmtId="0" fontId="70" fillId="73" borderId="0" xfId="0" applyFont="1" applyFill="1" applyBorder="1" applyAlignment="1">
      <alignment horizontal="left" vertical="center"/>
    </xf>
    <xf numFmtId="169" fontId="70" fillId="73" borderId="57" xfId="1" applyNumberFormat="1" applyFont="1" applyFill="1" applyBorder="1" applyAlignment="1">
      <alignment horizontal="center" vertical="center"/>
    </xf>
    <xf numFmtId="169" fontId="70" fillId="0" borderId="25" xfId="1" applyNumberFormat="1" applyFont="1" applyFill="1" applyBorder="1" applyAlignment="1">
      <alignment horizontal="center" vertical="center"/>
    </xf>
    <xf numFmtId="169" fontId="70" fillId="0" borderId="25" xfId="1" applyNumberFormat="1" applyFont="1" applyBorder="1" applyAlignment="1">
      <alignment horizontal="center" vertical="center" wrapText="1"/>
    </xf>
    <xf numFmtId="169" fontId="70" fillId="0" borderId="57" xfId="1" applyNumberFormat="1" applyFont="1" applyBorder="1" applyAlignment="1">
      <alignment horizontal="center" vertical="center" wrapText="1"/>
    </xf>
    <xf numFmtId="0" fontId="83" fillId="0" borderId="334" xfId="0" applyFont="1" applyBorder="1" applyAlignment="1">
      <alignment horizontal="center" vertical="center"/>
    </xf>
    <xf numFmtId="0" fontId="83" fillId="0" borderId="25" xfId="0" applyFont="1" applyBorder="1" applyAlignment="1">
      <alignment horizontal="left" vertical="center" wrapText="1"/>
    </xf>
    <xf numFmtId="0" fontId="83" fillId="0" borderId="0" xfId="0" applyFont="1" applyFill="1" applyBorder="1" applyAlignment="1">
      <alignment horizontal="center" vertical="center"/>
    </xf>
    <xf numFmtId="169" fontId="83" fillId="16" borderId="25" xfId="1" applyNumberFormat="1" applyFont="1" applyFill="1" applyBorder="1" applyAlignment="1">
      <alignment horizontal="center" vertical="center"/>
    </xf>
    <xf numFmtId="169" fontId="83" fillId="73" borderId="25" xfId="1" applyNumberFormat="1" applyFont="1" applyFill="1" applyBorder="1" applyAlignment="1">
      <alignment horizontal="center" vertical="center"/>
    </xf>
    <xf numFmtId="0" fontId="83" fillId="0" borderId="45" xfId="0" applyFont="1" applyFill="1" applyBorder="1" applyAlignment="1">
      <alignment horizontal="center" vertical="center"/>
    </xf>
    <xf numFmtId="0" fontId="83" fillId="0" borderId="0" xfId="0" applyFont="1" applyFill="1" applyAlignment="1">
      <alignment vertical="center"/>
    </xf>
    <xf numFmtId="167" fontId="70" fillId="73" borderId="34" xfId="1" applyFont="1" applyFill="1" applyBorder="1" applyAlignment="1">
      <alignment horizontal="center" vertical="center"/>
    </xf>
    <xf numFmtId="0" fontId="70" fillId="0" borderId="27" xfId="0" applyFont="1" applyBorder="1" applyAlignment="1">
      <alignment horizontal="left" vertical="center" wrapText="1"/>
    </xf>
    <xf numFmtId="0" fontId="70" fillId="0" borderId="27" xfId="0" applyFont="1" applyBorder="1" applyAlignment="1">
      <alignment vertical="center"/>
    </xf>
    <xf numFmtId="0" fontId="70" fillId="0" borderId="34" xfId="0" applyFont="1" applyBorder="1" applyAlignment="1">
      <alignment horizontal="right" vertical="center" wrapText="1"/>
    </xf>
    <xf numFmtId="172" fontId="359" fillId="0" borderId="0" xfId="0" applyNumberFormat="1" applyFont="1" applyFill="1" applyBorder="1" applyAlignment="1">
      <alignment horizontal="center"/>
    </xf>
    <xf numFmtId="172" fontId="7" fillId="29" borderId="0" xfId="0" applyNumberFormat="1" applyFont="1" applyFill="1" applyBorder="1"/>
    <xf numFmtId="0" fontId="12" fillId="29" borderId="0" xfId="0" applyFont="1" applyFill="1" applyBorder="1" applyAlignment="1">
      <alignment horizontal="center" vertical="center" wrapText="1"/>
    </xf>
    <xf numFmtId="172" fontId="7" fillId="29" borderId="23" xfId="0" applyNumberFormat="1" applyFont="1" applyFill="1" applyBorder="1"/>
    <xf numFmtId="172" fontId="260" fillId="29" borderId="0" xfId="0" applyNumberFormat="1" applyFont="1" applyFill="1" applyBorder="1"/>
    <xf numFmtId="0" fontId="349" fillId="0" borderId="94" xfId="0" applyFont="1" applyFill="1" applyBorder="1" applyAlignment="1">
      <alignment horizontal="center" vertical="center" wrapText="1"/>
    </xf>
    <xf numFmtId="3" fontId="17"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0" fontId="19" fillId="14" borderId="50" xfId="0" applyFont="1" applyFill="1" applyBorder="1" applyAlignment="1">
      <alignment horizontal="center" vertical="center"/>
    </xf>
    <xf numFmtId="0" fontId="11" fillId="14" borderId="20" xfId="0" applyFont="1" applyFill="1" applyBorder="1" applyAlignment="1">
      <alignment horizontal="center" vertical="top"/>
    </xf>
    <xf numFmtId="0" fontId="70" fillId="3" borderId="46" xfId="0" applyFont="1" applyFill="1" applyBorder="1" applyAlignment="1">
      <alignment horizontal="center" vertical="center"/>
    </xf>
    <xf numFmtId="0" fontId="70" fillId="3" borderId="47" xfId="0" applyFont="1" applyFill="1" applyBorder="1" applyAlignment="1">
      <alignment horizontal="center" vertical="center" wrapText="1"/>
    </xf>
    <xf numFmtId="169" fontId="70" fillId="3" borderId="47" xfId="1" applyNumberFormat="1" applyFont="1" applyFill="1" applyBorder="1" applyAlignment="1">
      <alignment horizontal="center" vertical="center"/>
    </xf>
    <xf numFmtId="169" fontId="70" fillId="3" borderId="48" xfId="1" applyNumberFormat="1" applyFont="1" applyFill="1" applyBorder="1" applyAlignment="1">
      <alignment horizontal="center" vertical="center"/>
    </xf>
    <xf numFmtId="0" fontId="12" fillId="3" borderId="0" xfId="0" applyFont="1" applyFill="1" applyAlignment="1">
      <alignment horizontal="center" vertical="top" wrapText="1"/>
    </xf>
    <xf numFmtId="0" fontId="208" fillId="3" borderId="29" xfId="0" applyFont="1" applyFill="1" applyBorder="1" applyAlignment="1">
      <alignment horizontal="center" vertical="center" wrapText="1"/>
    </xf>
    <xf numFmtId="2" fontId="47" fillId="3" borderId="42" xfId="0" applyNumberFormat="1" applyFont="1" applyFill="1" applyBorder="1" applyAlignment="1">
      <alignment wrapText="1"/>
    </xf>
    <xf numFmtId="2" fontId="47" fillId="3" borderId="13" xfId="0" applyNumberFormat="1" applyFont="1" applyFill="1" applyBorder="1" applyAlignment="1">
      <alignment wrapText="1"/>
    </xf>
    <xf numFmtId="2" fontId="47" fillId="3" borderId="47" xfId="0" applyNumberFormat="1" applyFont="1" applyFill="1" applyBorder="1" applyAlignment="1">
      <alignment wrapText="1"/>
    </xf>
    <xf numFmtId="9" fontId="209" fillId="3" borderId="0" xfId="2" applyFont="1" applyFill="1" applyAlignment="1">
      <alignment wrapText="1"/>
    </xf>
    <xf numFmtId="0" fontId="0" fillId="3" borderId="0" xfId="0" applyFont="1" applyFill="1"/>
    <xf numFmtId="0" fontId="11" fillId="3" borderId="0" xfId="0" applyFont="1" applyFill="1" applyAlignment="1">
      <alignment horizontal="center"/>
    </xf>
    <xf numFmtId="182" fontId="0" fillId="0" borderId="0" xfId="0" applyNumberFormat="1" applyFont="1"/>
    <xf numFmtId="182" fontId="70" fillId="3" borderId="0" xfId="0" applyNumberFormat="1" applyFont="1" applyFill="1"/>
    <xf numFmtId="182" fontId="0" fillId="12" borderId="0" xfId="0" applyNumberFormat="1" applyFont="1" applyFill="1"/>
    <xf numFmtId="3" fontId="17" fillId="3" borderId="33" xfId="0" applyNumberFormat="1" applyFont="1" applyFill="1" applyBorder="1" applyAlignment="1">
      <alignment horizontal="center" vertical="center"/>
    </xf>
    <xf numFmtId="0" fontId="7" fillId="4" borderId="35" xfId="0" applyFont="1" applyFill="1" applyBorder="1"/>
    <xf numFmtId="0" fontId="65" fillId="4" borderId="35" xfId="0" applyFont="1" applyFill="1" applyBorder="1" applyAlignment="1">
      <alignment horizontal="center"/>
    </xf>
    <xf numFmtId="0" fontId="65" fillId="4" borderId="29" xfId="0" applyFont="1" applyFill="1" applyBorder="1" applyAlignment="1">
      <alignment horizontal="center"/>
    </xf>
    <xf numFmtId="0" fontId="65" fillId="4" borderId="30" xfId="0" applyFont="1" applyFill="1" applyBorder="1" applyAlignment="1">
      <alignment horizontal="center"/>
    </xf>
    <xf numFmtId="0" fontId="16" fillId="4" borderId="104" xfId="0" applyFont="1" applyFill="1" applyBorder="1" applyAlignment="1">
      <alignment horizontal="center"/>
    </xf>
    <xf numFmtId="0" fontId="16" fillId="4" borderId="105" xfId="0" applyFont="1" applyFill="1" applyBorder="1" applyAlignment="1">
      <alignment horizontal="center"/>
    </xf>
    <xf numFmtId="0" fontId="16" fillId="4" borderId="29" xfId="0" applyFont="1" applyFill="1" applyBorder="1" applyAlignment="1">
      <alignment horizontal="center"/>
    </xf>
    <xf numFmtId="0" fontId="66" fillId="15" borderId="35" xfId="0" applyFont="1" applyFill="1" applyBorder="1" applyAlignment="1"/>
    <xf numFmtId="0" fontId="66" fillId="15" borderId="29" xfId="0" applyFont="1" applyFill="1" applyBorder="1" applyAlignment="1"/>
    <xf numFmtId="0" fontId="66" fillId="15" borderId="30" xfId="0" applyFont="1" applyFill="1" applyBorder="1" applyAlignment="1"/>
    <xf numFmtId="0" fontId="66" fillId="23" borderId="35" xfId="0" applyFont="1" applyFill="1" applyBorder="1" applyAlignment="1">
      <alignment horizontal="center"/>
    </xf>
    <xf numFmtId="0" fontId="66" fillId="23" borderId="29" xfId="0" applyFont="1" applyFill="1" applyBorder="1" applyAlignment="1">
      <alignment horizontal="center"/>
    </xf>
    <xf numFmtId="0" fontId="66" fillId="23" borderId="30" xfId="0" applyFont="1" applyFill="1" applyBorder="1" applyAlignment="1">
      <alignment horizontal="center"/>
    </xf>
    <xf numFmtId="0" fontId="6" fillId="16" borderId="0" xfId="0" applyFont="1" applyFill="1" applyBorder="1" applyAlignment="1">
      <alignment horizontal="left" vertical="center"/>
    </xf>
    <xf numFmtId="0" fontId="6" fillId="22" borderId="0" xfId="0" applyFont="1" applyFill="1" applyBorder="1"/>
    <xf numFmtId="0" fontId="7" fillId="22" borderId="0" xfId="0" applyFont="1" applyFill="1" applyBorder="1" applyAlignment="1">
      <alignment horizontal="center"/>
    </xf>
    <xf numFmtId="0" fontId="351" fillId="22" borderId="0" xfId="0" applyFont="1" applyFill="1" applyBorder="1" applyAlignment="1">
      <alignment horizontal="center"/>
    </xf>
    <xf numFmtId="0" fontId="302" fillId="22" borderId="0" xfId="0" applyFont="1" applyFill="1" applyBorder="1" applyAlignment="1">
      <alignment horizontal="center"/>
    </xf>
    <xf numFmtId="0" fontId="302" fillId="22" borderId="0" xfId="0" applyFont="1" applyFill="1" applyBorder="1" applyAlignment="1">
      <alignment horizontal="right"/>
    </xf>
    <xf numFmtId="0" fontId="302" fillId="22" borderId="103" xfId="0" applyFont="1" applyFill="1" applyBorder="1" applyAlignment="1">
      <alignment horizontal="center"/>
    </xf>
    <xf numFmtId="0" fontId="6" fillId="4" borderId="35" xfId="0" applyFont="1" applyFill="1" applyBorder="1" applyAlignment="1">
      <alignment horizontal="left"/>
    </xf>
    <xf numFmtId="0" fontId="6" fillId="22"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2" borderId="35" xfId="0" applyFont="1" applyFill="1" applyBorder="1" applyAlignment="1">
      <alignment horizontal="center"/>
    </xf>
    <xf numFmtId="0" fontId="6" fillId="22" borderId="29" xfId="0" applyFont="1" applyFill="1" applyBorder="1" applyAlignment="1">
      <alignment horizontal="center"/>
    </xf>
    <xf numFmtId="172" fontId="6" fillId="22" borderId="29" xfId="0" applyNumberFormat="1" applyFont="1" applyFill="1" applyBorder="1" applyAlignment="1">
      <alignment horizontal="center"/>
    </xf>
    <xf numFmtId="0" fontId="5" fillId="22" borderId="29" xfId="0" applyFont="1" applyFill="1" applyBorder="1"/>
    <xf numFmtId="1" fontId="6" fillId="22" borderId="29" xfId="0" applyNumberFormat="1" applyFont="1" applyFill="1" applyBorder="1" applyAlignment="1">
      <alignment horizontal="center"/>
    </xf>
    <xf numFmtId="1" fontId="6" fillId="22"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6" fillId="22" borderId="35" xfId="0" applyNumberFormat="1" applyFont="1" applyFill="1" applyBorder="1" applyAlignment="1">
      <alignment horizontal="center"/>
    </xf>
    <xf numFmtId="1" fontId="16" fillId="22"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437" xfId="0" applyFont="1" applyFill="1" applyBorder="1" applyAlignment="1">
      <alignment horizontal="center"/>
    </xf>
    <xf numFmtId="0" fontId="6" fillId="16" borderId="106" xfId="0" applyFont="1" applyFill="1" applyBorder="1" applyAlignment="1">
      <alignment horizontal="center"/>
    </xf>
    <xf numFmtId="0" fontId="6" fillId="16" borderId="29" xfId="0" applyFont="1" applyFill="1" applyBorder="1" applyAlignment="1">
      <alignment horizontal="center"/>
    </xf>
    <xf numFmtId="0" fontId="6" fillId="16" borderId="438" xfId="0" applyFont="1" applyFill="1" applyBorder="1" applyAlignment="1">
      <alignment horizontal="center"/>
    </xf>
    <xf numFmtId="1" fontId="6" fillId="128" borderId="94" xfId="0" applyNumberFormat="1" applyFont="1" applyFill="1" applyBorder="1" applyAlignment="1">
      <alignment horizontal="center"/>
    </xf>
    <xf numFmtId="172" fontId="6" fillId="128" borderId="29" xfId="0" applyNumberFormat="1" applyFont="1" applyFill="1" applyBorder="1" applyAlignment="1">
      <alignment horizontal="center"/>
    </xf>
    <xf numFmtId="172" fontId="6" fillId="128" borderId="438" xfId="0" applyNumberFormat="1" applyFont="1" applyFill="1" applyBorder="1" applyAlignment="1">
      <alignment horizontal="center"/>
    </xf>
    <xf numFmtId="1" fontId="6" fillId="129" borderId="94" xfId="0" applyNumberFormat="1" applyFont="1" applyFill="1" applyBorder="1" applyAlignment="1">
      <alignment horizontal="center"/>
    </xf>
    <xf numFmtId="172" fontId="6" fillId="129" borderId="29" xfId="0" applyNumberFormat="1" applyFont="1" applyFill="1" applyBorder="1" applyAlignment="1">
      <alignment horizontal="center"/>
    </xf>
    <xf numFmtId="1" fontId="6" fillId="130" borderId="29" xfId="0" applyNumberFormat="1" applyFont="1" applyFill="1" applyBorder="1" applyAlignment="1">
      <alignment horizontal="center"/>
    </xf>
    <xf numFmtId="172" fontId="6" fillId="14" borderId="29" xfId="0" applyNumberFormat="1" applyFont="1" applyFill="1" applyBorder="1" applyAlignment="1">
      <alignment horizontal="center"/>
    </xf>
    <xf numFmtId="172" fontId="6" fillId="0" borderId="29" xfId="0" applyNumberFormat="1" applyFont="1" applyFill="1" applyBorder="1" applyAlignment="1">
      <alignment horizontal="center"/>
    </xf>
    <xf numFmtId="0" fontId="17" fillId="41" borderId="29" xfId="0" applyFont="1" applyFill="1" applyBorder="1" applyAlignment="1">
      <alignment horizontal="center"/>
    </xf>
    <xf numFmtId="0" fontId="17" fillId="0" borderId="29" xfId="0" applyFont="1" applyFill="1" applyBorder="1" applyAlignment="1">
      <alignment horizontal="center"/>
    </xf>
    <xf numFmtId="0" fontId="17"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2" borderId="37" xfId="0" applyNumberFormat="1" applyFont="1" applyFill="1" applyBorder="1" applyAlignment="1">
      <alignment horizontal="center"/>
    </xf>
    <xf numFmtId="3" fontId="6" fillId="22" borderId="0" xfId="0" applyNumberFormat="1" applyFont="1" applyFill="1" applyBorder="1" applyAlignment="1">
      <alignment horizontal="center"/>
    </xf>
    <xf numFmtId="3" fontId="6" fillId="22"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6" fillId="22" borderId="0" xfId="0" applyNumberFormat="1" applyFont="1" applyFill="1" applyBorder="1" applyAlignment="1">
      <alignment horizontal="center"/>
    </xf>
    <xf numFmtId="3" fontId="65" fillId="4" borderId="37" xfId="0" applyNumberFormat="1" applyFont="1" applyFill="1" applyBorder="1" applyAlignment="1">
      <alignment horizontal="center"/>
    </xf>
    <xf numFmtId="3" fontId="65" fillId="4" borderId="0" xfId="0" applyNumberFormat="1" applyFont="1" applyFill="1" applyBorder="1" applyAlignment="1">
      <alignment horizontal="center"/>
    </xf>
    <xf numFmtId="3" fontId="65" fillId="4" borderId="7" xfId="0" applyNumberFormat="1" applyFont="1" applyFill="1" applyBorder="1" applyAlignment="1">
      <alignment horizontal="center"/>
    </xf>
    <xf numFmtId="3" fontId="16" fillId="4" borderId="74" xfId="0" applyNumberFormat="1" applyFont="1" applyFill="1" applyBorder="1" applyAlignment="1">
      <alignment horizontal="center"/>
    </xf>
    <xf numFmtId="3" fontId="16" fillId="4" borderId="61" xfId="0" applyNumberFormat="1" applyFont="1" applyFill="1" applyBorder="1" applyAlignment="1">
      <alignment horizontal="center"/>
    </xf>
    <xf numFmtId="3" fontId="16" fillId="4" borderId="62" xfId="0" applyNumberFormat="1" applyFont="1" applyFill="1" applyBorder="1" applyAlignment="1">
      <alignment horizontal="center"/>
    </xf>
    <xf numFmtId="3" fontId="66" fillId="4" borderId="37" xfId="0" applyNumberFormat="1" applyFont="1" applyFill="1" applyBorder="1" applyAlignment="1">
      <alignment horizontal="center"/>
    </xf>
    <xf numFmtId="3" fontId="66" fillId="4" borderId="0" xfId="0" applyNumberFormat="1" applyFont="1" applyFill="1" applyBorder="1" applyAlignment="1">
      <alignment horizontal="center"/>
    </xf>
    <xf numFmtId="3" fontId="66" fillId="4" borderId="7" xfId="0" applyNumberFormat="1" applyFont="1" applyFill="1" applyBorder="1" applyAlignment="1">
      <alignment horizontal="center"/>
    </xf>
    <xf numFmtId="3" fontId="66" fillId="23" borderId="37" xfId="0" applyNumberFormat="1" applyFont="1" applyFill="1" applyBorder="1" applyAlignment="1">
      <alignment horizontal="center"/>
    </xf>
    <xf numFmtId="3" fontId="66" fillId="23" borderId="0" xfId="0" applyNumberFormat="1" applyFont="1" applyFill="1" applyBorder="1" applyAlignment="1">
      <alignment horizontal="center"/>
    </xf>
    <xf numFmtId="3" fontId="66" fillId="23" borderId="7" xfId="0" applyNumberFormat="1" applyFont="1" applyFill="1" applyBorder="1" applyAlignment="1">
      <alignment horizontal="center"/>
    </xf>
    <xf numFmtId="172" fontId="6" fillId="0" borderId="107" xfId="0" applyNumberFormat="1" applyFont="1" applyFill="1" applyBorder="1" applyAlignment="1">
      <alignment horizontal="center"/>
    </xf>
    <xf numFmtId="172" fontId="6" fillId="0" borderId="433" xfId="0" applyNumberFormat="1" applyFont="1" applyFill="1" applyBorder="1" applyAlignment="1">
      <alignment horizontal="center"/>
    </xf>
    <xf numFmtId="172" fontId="6" fillId="0" borderId="73" xfId="0" applyNumberFormat="1" applyFont="1" applyFill="1" applyBorder="1" applyAlignment="1">
      <alignment horizontal="center"/>
    </xf>
    <xf numFmtId="172" fontId="6" fillId="0" borderId="326" xfId="0" applyNumberFormat="1" applyFont="1" applyFill="1" applyBorder="1" applyAlignment="1">
      <alignment horizontal="center"/>
    </xf>
    <xf numFmtId="1" fontId="6" fillId="16" borderId="434" xfId="0" applyNumberFormat="1" applyFont="1" applyFill="1" applyBorder="1" applyAlignment="1">
      <alignment horizontal="center"/>
    </xf>
    <xf numFmtId="1" fontId="6" fillId="16" borderId="435"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2" fontId="341" fillId="22" borderId="40" xfId="0" applyNumberFormat="1" applyFont="1" applyFill="1" applyBorder="1" applyAlignment="1">
      <alignment horizontal="right" vertical="center"/>
    </xf>
    <xf numFmtId="172" fontId="6" fillId="73" borderId="0" xfId="0" applyNumberFormat="1" applyFont="1" applyFill="1" applyBorder="1" applyAlignment="1">
      <alignment horizontal="center"/>
    </xf>
    <xf numFmtId="172" fontId="6" fillId="73" borderId="7" xfId="0" applyNumberFormat="1" applyFont="1" applyFill="1" applyBorder="1" applyAlignment="1">
      <alignment horizontal="center"/>
    </xf>
    <xf numFmtId="172" fontId="6" fillId="73" borderId="37" xfId="0" applyNumberFormat="1" applyFont="1" applyFill="1" applyBorder="1" applyAlignment="1">
      <alignment horizontal="center"/>
    </xf>
    <xf numFmtId="172" fontId="16" fillId="73" borderId="0" xfId="0" applyNumberFormat="1" applyFont="1" applyFill="1" applyBorder="1" applyAlignment="1">
      <alignment horizontal="center"/>
    </xf>
    <xf numFmtId="172" fontId="65" fillId="73" borderId="37" xfId="0" applyNumberFormat="1" applyFont="1" applyFill="1" applyBorder="1" applyAlignment="1">
      <alignment horizontal="center"/>
    </xf>
    <xf numFmtId="172" fontId="65" fillId="73" borderId="0" xfId="0" applyNumberFormat="1" applyFont="1" applyFill="1" applyBorder="1" applyAlignment="1">
      <alignment horizontal="center"/>
    </xf>
    <xf numFmtId="172" fontId="65" fillId="73" borderId="7" xfId="0" applyNumberFormat="1" applyFont="1" applyFill="1" applyBorder="1" applyAlignment="1">
      <alignment horizontal="center"/>
    </xf>
    <xf numFmtId="172" fontId="16" fillId="73" borderId="74" xfId="0" applyNumberFormat="1" applyFont="1" applyFill="1" applyBorder="1" applyAlignment="1">
      <alignment horizontal="center"/>
    </xf>
    <xf numFmtId="172" fontId="16" fillId="73" borderId="61" xfId="0" applyNumberFormat="1" applyFont="1" applyFill="1" applyBorder="1" applyAlignment="1">
      <alignment horizontal="center"/>
    </xf>
    <xf numFmtId="172" fontId="16" fillId="73" borderId="62" xfId="0" applyNumberFormat="1" applyFont="1" applyFill="1" applyBorder="1" applyAlignment="1">
      <alignment horizontal="center"/>
    </xf>
    <xf numFmtId="172" fontId="66" fillId="73" borderId="107" xfId="0" applyNumberFormat="1" applyFont="1" applyFill="1" applyBorder="1" applyAlignment="1">
      <alignment horizontal="center"/>
    </xf>
    <xf numFmtId="172" fontId="66" fillId="73" borderId="2" xfId="0" applyNumberFormat="1" applyFont="1" applyFill="1" applyBorder="1" applyAlignment="1">
      <alignment horizontal="center"/>
    </xf>
    <xf numFmtId="172" fontId="66" fillId="73" borderId="108" xfId="0" applyNumberFormat="1" applyFont="1" applyFill="1" applyBorder="1" applyAlignment="1">
      <alignment horizontal="center"/>
    </xf>
    <xf numFmtId="172" fontId="6" fillId="73" borderId="107" xfId="0" applyNumberFormat="1" applyFont="1" applyFill="1" applyBorder="1" applyAlignment="1">
      <alignment horizontal="center"/>
    </xf>
    <xf numFmtId="172" fontId="6" fillId="73" borderId="2" xfId="0" applyNumberFormat="1" applyFont="1" applyFill="1" applyBorder="1" applyAlignment="1">
      <alignment horizontal="center"/>
    </xf>
    <xf numFmtId="172" fontId="6" fillId="73" borderId="436" xfId="0" applyNumberFormat="1" applyFont="1" applyFill="1" applyBorder="1" applyAlignment="1">
      <alignment horizontal="center"/>
    </xf>
    <xf numFmtId="172" fontId="6" fillId="73" borderId="23" xfId="0" applyNumberFormat="1" applyFont="1" applyFill="1" applyBorder="1" applyAlignment="1">
      <alignment horizontal="center"/>
    </xf>
    <xf numFmtId="172" fontId="6" fillId="73" borderId="63" xfId="0" applyNumberFormat="1" applyFont="1" applyFill="1" applyBorder="1" applyAlignment="1">
      <alignment horizontal="center"/>
    </xf>
    <xf numFmtId="172" fontId="6" fillId="14" borderId="33" xfId="0" applyNumberFormat="1" applyFont="1" applyFill="1" applyBorder="1" applyAlignment="1">
      <alignment horizontal="center"/>
    </xf>
    <xf numFmtId="172" fontId="17" fillId="41" borderId="268" xfId="0" applyNumberFormat="1" applyFont="1" applyFill="1" applyBorder="1" applyAlignment="1">
      <alignment horizontal="center"/>
    </xf>
    <xf numFmtId="172" fontId="17" fillId="0" borderId="268" xfId="0" applyNumberFormat="1" applyFont="1" applyFill="1" applyBorder="1" applyAlignment="1">
      <alignment horizontal="center"/>
    </xf>
    <xf numFmtId="172" fontId="17" fillId="3" borderId="0" xfId="0" applyNumberFormat="1" applyFont="1" applyFill="1" applyBorder="1" applyAlignment="1">
      <alignment horizontal="center"/>
    </xf>
    <xf numFmtId="172" fontId="5" fillId="0" borderId="0" xfId="0" applyNumberFormat="1" applyFont="1" applyFill="1" applyBorder="1" applyAlignment="1">
      <alignment vertical="center"/>
    </xf>
    <xf numFmtId="0" fontId="5" fillId="0" borderId="0" xfId="0" applyFont="1" applyFill="1" applyBorder="1" applyAlignment="1">
      <alignment vertical="center"/>
    </xf>
    <xf numFmtId="0" fontId="135" fillId="3" borderId="0" xfId="0" applyFont="1" applyFill="1" applyBorder="1" applyAlignment="1">
      <alignment horizontal="center"/>
    </xf>
    <xf numFmtId="1" fontId="360" fillId="16" borderId="33" xfId="0" applyNumberFormat="1" applyFont="1" applyFill="1" applyBorder="1" applyAlignment="1">
      <alignment horizontal="center" vertical="center"/>
    </xf>
    <xf numFmtId="1" fontId="360" fillId="16" borderId="0" xfId="0" applyNumberFormat="1" applyFont="1" applyFill="1" applyBorder="1" applyAlignment="1">
      <alignment horizontal="center"/>
    </xf>
    <xf numFmtId="1" fontId="360" fillId="16" borderId="255" xfId="0" applyNumberFormat="1" applyFont="1" applyFill="1" applyBorder="1" applyAlignment="1">
      <alignment horizontal="center" vertical="center"/>
    </xf>
    <xf numFmtId="1" fontId="360" fillId="16" borderId="23" xfId="0" applyNumberFormat="1" applyFont="1" applyFill="1" applyBorder="1" applyAlignment="1">
      <alignment horizontal="center"/>
    </xf>
    <xf numFmtId="1" fontId="6" fillId="27" borderId="94" xfId="0" applyNumberFormat="1" applyFont="1" applyFill="1" applyBorder="1" applyAlignment="1">
      <alignment horizontal="center"/>
    </xf>
    <xf numFmtId="172" fontId="6" fillId="27" borderId="255" xfId="0" applyNumberFormat="1" applyFont="1" applyFill="1" applyBorder="1" applyAlignment="1">
      <alignment horizontal="center"/>
    </xf>
    <xf numFmtId="1" fontId="6" fillId="72" borderId="94" xfId="0" applyNumberFormat="1" applyFont="1" applyFill="1" applyBorder="1" applyAlignment="1">
      <alignment horizontal="center"/>
    </xf>
    <xf numFmtId="172" fontId="6" fillId="72" borderId="255" xfId="0" applyNumberFormat="1" applyFont="1" applyFill="1" applyBorder="1" applyAlignment="1">
      <alignment horizontal="center"/>
    </xf>
    <xf numFmtId="0" fontId="361" fillId="22" borderId="0" xfId="0" applyFont="1" applyFill="1" applyBorder="1" applyAlignment="1">
      <alignment vertical="center"/>
    </xf>
    <xf numFmtId="172" fontId="7" fillId="4" borderId="0" xfId="0" applyNumberFormat="1" applyFont="1" applyFill="1" applyBorder="1" applyAlignment="1">
      <alignment horizontal="center" vertical="center"/>
    </xf>
    <xf numFmtId="172" fontId="7" fillId="4" borderId="7" xfId="0" applyNumberFormat="1" applyFont="1" applyFill="1" applyBorder="1" applyAlignment="1">
      <alignment horizontal="center" vertical="center"/>
    </xf>
    <xf numFmtId="172" fontId="7" fillId="22" borderId="37" xfId="0" applyNumberFormat="1" applyFont="1" applyFill="1" applyBorder="1" applyAlignment="1">
      <alignment horizontal="center" vertical="center"/>
    </xf>
    <xf numFmtId="172" fontId="7" fillId="22" borderId="0" xfId="0" applyNumberFormat="1" applyFont="1" applyFill="1" applyBorder="1" applyAlignment="1">
      <alignment horizontal="center" vertical="center"/>
    </xf>
    <xf numFmtId="172" fontId="7" fillId="22" borderId="7" xfId="0" applyNumberFormat="1" applyFont="1" applyFill="1" applyBorder="1" applyAlignment="1">
      <alignment horizontal="center" vertical="center"/>
    </xf>
    <xf numFmtId="172" fontId="7" fillId="4" borderId="37" xfId="0" applyNumberFormat="1" applyFont="1" applyFill="1" applyBorder="1" applyAlignment="1">
      <alignment horizontal="center" vertical="center"/>
    </xf>
    <xf numFmtId="172" fontId="351" fillId="22" borderId="0" xfId="0" applyNumberFormat="1" applyFont="1" applyFill="1" applyBorder="1" applyAlignment="1">
      <alignment horizontal="center" vertical="center"/>
    </xf>
    <xf numFmtId="172" fontId="356" fillId="4" borderId="37" xfId="0" applyNumberFormat="1" applyFont="1" applyFill="1" applyBorder="1" applyAlignment="1">
      <alignment horizontal="center" vertical="center"/>
    </xf>
    <xf numFmtId="172" fontId="356" fillId="4" borderId="0" xfId="0" applyNumberFormat="1" applyFont="1" applyFill="1" applyBorder="1" applyAlignment="1">
      <alignment horizontal="center" vertical="center"/>
    </xf>
    <xf numFmtId="172" fontId="356" fillId="4" borderId="7" xfId="0" applyNumberFormat="1" applyFont="1" applyFill="1" applyBorder="1" applyAlignment="1">
      <alignment horizontal="center" vertical="center"/>
    </xf>
    <xf numFmtId="172" fontId="351" fillId="4" borderId="74" xfId="0" applyNumberFormat="1" applyFont="1" applyFill="1" applyBorder="1" applyAlignment="1">
      <alignment horizontal="center" vertical="center"/>
    </xf>
    <xf numFmtId="172" fontId="351" fillId="4" borderId="61" xfId="0" applyNumberFormat="1" applyFont="1" applyFill="1" applyBorder="1" applyAlignment="1">
      <alignment horizontal="center" vertical="center"/>
    </xf>
    <xf numFmtId="172" fontId="351" fillId="4" borderId="62" xfId="0" applyNumberFormat="1" applyFont="1" applyFill="1" applyBorder="1" applyAlignment="1">
      <alignment horizontal="center" vertical="center"/>
    </xf>
    <xf numFmtId="172" fontId="362" fillId="4" borderId="107" xfId="0" applyNumberFormat="1" applyFont="1" applyFill="1" applyBorder="1" applyAlignment="1">
      <alignment horizontal="center" vertical="center"/>
    </xf>
    <xf numFmtId="172" fontId="362" fillId="4" borderId="2" xfId="0" applyNumberFormat="1" applyFont="1" applyFill="1" applyBorder="1" applyAlignment="1">
      <alignment horizontal="center" vertical="center"/>
    </xf>
    <xf numFmtId="172" fontId="362" fillId="4" borderId="108" xfId="0" applyNumberFormat="1" applyFont="1" applyFill="1" applyBorder="1" applyAlignment="1">
      <alignment horizontal="center" vertical="center"/>
    </xf>
    <xf numFmtId="172" fontId="362" fillId="23" borderId="107" xfId="0" applyNumberFormat="1" applyFont="1" applyFill="1" applyBorder="1" applyAlignment="1">
      <alignment horizontal="center" vertical="center"/>
    </xf>
    <xf numFmtId="172" fontId="362" fillId="23" borderId="2" xfId="0" applyNumberFormat="1" applyFont="1" applyFill="1" applyBorder="1" applyAlignment="1">
      <alignment horizontal="center" vertical="center"/>
    </xf>
    <xf numFmtId="172" fontId="362" fillId="23" borderId="108" xfId="0" applyNumberFormat="1" applyFont="1" applyFill="1" applyBorder="1" applyAlignment="1">
      <alignment horizontal="center" vertical="center"/>
    </xf>
    <xf numFmtId="172" fontId="7" fillId="0" borderId="107" xfId="0" applyNumberFormat="1" applyFont="1" applyFill="1" applyBorder="1" applyAlignment="1">
      <alignment horizontal="center"/>
    </xf>
    <xf numFmtId="172" fontId="7" fillId="0" borderId="2" xfId="0" applyNumberFormat="1" applyFont="1" applyFill="1" applyBorder="1" applyAlignment="1">
      <alignment horizontal="center"/>
    </xf>
    <xf numFmtId="172" fontId="7" fillId="0" borderId="436" xfId="0" applyNumberFormat="1" applyFont="1" applyFill="1" applyBorder="1" applyAlignment="1">
      <alignment horizontal="center"/>
    </xf>
    <xf numFmtId="172" fontId="7" fillId="128" borderId="23" xfId="0" applyNumberFormat="1" applyFont="1" applyFill="1" applyBorder="1" applyAlignment="1">
      <alignment horizontal="center"/>
    </xf>
    <xf numFmtId="172" fontId="7" fillId="128" borderId="0" xfId="0" applyNumberFormat="1" applyFont="1" applyFill="1" applyBorder="1" applyAlignment="1">
      <alignment horizontal="center"/>
    </xf>
    <xf numFmtId="172" fontId="7" fillId="128" borderId="63" xfId="0" applyNumberFormat="1" applyFont="1" applyFill="1" applyBorder="1" applyAlignment="1">
      <alignment horizontal="center"/>
    </xf>
    <xf numFmtId="172" fontId="7" fillId="129" borderId="23" xfId="0" applyNumberFormat="1" applyFont="1" applyFill="1" applyBorder="1" applyAlignment="1">
      <alignment horizontal="center"/>
    </xf>
    <xf numFmtId="172" fontId="7" fillId="129" borderId="0" xfId="0" applyNumberFormat="1" applyFont="1" applyFill="1" applyBorder="1" applyAlignment="1">
      <alignment horizontal="center"/>
    </xf>
    <xf numFmtId="172" fontId="7" fillId="130" borderId="0" xfId="0" applyNumberFormat="1" applyFont="1" applyFill="1" applyBorder="1" applyAlignment="1">
      <alignment horizontal="center"/>
    </xf>
    <xf numFmtId="172" fontId="7" fillId="14" borderId="0" xfId="0" applyNumberFormat="1" applyFont="1" applyFill="1" applyBorder="1" applyAlignment="1">
      <alignment horizontal="center"/>
    </xf>
    <xf numFmtId="172" fontId="7" fillId="72" borderId="23" xfId="0" applyNumberFormat="1" applyFont="1" applyFill="1" applyBorder="1" applyAlignment="1">
      <alignment horizontal="center"/>
    </xf>
    <xf numFmtId="172" fontId="362" fillId="16" borderId="0" xfId="0" applyNumberFormat="1" applyFont="1" applyFill="1" applyBorder="1" applyAlignment="1">
      <alignment horizontal="center" vertical="center"/>
    </xf>
    <xf numFmtId="172" fontId="355" fillId="41" borderId="109" xfId="0" applyNumberFormat="1" applyFont="1" applyFill="1" applyBorder="1" applyAlignment="1">
      <alignment horizontal="center"/>
    </xf>
    <xf numFmtId="172" fontId="355" fillId="41" borderId="109" xfId="0" applyNumberFormat="1" applyFont="1" applyFill="1" applyBorder="1" applyAlignment="1">
      <alignment horizontal="center" vertical="center"/>
    </xf>
    <xf numFmtId="172" fontId="355" fillId="0" borderId="109" xfId="0" applyNumberFormat="1" applyFont="1" applyFill="1" applyBorder="1" applyAlignment="1">
      <alignment horizontal="center"/>
    </xf>
    <xf numFmtId="172" fontId="355" fillId="3" borderId="0" xfId="0" applyNumberFormat="1" applyFont="1" applyFill="1" applyBorder="1" applyAlignment="1">
      <alignment horizontal="center"/>
    </xf>
    <xf numFmtId="172" fontId="355" fillId="41" borderId="2" xfId="0" applyNumberFormat="1" applyFont="1" applyFill="1" applyBorder="1" applyAlignment="1">
      <alignment horizontal="center"/>
    </xf>
    <xf numFmtId="172" fontId="355" fillId="41" borderId="2" xfId="0" applyNumberFormat="1" applyFont="1" applyFill="1" applyBorder="1" applyAlignment="1">
      <alignment horizontal="center" vertical="center"/>
    </xf>
    <xf numFmtId="172" fontId="355" fillId="0" borderId="2" xfId="0" applyNumberFormat="1" applyFont="1" applyFill="1" applyBorder="1" applyAlignment="1">
      <alignment horizontal="center"/>
    </xf>
    <xf numFmtId="172" fontId="7" fillId="12" borderId="0" xfId="0" applyNumberFormat="1" applyFont="1" applyFill="1" applyBorder="1" applyAlignment="1">
      <alignment horizontal="center"/>
    </xf>
    <xf numFmtId="0" fontId="5" fillId="12" borderId="0" xfId="0" applyFont="1" applyFill="1" applyAlignment="1">
      <alignment horizontal="center" wrapText="1"/>
    </xf>
    <xf numFmtId="172"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2" fontId="6" fillId="27" borderId="29" xfId="0" applyNumberFormat="1" applyFont="1" applyFill="1" applyBorder="1" applyAlignment="1">
      <alignment horizontal="center"/>
    </xf>
    <xf numFmtId="172" fontId="6" fillId="27" borderId="33" xfId="0" applyNumberFormat="1" applyFont="1" applyFill="1" applyBorder="1" applyAlignment="1">
      <alignment horizontal="center"/>
    </xf>
    <xf numFmtId="172" fontId="7" fillId="27" borderId="23" xfId="0" applyNumberFormat="1" applyFont="1" applyFill="1" applyBorder="1" applyAlignment="1">
      <alignment horizontal="center"/>
    </xf>
    <xf numFmtId="172" fontId="7" fillId="27" borderId="0" xfId="0" applyNumberFormat="1" applyFont="1" applyFill="1" applyBorder="1" applyAlignment="1">
      <alignment horizontal="center"/>
    </xf>
    <xf numFmtId="1" fontId="6" fillId="130" borderId="94" xfId="0" applyNumberFormat="1" applyFont="1" applyFill="1" applyBorder="1" applyAlignment="1">
      <alignment horizontal="center"/>
    </xf>
    <xf numFmtId="1" fontId="6" fillId="16" borderId="23" xfId="0" applyNumberFormat="1" applyFont="1" applyFill="1" applyBorder="1" applyAlignment="1">
      <alignment horizontal="center"/>
    </xf>
    <xf numFmtId="172" fontId="7" fillId="130" borderId="23" xfId="0" applyNumberFormat="1" applyFont="1" applyFill="1" applyBorder="1" applyAlignment="1">
      <alignment horizontal="center"/>
    </xf>
    <xf numFmtId="0" fontId="210" fillId="3" borderId="0" xfId="0" applyFont="1" applyFill="1" applyAlignment="1">
      <alignment horizontal="center" vertical="top" wrapText="1"/>
    </xf>
    <xf numFmtId="3" fontId="272" fillId="5" borderId="42" xfId="67" applyNumberFormat="1" applyFont="1" applyFill="1" applyBorder="1" applyAlignment="1">
      <alignment horizontal="right"/>
    </xf>
    <xf numFmtId="0" fontId="12" fillId="0" borderId="13" xfId="0" applyFont="1" applyBorder="1" applyAlignment="1">
      <alignment horizontal="left" vertical="center"/>
    </xf>
    <xf numFmtId="0" fontId="12" fillId="0" borderId="36"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2" fillId="0" borderId="59"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63" xfId="0" applyFont="1" applyFill="1" applyBorder="1" applyAlignment="1">
      <alignment horizontal="left" vertical="center" wrapText="1"/>
    </xf>
    <xf numFmtId="0" fontId="12" fillId="0" borderId="38"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12" fillId="0" borderId="39" xfId="0" applyFont="1" applyFill="1" applyBorder="1" applyAlignment="1">
      <alignment horizontal="left" vertical="center" wrapText="1"/>
    </xf>
    <xf numFmtId="0" fontId="338" fillId="0" borderId="23" xfId="4" applyFont="1" applyBorder="1" applyAlignment="1" applyProtection="1">
      <alignment horizontal="center" vertical="center" wrapText="1"/>
    </xf>
    <xf numFmtId="0" fontId="338" fillId="0" borderId="0" xfId="4" applyFont="1" applyBorder="1" applyAlignment="1" applyProtection="1">
      <alignment horizontal="center" vertical="center" wrapText="1"/>
    </xf>
    <xf numFmtId="0" fontId="340" fillId="0" borderId="27" xfId="0" applyFont="1" applyFill="1" applyBorder="1" applyAlignment="1">
      <alignment horizontal="center" vertical="center" wrapText="1"/>
    </xf>
    <xf numFmtId="0" fontId="340" fillId="0" borderId="0" xfId="0" applyFont="1" applyFill="1" applyBorder="1" applyAlignment="1">
      <alignment horizontal="center" vertical="center" wrapText="1"/>
    </xf>
    <xf numFmtId="3" fontId="70" fillId="72" borderId="94" xfId="0" applyNumberFormat="1" applyFont="1" applyFill="1" applyBorder="1" applyAlignment="1">
      <alignment horizontal="center" vertical="center"/>
    </xf>
    <xf numFmtId="3" fontId="70" fillId="72" borderId="23" xfId="0" applyNumberFormat="1" applyFont="1" applyFill="1" applyBorder="1" applyAlignment="1">
      <alignment horizontal="center" vertical="center"/>
    </xf>
    <xf numFmtId="3" fontId="70" fillId="72" borderId="38" xfId="0" applyNumberFormat="1" applyFont="1" applyFill="1" applyBorder="1" applyAlignment="1">
      <alignment horizontal="center" vertical="center"/>
    </xf>
    <xf numFmtId="0" fontId="70" fillId="0" borderId="341" xfId="0" applyFont="1" applyFill="1" applyBorder="1" applyAlignment="1">
      <alignment horizontal="center" vertical="center"/>
    </xf>
    <xf numFmtId="0" fontId="70" fillId="0" borderId="55" xfId="0" applyFont="1" applyFill="1" applyBorder="1" applyAlignment="1">
      <alignment horizontal="center" vertical="center"/>
    </xf>
    <xf numFmtId="0" fontId="12" fillId="0" borderId="13"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12" fillId="0" borderId="13" xfId="0" applyFont="1" applyFill="1" applyBorder="1" applyAlignment="1">
      <alignment horizontal="center" vertical="center"/>
    </xf>
    <xf numFmtId="0" fontId="338" fillId="0" borderId="13" xfId="4" applyFont="1" applyFill="1" applyBorder="1" applyAlignment="1" applyProtection="1">
      <alignment horizontal="center" vertical="center" wrapText="1"/>
    </xf>
    <xf numFmtId="0" fontId="338" fillId="0" borderId="24" xfId="4" applyFont="1" applyFill="1" applyBorder="1" applyAlignment="1" applyProtection="1">
      <alignment horizontal="left" vertical="center"/>
    </xf>
    <xf numFmtId="0" fontId="338" fillId="0" borderId="25" xfId="4" applyFont="1" applyFill="1" applyBorder="1" applyAlignment="1" applyProtection="1">
      <alignment horizontal="left" vertical="center"/>
    </xf>
    <xf numFmtId="0" fontId="338" fillId="0" borderId="58" xfId="4" applyFont="1" applyFill="1" applyBorder="1" applyAlignment="1" applyProtection="1">
      <alignment horizontal="left" vertical="center"/>
    </xf>
    <xf numFmtId="0" fontId="12" fillId="0" borderId="13" xfId="0" applyFont="1" applyFill="1" applyBorder="1" applyAlignment="1">
      <alignment vertical="center" wrapText="1"/>
    </xf>
    <xf numFmtId="0" fontId="70" fillId="0" borderId="291" xfId="0" applyFont="1" applyBorder="1" applyAlignment="1">
      <alignment horizontal="center" vertical="center"/>
    </xf>
    <xf numFmtId="0" fontId="70" fillId="0" borderId="66" xfId="0" applyFont="1" applyBorder="1" applyAlignment="1">
      <alignment horizontal="center" vertical="center"/>
    </xf>
    <xf numFmtId="0" fontId="70" fillId="0" borderId="24" xfId="0" applyFont="1" applyFill="1" applyBorder="1" applyAlignment="1">
      <alignment horizontal="center" vertical="center"/>
    </xf>
    <xf numFmtId="0" fontId="70" fillId="0" borderId="25" xfId="0" applyFont="1" applyFill="1" applyBorder="1" applyAlignment="1">
      <alignment horizontal="center" vertical="center"/>
    </xf>
    <xf numFmtId="0" fontId="39" fillId="0" borderId="27" xfId="0" applyFont="1" applyBorder="1" applyAlignment="1">
      <alignment horizontal="left" vertical="top" wrapText="1"/>
    </xf>
    <xf numFmtId="0" fontId="39" fillId="0" borderId="0" xfId="0" applyFont="1" applyBorder="1" applyAlignment="1">
      <alignment horizontal="left" vertical="top" wrapText="1"/>
    </xf>
    <xf numFmtId="0" fontId="39" fillId="0" borderId="34" xfId="0" applyFont="1" applyBorder="1" applyAlignment="1">
      <alignment horizontal="left" vertical="top" wrapText="1"/>
    </xf>
    <xf numFmtId="0" fontId="39" fillId="0" borderId="291" xfId="0" applyFont="1" applyBorder="1" applyAlignment="1">
      <alignment horizontal="center" vertical="top"/>
    </xf>
    <xf numFmtId="0" fontId="39" fillId="0" borderId="37" xfId="0" applyFont="1" applyBorder="1" applyAlignment="1">
      <alignment horizontal="center" vertical="top"/>
    </xf>
    <xf numFmtId="0" fontId="39" fillId="0" borderId="66" xfId="0" applyFont="1" applyBorder="1" applyAlignment="1">
      <alignment horizontal="center" vertical="top"/>
    </xf>
    <xf numFmtId="169" fontId="70" fillId="29" borderId="24" xfId="1" applyNumberFormat="1" applyFont="1" applyFill="1" applyBorder="1" applyAlignment="1">
      <alignment horizontal="center" vertical="top" wrapText="1"/>
    </xf>
    <xf numFmtId="169" fontId="70" fillId="29" borderId="25" xfId="1" applyNumberFormat="1" applyFont="1" applyFill="1" applyBorder="1" applyAlignment="1">
      <alignment horizontal="center" vertical="top" wrapText="1"/>
    </xf>
    <xf numFmtId="169" fontId="70" fillId="29" borderId="406" xfId="1" applyNumberFormat="1" applyFont="1" applyFill="1" applyBorder="1" applyAlignment="1">
      <alignment horizontal="center" vertical="top" wrapText="1"/>
    </xf>
    <xf numFmtId="0" fontId="339" fillId="29" borderId="52" xfId="0" applyFont="1" applyFill="1" applyBorder="1" applyAlignment="1">
      <alignment horizontal="center" vertical="center"/>
    </xf>
    <xf numFmtId="0" fontId="339" fillId="29" borderId="11" xfId="0" applyFont="1" applyFill="1" applyBorder="1" applyAlignment="1">
      <alignment horizontal="center" vertical="center"/>
    </xf>
    <xf numFmtId="0" fontId="339" fillId="29" borderId="84" xfId="0" applyFont="1" applyFill="1" applyBorder="1" applyAlignment="1">
      <alignment horizontal="center" vertical="center"/>
    </xf>
    <xf numFmtId="169" fontId="70" fillId="29" borderId="13" xfId="1" applyNumberFormat="1" applyFont="1" applyFill="1" applyBorder="1" applyAlignment="1">
      <alignment horizontal="left" vertical="top" wrapText="1"/>
    </xf>
    <xf numFmtId="169" fontId="70" fillId="29" borderId="13" xfId="1" applyNumberFormat="1" applyFont="1" applyFill="1" applyBorder="1" applyAlignment="1">
      <alignment horizontal="center" vertical="top" wrapText="1"/>
    </xf>
    <xf numFmtId="0" fontId="39" fillId="72" borderId="25" xfId="0" applyFont="1" applyFill="1" applyBorder="1" applyAlignment="1">
      <alignment horizontal="center" vertical="top" wrapText="1"/>
    </xf>
    <xf numFmtId="0" fontId="39" fillId="72" borderId="406" xfId="0" applyFont="1" applyFill="1" applyBorder="1" applyAlignment="1">
      <alignment horizontal="center" vertical="top" wrapText="1"/>
    </xf>
    <xf numFmtId="0" fontId="39" fillId="29" borderId="25" xfId="0" applyFont="1" applyFill="1" applyBorder="1" applyAlignment="1">
      <alignment horizontal="center" vertical="top" wrapText="1"/>
    </xf>
    <xf numFmtId="0" fontId="39" fillId="29" borderId="406" xfId="0" applyFont="1" applyFill="1" applyBorder="1" applyAlignment="1">
      <alignment horizontal="center" vertical="top" wrapText="1"/>
    </xf>
    <xf numFmtId="0" fontId="70" fillId="0" borderId="341" xfId="0" applyFont="1" applyFill="1" applyBorder="1" applyAlignment="1">
      <alignment horizontal="center" vertical="center" wrapText="1"/>
    </xf>
    <xf numFmtId="0" fontId="70" fillId="0" borderId="90" xfId="0" applyFont="1" applyFill="1" applyBorder="1" applyAlignment="1">
      <alignment horizontal="center" vertical="center" wrapText="1"/>
    </xf>
    <xf numFmtId="0" fontId="70" fillId="0" borderId="55" xfId="0" applyFont="1" applyFill="1" applyBorder="1" applyAlignment="1">
      <alignment horizontal="center" vertical="center" wrapText="1"/>
    </xf>
    <xf numFmtId="167" fontId="70" fillId="0" borderId="25" xfId="1" applyFont="1" applyFill="1" applyBorder="1" applyAlignment="1">
      <alignment horizontal="center" vertical="center"/>
    </xf>
    <xf numFmtId="167" fontId="70" fillId="0" borderId="406" xfId="1" applyFont="1" applyFill="1" applyBorder="1" applyAlignment="1">
      <alignment horizontal="center" vertical="center"/>
    </xf>
    <xf numFmtId="0" fontId="70" fillId="16" borderId="25" xfId="0" applyFont="1" applyFill="1" applyBorder="1" applyAlignment="1">
      <alignment horizontal="center" vertical="center" wrapText="1"/>
    </xf>
    <xf numFmtId="0" fontId="70" fillId="16" borderId="406" xfId="0" applyFont="1" applyFill="1" applyBorder="1" applyAlignment="1">
      <alignment horizontal="center" vertical="center" wrapText="1"/>
    </xf>
    <xf numFmtId="0" fontId="39" fillId="0" borderId="27" xfId="0" applyFont="1" applyBorder="1" applyAlignment="1">
      <alignment horizontal="center" vertical="top" wrapText="1"/>
    </xf>
    <xf numFmtId="0" fontId="39" fillId="0" borderId="34" xfId="0" applyFont="1" applyBorder="1" applyAlignment="1">
      <alignment horizontal="center" vertical="top" wrapText="1"/>
    </xf>
    <xf numFmtId="0" fontId="70" fillId="0" borderId="45" xfId="0" applyFont="1" applyFill="1" applyBorder="1" applyAlignment="1">
      <alignment horizontal="center" vertical="center"/>
    </xf>
    <xf numFmtId="10" fontId="70" fillId="72" borderId="36" xfId="2" applyNumberFormat="1" applyFont="1" applyFill="1" applyBorder="1" applyAlignment="1">
      <alignment horizontal="center" vertical="center"/>
    </xf>
    <xf numFmtId="10" fontId="70" fillId="72" borderId="38" xfId="2" applyNumberFormat="1" applyFont="1" applyFill="1" applyBorder="1" applyAlignment="1">
      <alignment horizontal="center" vertical="center"/>
    </xf>
    <xf numFmtId="0" fontId="12" fillId="0" borderId="24" xfId="0" applyFont="1" applyFill="1" applyBorder="1" applyAlignment="1">
      <alignment horizontal="left" vertical="center" wrapText="1"/>
    </xf>
    <xf numFmtId="0" fontId="12" fillId="0" borderId="25" xfId="0" applyFont="1" applyFill="1" applyBorder="1" applyAlignment="1">
      <alignment horizontal="left" vertical="center" wrapText="1"/>
    </xf>
    <xf numFmtId="0" fontId="12" fillId="0" borderId="58" xfId="0" applyFont="1" applyFill="1" applyBorder="1" applyAlignment="1">
      <alignment horizontal="left" vertical="center" wrapText="1"/>
    </xf>
    <xf numFmtId="0" fontId="340" fillId="0" borderId="17" xfId="0" applyFont="1" applyBorder="1" applyAlignment="1">
      <alignment horizontal="center" vertical="center" wrapText="1"/>
    </xf>
    <xf numFmtId="0" fontId="340" fillId="0" borderId="19" xfId="0" applyFont="1" applyBorder="1" applyAlignment="1">
      <alignment horizontal="center" vertical="center" wrapText="1"/>
    </xf>
    <xf numFmtId="0" fontId="340" fillId="0" borderId="20" xfId="0" applyFont="1" applyBorder="1" applyAlignment="1">
      <alignment horizontal="center" vertical="center" wrapText="1"/>
    </xf>
    <xf numFmtId="0" fontId="12" fillId="0" borderId="13" xfId="0" applyFont="1" applyBorder="1" applyAlignment="1">
      <alignment vertical="center" wrapText="1"/>
    </xf>
    <xf numFmtId="0" fontId="340" fillId="0" borderId="13" xfId="0" applyFont="1" applyBorder="1" applyAlignment="1">
      <alignment vertical="center" wrapText="1"/>
    </xf>
    <xf numFmtId="0" fontId="166" fillId="0" borderId="35" xfId="0" applyFont="1" applyFill="1" applyBorder="1" applyAlignment="1">
      <alignment horizontal="center" vertical="center"/>
    </xf>
    <xf numFmtId="0" fontId="166" fillId="0" borderId="29" xfId="0" applyFont="1" applyFill="1" applyBorder="1" applyAlignment="1">
      <alignment horizontal="center" vertical="center"/>
    </xf>
    <xf numFmtId="0" fontId="166" fillId="0" borderId="30" xfId="0" applyFont="1" applyFill="1" applyBorder="1" applyAlignment="1">
      <alignment horizontal="center" vertical="center"/>
    </xf>
    <xf numFmtId="0" fontId="337" fillId="0" borderId="37" xfId="0" applyFont="1" applyFill="1" applyBorder="1" applyAlignment="1">
      <alignment horizontal="center" vertical="center" wrapText="1"/>
    </xf>
    <xf numFmtId="0" fontId="337" fillId="0" borderId="0" xfId="0" applyFont="1" applyFill="1" applyBorder="1" applyAlignment="1">
      <alignment horizontal="center" vertical="center" wrapText="1"/>
    </xf>
    <xf numFmtId="0" fontId="337" fillId="0" borderId="7" xfId="0" applyFont="1" applyFill="1" applyBorder="1" applyAlignment="1">
      <alignment horizontal="center" vertical="center" wrapText="1"/>
    </xf>
    <xf numFmtId="169" fontId="70" fillId="16" borderId="25" xfId="1" applyNumberFormat="1" applyFont="1" applyFill="1" applyBorder="1" applyAlignment="1">
      <alignment horizontal="center" vertical="center"/>
    </xf>
    <xf numFmtId="169" fontId="70" fillId="16" borderId="58" xfId="1" applyNumberFormat="1" applyFont="1" applyFill="1" applyBorder="1" applyAlignment="1">
      <alignment horizontal="center" vertical="center"/>
    </xf>
    <xf numFmtId="0" fontId="70" fillId="16" borderId="25" xfId="0" applyFont="1" applyFill="1" applyBorder="1" applyAlignment="1">
      <alignment horizontal="left" vertical="center"/>
    </xf>
    <xf numFmtId="0" fontId="70" fillId="16" borderId="406" xfId="0" applyFont="1" applyFill="1" applyBorder="1" applyAlignment="1">
      <alignment horizontal="left" vertical="center"/>
    </xf>
    <xf numFmtId="0" fontId="6" fillId="16" borderId="0" xfId="0" applyFont="1" applyFill="1" applyBorder="1" applyAlignment="1">
      <alignment horizontal="center" vertical="center"/>
    </xf>
    <xf numFmtId="0" fontId="70" fillId="72" borderId="13" xfId="1" applyNumberFormat="1" applyFont="1" applyFill="1" applyBorder="1" applyAlignment="1">
      <alignment horizontal="left" vertical="top" wrapText="1" indent="6"/>
    </xf>
    <xf numFmtId="0" fontId="39" fillId="0" borderId="52"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121" fillId="92" borderId="400" xfId="0" applyFont="1" applyFill="1" applyBorder="1" applyAlignment="1">
      <alignment horizontal="center" vertical="center" wrapText="1"/>
    </xf>
    <xf numFmtId="0" fontId="121" fillId="92" borderId="401" xfId="0" applyFont="1" applyFill="1" applyBorder="1" applyAlignment="1">
      <alignment horizontal="center" vertical="center" wrapText="1"/>
    </xf>
    <xf numFmtId="0" fontId="121" fillId="92" borderId="402" xfId="0" applyFont="1" applyFill="1" applyBorder="1" applyAlignment="1">
      <alignment horizontal="center" vertical="center" wrapText="1"/>
    </xf>
    <xf numFmtId="0" fontId="121" fillId="93" borderId="35" xfId="0" applyFont="1" applyFill="1" applyBorder="1" applyAlignment="1">
      <alignment horizontal="center" vertical="center" wrapText="1"/>
    </xf>
    <xf numFmtId="0" fontId="121" fillId="93" borderId="66" xfId="0" applyFont="1" applyFill="1" applyBorder="1" applyAlignment="1">
      <alignment horizontal="center" vertical="center" wrapText="1"/>
    </xf>
    <xf numFmtId="0" fontId="121" fillId="13" borderId="52" xfId="0" applyFont="1" applyFill="1" applyBorder="1" applyAlignment="1">
      <alignment horizontal="center" vertical="center" wrapText="1"/>
    </xf>
    <xf numFmtId="0" fontId="121" fillId="13" borderId="11" xfId="0" applyFont="1" applyFill="1" applyBorder="1" applyAlignment="1">
      <alignment horizontal="center" vertical="center" wrapText="1"/>
    </xf>
    <xf numFmtId="0" fontId="121" fillId="13" borderId="84" xfId="0" applyFont="1" applyFill="1" applyBorder="1" applyAlignment="1">
      <alignment horizontal="center" vertical="center" wrapText="1"/>
    </xf>
    <xf numFmtId="1" fontId="121" fillId="92" borderId="411" xfId="0" applyNumberFormat="1" applyFont="1" applyFill="1" applyBorder="1" applyAlignment="1">
      <alignment horizontal="center" vertical="center"/>
    </xf>
    <xf numFmtId="1" fontId="121" fillId="92" borderId="412" xfId="0" applyNumberFormat="1" applyFont="1" applyFill="1" applyBorder="1" applyAlignment="1">
      <alignment horizontal="center" vertical="center"/>
    </xf>
    <xf numFmtId="2" fontId="121" fillId="92" borderId="37" xfId="0" applyNumberFormat="1" applyFont="1" applyFill="1" applyBorder="1" applyAlignment="1">
      <alignment horizontal="center" vertical="center"/>
    </xf>
    <xf numFmtId="2" fontId="121" fillId="92" borderId="7" xfId="0" applyNumberFormat="1" applyFont="1" applyFill="1" applyBorder="1" applyAlignment="1">
      <alignment horizontal="center" vertical="center"/>
    </xf>
    <xf numFmtId="1" fontId="121" fillId="92" borderId="37" xfId="0" applyNumberFormat="1" applyFont="1" applyFill="1" applyBorder="1" applyAlignment="1">
      <alignment horizontal="center" vertical="center"/>
    </xf>
    <xf numFmtId="1" fontId="121" fillId="92" borderId="7" xfId="0" applyNumberFormat="1" applyFont="1" applyFill="1" applyBorder="1" applyAlignment="1">
      <alignment horizontal="center" vertical="center"/>
    </xf>
    <xf numFmtId="0" fontId="121" fillId="92" borderId="413" xfId="0" applyFont="1" applyFill="1" applyBorder="1" applyAlignment="1">
      <alignment horizontal="center" vertical="center" wrapText="1"/>
    </xf>
    <xf numFmtId="0" fontId="121" fillId="92" borderId="414" xfId="0" applyFont="1" applyFill="1" applyBorder="1" applyAlignment="1">
      <alignment horizontal="center" vertical="center" wrapText="1"/>
    </xf>
    <xf numFmtId="0" fontId="0" fillId="0" borderId="0" xfId="0" applyAlignment="1">
      <alignment horizontal="center" vertical="center"/>
    </xf>
    <xf numFmtId="0" fontId="0" fillId="91" borderId="0" xfId="0" applyFill="1" applyAlignment="1">
      <alignment horizontal="center" vertical="center"/>
    </xf>
    <xf numFmtId="0" fontId="0" fillId="0" borderId="0" xfId="0" applyAlignment="1">
      <alignment horizontal="left" vertical="center" wrapText="1"/>
    </xf>
    <xf numFmtId="0" fontId="41" fillId="73" borderId="0" xfId="0" applyFont="1" applyFill="1" applyAlignment="1">
      <alignment horizontal="center" vertical="center" wrapText="1"/>
    </xf>
    <xf numFmtId="0" fontId="0" fillId="0" borderId="33" xfId="0" applyBorder="1" applyAlignment="1">
      <alignment horizont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5" fillId="5" borderId="40" xfId="0" applyFont="1" applyFill="1" applyBorder="1" applyAlignment="1">
      <alignment horizontal="center"/>
    </xf>
    <xf numFmtId="0" fontId="5" fillId="5" borderId="33" xfId="0" applyFont="1" applyFill="1" applyBorder="1" applyAlignment="1">
      <alignment horizontal="center"/>
    </xf>
    <xf numFmtId="0" fontId="317" fillId="14" borderId="40" xfId="0" applyFont="1" applyFill="1" applyBorder="1" applyAlignment="1">
      <alignment horizontal="center"/>
    </xf>
    <xf numFmtId="0" fontId="317" fillId="14" borderId="33" xfId="0" applyFont="1" applyFill="1" applyBorder="1" applyAlignment="1">
      <alignment horizontal="center"/>
    </xf>
    <xf numFmtId="0" fontId="285" fillId="27" borderId="88" xfId="0" applyFont="1" applyFill="1" applyBorder="1" applyAlignment="1">
      <alignment horizontal="center" vertical="center" wrapText="1"/>
    </xf>
    <xf numFmtId="0" fontId="285" fillId="27" borderId="69" xfId="0" applyFont="1" applyFill="1" applyBorder="1" applyAlignment="1">
      <alignment horizontal="center" vertical="center" wrapText="1"/>
    </xf>
    <xf numFmtId="168" fontId="21" fillId="32" borderId="6" xfId="2" applyNumberFormat="1" applyFont="1" applyFill="1" applyBorder="1" applyAlignment="1">
      <alignment horizontal="center" vertical="center" wrapText="1"/>
    </xf>
    <xf numFmtId="168" fontId="21" fillId="32" borderId="8" xfId="2" applyNumberFormat="1" applyFont="1" applyFill="1" applyBorder="1" applyAlignment="1">
      <alignment horizontal="center" vertical="center" wrapText="1"/>
    </xf>
    <xf numFmtId="0" fontId="107" fillId="0" borderId="0" xfId="0" applyFont="1" applyAlignment="1">
      <alignment horizontal="left" vertical="center" wrapText="1"/>
    </xf>
    <xf numFmtId="168" fontId="214" fillId="100" borderId="41" xfId="2" applyNumberFormat="1" applyFont="1" applyFill="1" applyBorder="1" applyAlignment="1">
      <alignment horizontal="center" vertical="center" wrapText="1"/>
    </xf>
    <xf numFmtId="168" fontId="214" fillId="100" borderId="110" xfId="2" applyNumberFormat="1" applyFont="1" applyFill="1" applyBorder="1" applyAlignment="1">
      <alignment horizontal="center" vertical="center" wrapText="1"/>
    </xf>
    <xf numFmtId="168" fontId="214" fillId="101" borderId="82" xfId="2" applyNumberFormat="1" applyFont="1" applyFill="1" applyBorder="1" applyAlignment="1">
      <alignment horizontal="center" vertical="center" wrapText="1"/>
    </xf>
    <xf numFmtId="168" fontId="214" fillId="101" borderId="6" xfId="2" applyNumberFormat="1" applyFont="1" applyFill="1" applyBorder="1" applyAlignment="1">
      <alignment horizontal="center" vertical="center" wrapText="1"/>
    </xf>
    <xf numFmtId="168" fontId="214" fillId="99" borderId="6" xfId="2" applyNumberFormat="1" applyFont="1" applyFill="1" applyBorder="1" applyAlignment="1">
      <alignment horizontal="center" vertical="center" wrapText="1"/>
    </xf>
    <xf numFmtId="0" fontId="261" fillId="27" borderId="52" xfId="0" applyFont="1" applyFill="1" applyBorder="1" applyAlignment="1">
      <alignment horizontal="center" vertical="center" wrapText="1"/>
    </xf>
    <xf numFmtId="0" fontId="261" fillId="27" borderId="11" xfId="0" applyFont="1" applyFill="1" applyBorder="1" applyAlignment="1">
      <alignment horizontal="center" vertical="center" wrapText="1"/>
    </xf>
    <xf numFmtId="0" fontId="271" fillId="72" borderId="37" xfId="0" applyFont="1" applyFill="1" applyBorder="1" applyAlignment="1">
      <alignment horizontal="center" vertical="center" wrapText="1"/>
    </xf>
    <xf numFmtId="0" fontId="271" fillId="72" borderId="0" xfId="0" applyFont="1" applyFill="1" applyBorder="1" applyAlignment="1">
      <alignment horizontal="center" vertical="center" wrapText="1"/>
    </xf>
    <xf numFmtId="0" fontId="150" fillId="32" borderId="335"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9" xfId="0" applyFont="1" applyFill="1" applyBorder="1" applyAlignment="1">
      <alignment horizontal="center" vertical="center" wrapText="1"/>
    </xf>
    <xf numFmtId="0" fontId="220" fillId="75" borderId="36" xfId="0" applyFont="1" applyFill="1" applyBorder="1" applyAlignment="1">
      <alignment horizontal="center" vertical="center"/>
    </xf>
    <xf numFmtId="0" fontId="220" fillId="75" borderId="27" xfId="0" applyFont="1" applyFill="1" applyBorder="1" applyAlignment="1">
      <alignment horizontal="center" vertical="center"/>
    </xf>
    <xf numFmtId="0" fontId="220" fillId="75" borderId="59" xfId="0" applyFont="1" applyFill="1" applyBorder="1" applyAlignment="1">
      <alignment horizontal="center" vertical="center"/>
    </xf>
    <xf numFmtId="0" fontId="220" fillId="73" borderId="330" xfId="0" applyFont="1" applyFill="1" applyBorder="1" applyAlignment="1">
      <alignment horizontal="center" vertical="center"/>
    </xf>
    <xf numFmtId="0" fontId="220" fillId="73" borderId="143" xfId="0" applyFont="1" applyFill="1" applyBorder="1" applyAlignment="1">
      <alignment horizontal="center" vertical="center"/>
    </xf>
    <xf numFmtId="0" fontId="220" fillId="73" borderId="231" xfId="0" applyFont="1" applyFill="1" applyBorder="1" applyAlignment="1">
      <alignment horizontal="center" vertical="center"/>
    </xf>
    <xf numFmtId="0" fontId="220" fillId="10" borderId="140" xfId="0" applyFont="1" applyFill="1" applyBorder="1" applyAlignment="1">
      <alignment horizontal="center" vertical="center"/>
    </xf>
    <xf numFmtId="0" fontId="220" fillId="10" borderId="141" xfId="0" applyFont="1" applyFill="1" applyBorder="1" applyAlignment="1">
      <alignment horizontal="center" vertical="center"/>
    </xf>
    <xf numFmtId="0" fontId="220" fillId="10" borderId="216" xfId="0" applyFont="1" applyFill="1" applyBorder="1" applyAlignment="1">
      <alignment horizontal="center" vertical="center"/>
    </xf>
    <xf numFmtId="0" fontId="220" fillId="73" borderId="217" xfId="0" applyFont="1" applyFill="1" applyBorder="1" applyAlignment="1">
      <alignment horizontal="center" vertical="center"/>
    </xf>
    <xf numFmtId="0" fontId="220" fillId="73" borderId="329" xfId="0" applyFont="1" applyFill="1" applyBorder="1" applyAlignment="1">
      <alignment horizontal="center" vertical="center"/>
    </xf>
    <xf numFmtId="0" fontId="28" fillId="14" borderId="132" xfId="0" applyFont="1" applyFill="1" applyBorder="1" applyAlignment="1">
      <alignment horizontal="center" vertical="center"/>
    </xf>
    <xf numFmtId="0" fontId="28" fillId="14" borderId="133" xfId="0" applyFont="1" applyFill="1" applyBorder="1" applyAlignment="1">
      <alignment horizontal="center" vertical="center"/>
    </xf>
    <xf numFmtId="0" fontId="28" fillId="14" borderId="134" xfId="0" applyFont="1" applyFill="1" applyBorder="1" applyAlignment="1">
      <alignment horizontal="center" vertical="center"/>
    </xf>
    <xf numFmtId="0" fontId="220" fillId="27" borderId="36" xfId="0" applyFont="1" applyFill="1" applyBorder="1" applyAlignment="1">
      <alignment horizontal="center" vertical="center"/>
    </xf>
    <xf numFmtId="0" fontId="220" fillId="27" borderId="27" xfId="0" applyFont="1" applyFill="1" applyBorder="1" applyAlignment="1">
      <alignment horizontal="center" vertical="center"/>
    </xf>
    <xf numFmtId="0" fontId="220" fillId="27" borderId="59" xfId="0" applyFont="1" applyFill="1" applyBorder="1" applyAlignment="1">
      <alignment horizontal="center" vertical="center"/>
    </xf>
    <xf numFmtId="0" fontId="220" fillId="72" borderId="36" xfId="0" applyFont="1" applyFill="1" applyBorder="1" applyAlignment="1">
      <alignment horizontal="center" vertical="center"/>
    </xf>
    <xf numFmtId="0" fontId="220" fillId="72" borderId="27" xfId="0" applyFont="1" applyFill="1" applyBorder="1" applyAlignment="1">
      <alignment horizontal="center" vertical="center"/>
    </xf>
    <xf numFmtId="0" fontId="220" fillId="72" borderId="59" xfId="0" applyFont="1" applyFill="1" applyBorder="1" applyAlignment="1">
      <alignment horizontal="center" vertical="center"/>
    </xf>
    <xf numFmtId="0" fontId="8" fillId="72" borderId="62" xfId="0" applyFont="1" applyFill="1" applyBorder="1" applyAlignment="1">
      <alignment horizontal="center" vertical="center"/>
    </xf>
    <xf numFmtId="0" fontId="8" fillId="72" borderId="149" xfId="0" applyFont="1" applyFill="1" applyBorder="1" applyAlignment="1">
      <alignment horizontal="center" vertical="center"/>
    </xf>
    <xf numFmtId="0" fontId="8" fillId="72" borderId="74" xfId="0" applyFont="1" applyFill="1" applyBorder="1" applyAlignment="1">
      <alignment horizontal="center" vertical="center"/>
    </xf>
    <xf numFmtId="0" fontId="171" fillId="27" borderId="62" xfId="0" applyFont="1" applyFill="1" applyBorder="1" applyAlignment="1">
      <alignment horizontal="center" vertical="center"/>
    </xf>
    <xf numFmtId="0" fontId="171" fillId="27" borderId="149" xfId="0" applyFont="1" applyFill="1" applyBorder="1" applyAlignment="1">
      <alignment horizontal="center" vertical="center"/>
    </xf>
    <xf numFmtId="0" fontId="171" fillId="27" borderId="74" xfId="0" applyFont="1" applyFill="1" applyBorder="1" applyAlignment="1">
      <alignment horizontal="center" vertical="center"/>
    </xf>
    <xf numFmtId="0" fontId="28" fillId="29" borderId="62" xfId="0" applyFont="1" applyFill="1" applyBorder="1" applyAlignment="1">
      <alignment horizontal="center" vertical="center"/>
    </xf>
    <xf numFmtId="0" fontId="28" fillId="29" borderId="149" xfId="0" applyFont="1" applyFill="1" applyBorder="1" applyAlignment="1">
      <alignment horizontal="center" vertical="center"/>
    </xf>
    <xf numFmtId="0" fontId="28" fillId="29" borderId="331" xfId="0" applyFont="1" applyFill="1" applyBorder="1" applyAlignment="1">
      <alignment horizontal="center" vertical="center"/>
    </xf>
    <xf numFmtId="0" fontId="2" fillId="0" borderId="0" xfId="0" applyFont="1" applyFill="1" applyBorder="1" applyAlignment="1">
      <alignment horizontal="center" vertical="center" wrapText="1"/>
    </xf>
    <xf numFmtId="0" fontId="28" fillId="30" borderId="132" xfId="0" applyFont="1" applyFill="1" applyBorder="1" applyAlignment="1">
      <alignment horizontal="center" vertical="center"/>
    </xf>
    <xf numFmtId="0" fontId="28" fillId="30" borderId="133" xfId="0" applyFont="1" applyFill="1" applyBorder="1" applyAlignment="1">
      <alignment horizontal="center" vertical="center"/>
    </xf>
    <xf numFmtId="0" fontId="28" fillId="30" borderId="134" xfId="0" applyFont="1" applyFill="1" applyBorder="1" applyAlignment="1">
      <alignment horizontal="center" vertical="center"/>
    </xf>
    <xf numFmtId="0" fontId="8" fillId="14" borderId="131" xfId="0" applyFont="1" applyFill="1" applyBorder="1" applyAlignment="1">
      <alignment horizontal="center" vertical="center"/>
    </xf>
    <xf numFmtId="0" fontId="8" fillId="14" borderId="0" xfId="0" applyFont="1" applyFill="1" applyBorder="1" applyAlignment="1">
      <alignment horizontal="center" vertical="center"/>
    </xf>
    <xf numFmtId="0" fontId="263" fillId="27" borderId="0" xfId="0" applyFont="1" applyFill="1" applyBorder="1" applyAlignment="1">
      <alignment horizontal="center" vertical="center"/>
    </xf>
    <xf numFmtId="0" fontId="263" fillId="2" borderId="0" xfId="0" applyFont="1" applyFill="1" applyBorder="1" applyAlignment="1">
      <alignment horizontal="center" vertical="center"/>
    </xf>
    <xf numFmtId="0" fontId="263" fillId="76" borderId="0" xfId="0" applyFont="1" applyFill="1" applyBorder="1" applyAlignment="1">
      <alignment horizontal="center" vertical="center"/>
    </xf>
    <xf numFmtId="0" fontId="322" fillId="0" borderId="41" xfId="0" applyFont="1" applyFill="1" applyBorder="1" applyAlignment="1">
      <alignment horizontal="center" vertical="center"/>
    </xf>
    <xf numFmtId="0" fontId="322" fillId="0" borderId="6" xfId="0" applyFont="1" applyFill="1" applyBorder="1" applyAlignment="1">
      <alignment horizontal="center" vertical="center"/>
    </xf>
    <xf numFmtId="0" fontId="322" fillId="0" borderId="110" xfId="0" applyFont="1" applyFill="1" applyBorder="1" applyAlignment="1">
      <alignment horizontal="center" vertical="center"/>
    </xf>
    <xf numFmtId="0" fontId="263" fillId="5" borderId="35" xfId="0" applyFont="1" applyFill="1" applyBorder="1" applyAlignment="1">
      <alignment horizontal="center" vertical="center"/>
    </xf>
    <xf numFmtId="0" fontId="263" fillId="5" borderId="29" xfId="0" applyFont="1" applyFill="1" applyBorder="1" applyAlignment="1">
      <alignment horizontal="center" vertical="center"/>
    </xf>
    <xf numFmtId="0" fontId="220" fillId="14" borderId="36" xfId="0" applyFont="1" applyFill="1" applyBorder="1" applyAlignment="1">
      <alignment horizontal="center" vertical="center"/>
    </xf>
    <xf numFmtId="0" fontId="220" fillId="14" borderId="27" xfId="0" applyFont="1" applyFill="1" applyBorder="1" applyAlignment="1">
      <alignment horizontal="center" vertical="center"/>
    </xf>
    <xf numFmtId="0" fontId="220" fillId="14" borderId="59" xfId="0" applyFont="1" applyFill="1" applyBorder="1" applyAlignment="1">
      <alignment horizontal="center" vertical="center"/>
    </xf>
    <xf numFmtId="0" fontId="127" fillId="0" borderId="0" xfId="86" applyFont="1" applyFill="1" applyBorder="1" applyAlignment="1">
      <alignment horizontal="left" vertical="top" wrapText="1"/>
    </xf>
    <xf numFmtId="0" fontId="128" fillId="0" borderId="0" xfId="86" applyFont="1" applyFill="1" applyBorder="1" applyAlignment="1">
      <alignment horizontal="center" vertical="center" wrapText="1"/>
    </xf>
    <xf numFmtId="0" fontId="262" fillId="72" borderId="318" xfId="0" applyFont="1" applyFill="1" applyBorder="1" applyAlignment="1">
      <alignment horizontal="center" vertical="center"/>
    </xf>
    <xf numFmtId="0" fontId="262" fillId="72" borderId="319" xfId="0" applyFont="1" applyFill="1" applyBorder="1" applyAlignment="1">
      <alignment horizontal="center" vertical="center"/>
    </xf>
    <xf numFmtId="0" fontId="262" fillId="72" borderId="320" xfId="0" applyFont="1" applyFill="1" applyBorder="1" applyAlignment="1">
      <alignment horizontal="center" vertical="center"/>
    </xf>
    <xf numFmtId="0" fontId="220" fillId="28" borderId="318" xfId="0" applyFont="1" applyFill="1" applyBorder="1" applyAlignment="1">
      <alignment horizontal="center" vertical="center"/>
    </xf>
    <xf numFmtId="0" fontId="220" fillId="28" borderId="319" xfId="0" applyFont="1" applyFill="1" applyBorder="1" applyAlignment="1">
      <alignment horizontal="center" vertical="center"/>
    </xf>
    <xf numFmtId="0" fontId="220" fillId="28" borderId="320" xfId="0" applyFont="1" applyFill="1" applyBorder="1" applyAlignment="1">
      <alignment horizontal="center" vertical="center"/>
    </xf>
    <xf numFmtId="0" fontId="220" fillId="79" borderId="318" xfId="0" applyFont="1" applyFill="1" applyBorder="1" applyAlignment="1">
      <alignment horizontal="center" vertical="center"/>
    </xf>
    <xf numFmtId="0" fontId="220" fillId="79" borderId="319" xfId="0" applyFont="1" applyFill="1" applyBorder="1" applyAlignment="1">
      <alignment horizontal="center" vertical="center"/>
    </xf>
    <xf numFmtId="0" fontId="220" fillId="79" borderId="320" xfId="0" applyFont="1" applyFill="1" applyBorder="1" applyAlignment="1">
      <alignment horizontal="center" vertical="center"/>
    </xf>
    <xf numFmtId="0" fontId="127" fillId="0" borderId="0" xfId="86" applyFont="1" applyFill="1" applyBorder="1" applyAlignment="1">
      <alignment horizontal="left" wrapText="1"/>
    </xf>
    <xf numFmtId="0" fontId="111" fillId="10" borderId="140" xfId="85" applyFont="1" applyFill="1" applyBorder="1" applyAlignment="1">
      <alignment horizontal="center"/>
    </xf>
    <xf numFmtId="0" fontId="111" fillId="10" borderId="141" xfId="85" applyFont="1" applyFill="1" applyBorder="1" applyAlignment="1">
      <alignment horizontal="center"/>
    </xf>
    <xf numFmtId="0" fontId="20" fillId="72" borderId="62" xfId="85" applyFont="1" applyFill="1" applyBorder="1" applyAlignment="1">
      <alignment horizontal="center"/>
    </xf>
    <xf numFmtId="0" fontId="20" fillId="72" borderId="149" xfId="85" applyFont="1" applyFill="1" applyBorder="1" applyAlignment="1">
      <alignment horizontal="center"/>
    </xf>
    <xf numFmtId="0" fontId="117" fillId="27" borderId="62" xfId="85" applyFont="1" applyFill="1" applyBorder="1" applyAlignment="1">
      <alignment horizontal="center"/>
    </xf>
    <xf numFmtId="0" fontId="117" fillId="27" borderId="149" xfId="85" applyFont="1" applyFill="1" applyBorder="1" applyAlignment="1">
      <alignment horizontal="center"/>
    </xf>
    <xf numFmtId="0" fontId="117" fillId="27" borderId="74" xfId="85" applyFont="1" applyFill="1" applyBorder="1" applyAlignment="1">
      <alignment horizontal="center"/>
    </xf>
    <xf numFmtId="0" fontId="111" fillId="72" borderId="4" xfId="85" applyFont="1" applyFill="1" applyBorder="1" applyAlignment="1">
      <alignment horizontal="center"/>
    </xf>
    <xf numFmtId="0" fontId="111" fillId="72" borderId="135" xfId="85" applyFont="1" applyFill="1" applyBorder="1" applyAlignment="1">
      <alignment horizontal="center"/>
    </xf>
    <xf numFmtId="0" fontId="111" fillId="72" borderId="136" xfId="85" applyFont="1" applyFill="1" applyBorder="1" applyAlignment="1">
      <alignment horizontal="center"/>
    </xf>
    <xf numFmtId="0" fontId="111" fillId="28" borderId="4" xfId="85" applyFont="1" applyFill="1" applyBorder="1" applyAlignment="1">
      <alignment horizontal="center"/>
    </xf>
    <xf numFmtId="0" fontId="111" fillId="28" borderId="135" xfId="85" applyFont="1" applyFill="1" applyBorder="1" applyAlignment="1">
      <alignment horizontal="center"/>
    </xf>
    <xf numFmtId="0" fontId="111" fillId="79" borderId="132" xfId="85" applyFont="1" applyFill="1" applyBorder="1" applyAlignment="1">
      <alignment horizontal="center"/>
    </xf>
    <xf numFmtId="0" fontId="111" fillId="79" borderId="133" xfId="85" applyFont="1" applyFill="1" applyBorder="1" applyAlignment="1">
      <alignment horizontal="center"/>
    </xf>
    <xf numFmtId="0" fontId="111" fillId="79" borderId="134" xfId="85" applyFont="1" applyFill="1" applyBorder="1" applyAlignment="1">
      <alignment horizontal="center"/>
    </xf>
    <xf numFmtId="0" fontId="111" fillId="75" borderId="132" xfId="85" applyFont="1" applyFill="1" applyBorder="1" applyAlignment="1">
      <alignment horizontal="center"/>
    </xf>
    <xf numFmtId="0" fontId="111" fillId="75" borderId="133" xfId="85" applyFont="1" applyFill="1" applyBorder="1" applyAlignment="1">
      <alignment horizontal="center"/>
    </xf>
    <xf numFmtId="0" fontId="111" fillId="73" borderId="137" xfId="85" applyFont="1" applyFill="1" applyBorder="1" applyAlignment="1">
      <alignment horizontal="center"/>
    </xf>
    <xf numFmtId="0" fontId="111" fillId="73" borderId="138" xfId="85" applyFont="1" applyFill="1" applyBorder="1" applyAlignment="1">
      <alignment horizontal="center"/>
    </xf>
    <xf numFmtId="0" fontId="111" fillId="73" borderId="139" xfId="85" applyFont="1" applyFill="1" applyBorder="1" applyAlignment="1">
      <alignment horizontal="center"/>
    </xf>
    <xf numFmtId="0" fontId="220" fillId="0" borderId="36" xfId="0" applyFont="1" applyFill="1" applyBorder="1" applyAlignment="1">
      <alignment horizontal="center" vertical="center"/>
    </xf>
    <xf numFmtId="0" fontId="220" fillId="0" borderId="27" xfId="0" applyFont="1" applyFill="1" applyBorder="1" applyAlignment="1">
      <alignment horizontal="center" vertical="center"/>
    </xf>
    <xf numFmtId="0" fontId="220" fillId="0" borderId="276" xfId="0" applyFont="1" applyFill="1" applyBorder="1" applyAlignment="1">
      <alignment horizontal="center" vertical="center"/>
    </xf>
    <xf numFmtId="0" fontId="220" fillId="87" borderId="35" xfId="0" applyFont="1" applyFill="1" applyBorder="1" applyAlignment="1">
      <alignment horizontal="center" vertical="center"/>
    </xf>
    <xf numFmtId="0" fontId="220" fillId="87" borderId="29" xfId="0" applyFont="1" applyFill="1" applyBorder="1" applyAlignment="1">
      <alignment horizontal="center" vertical="center"/>
    </xf>
    <xf numFmtId="0" fontId="113" fillId="29" borderId="62" xfId="85" applyFont="1" applyFill="1" applyBorder="1" applyAlignment="1">
      <alignment horizontal="center"/>
    </xf>
    <xf numFmtId="0" fontId="113" fillId="29" borderId="149" xfId="85" applyFont="1" applyFill="1" applyBorder="1" applyAlignment="1">
      <alignment horizontal="center"/>
    </xf>
    <xf numFmtId="0" fontId="113" fillId="14" borderId="132" xfId="85" applyFont="1" applyFill="1" applyBorder="1" applyAlignment="1">
      <alignment horizontal="center"/>
    </xf>
    <xf numFmtId="0" fontId="113" fillId="14" borderId="133" xfId="85" applyFont="1" applyFill="1" applyBorder="1" applyAlignment="1">
      <alignment horizontal="center"/>
    </xf>
    <xf numFmtId="0" fontId="113" fillId="14" borderId="134" xfId="85" applyFont="1" applyFill="1" applyBorder="1" applyAlignment="1">
      <alignment horizontal="center"/>
    </xf>
    <xf numFmtId="0" fontId="113" fillId="30" borderId="132" xfId="85" applyFont="1" applyFill="1" applyBorder="1" applyAlignment="1">
      <alignment horizontal="center"/>
    </xf>
    <xf numFmtId="0" fontId="113" fillId="30" borderId="133" xfId="85" applyFont="1" applyFill="1" applyBorder="1" applyAlignment="1">
      <alignment horizontal="center"/>
    </xf>
    <xf numFmtId="0" fontId="113" fillId="30" borderId="134" xfId="85" applyFont="1" applyFill="1" applyBorder="1" applyAlignment="1">
      <alignment horizontal="center"/>
    </xf>
    <xf numFmtId="0" fontId="111" fillId="9" borderId="0" xfId="85" applyFont="1" applyFill="1" applyAlignment="1">
      <alignment horizontal="center"/>
    </xf>
    <xf numFmtId="0" fontId="111" fillId="72" borderId="132" xfId="85" applyFont="1" applyFill="1" applyBorder="1" applyAlignment="1">
      <alignment horizontal="center"/>
    </xf>
    <xf numFmtId="0" fontId="111" fillId="72" borderId="133" xfId="85" applyFont="1" applyFill="1" applyBorder="1" applyAlignment="1">
      <alignment horizontal="center"/>
    </xf>
    <xf numFmtId="0" fontId="111" fillId="72" borderId="134" xfId="85" applyFont="1" applyFill="1" applyBorder="1" applyAlignment="1">
      <alignment horizontal="center"/>
    </xf>
    <xf numFmtId="0" fontId="153" fillId="8" borderId="131" xfId="85" applyFont="1" applyFill="1" applyBorder="1" applyAlignment="1">
      <alignment horizontal="center"/>
    </xf>
    <xf numFmtId="0" fontId="153" fillId="8" borderId="0" xfId="85" applyFont="1" applyFill="1" applyBorder="1" applyAlignment="1">
      <alignment horizontal="center"/>
    </xf>
    <xf numFmtId="0" fontId="153" fillId="15" borderId="77" xfId="85" applyFont="1" applyFill="1" applyBorder="1" applyAlignment="1">
      <alignment horizontal="center" vertical="justify"/>
    </xf>
    <xf numFmtId="0" fontId="112" fillId="74" borderId="0" xfId="85" applyFont="1" applyFill="1" applyBorder="1" applyAlignment="1">
      <alignment horizontal="center"/>
    </xf>
    <xf numFmtId="0" fontId="20" fillId="14" borderId="131" xfId="85" applyFont="1" applyFill="1" applyBorder="1" applyAlignment="1">
      <alignment horizontal="center"/>
    </xf>
    <xf numFmtId="0" fontId="20" fillId="14" borderId="0" xfId="85" applyFont="1" applyFill="1" applyBorder="1" applyAlignment="1">
      <alignment horizontal="center"/>
    </xf>
    <xf numFmtId="0" fontId="2" fillId="93" borderId="13" xfId="0" applyFont="1" applyFill="1" applyBorder="1" applyAlignment="1">
      <alignment horizontal="center" vertical="center" wrapText="1"/>
    </xf>
    <xf numFmtId="0" fontId="2" fillId="3" borderId="0" xfId="0" applyFont="1" applyFill="1" applyAlignment="1">
      <alignment horizontal="center" vertical="center" wrapText="1"/>
    </xf>
    <xf numFmtId="0" fontId="263" fillId="27" borderId="35" xfId="0" applyFont="1" applyFill="1" applyBorder="1" applyAlignment="1">
      <alignment horizontal="center" vertical="center"/>
    </xf>
    <xf numFmtId="0" fontId="263" fillId="27" borderId="29" xfId="0" applyFont="1" applyFill="1" applyBorder="1" applyAlignment="1">
      <alignment horizontal="center" vertical="center"/>
    </xf>
    <xf numFmtId="0" fontId="220" fillId="102" borderId="292" xfId="0" applyFont="1" applyFill="1" applyBorder="1" applyAlignment="1">
      <alignment horizontal="center"/>
    </xf>
    <xf numFmtId="0" fontId="220" fillId="102" borderId="293" xfId="0" applyFont="1" applyFill="1" applyBorder="1" applyAlignment="1">
      <alignment horizontal="center"/>
    </xf>
    <xf numFmtId="0" fontId="220" fillId="102" borderId="294" xfId="0" applyFont="1" applyFill="1" applyBorder="1" applyAlignment="1">
      <alignment horizontal="center"/>
    </xf>
    <xf numFmtId="0" fontId="220" fillId="102" borderId="175" xfId="0" applyFont="1" applyFill="1" applyBorder="1" applyAlignment="1">
      <alignment horizontal="center"/>
    </xf>
    <xf numFmtId="0" fontId="220" fillId="102" borderId="176" xfId="0" applyFont="1" applyFill="1" applyBorder="1" applyAlignment="1">
      <alignment horizontal="center"/>
    </xf>
    <xf numFmtId="0" fontId="220" fillId="102" borderId="78" xfId="0" applyFont="1" applyFill="1" applyBorder="1" applyAlignment="1">
      <alignment horizontal="center"/>
    </xf>
    <xf numFmtId="0" fontId="237" fillId="28" borderId="0" xfId="0" applyFont="1" applyFill="1" applyBorder="1" applyAlignment="1">
      <alignment horizontal="center" vertical="center"/>
    </xf>
    <xf numFmtId="0" fontId="237" fillId="14" borderId="0" xfId="0" applyFont="1" applyFill="1" applyBorder="1" applyAlignment="1">
      <alignment horizontal="center" vertical="center"/>
    </xf>
    <xf numFmtId="17" fontId="252" fillId="104" borderId="305" xfId="0" applyNumberFormat="1" applyFont="1" applyFill="1" applyBorder="1" applyAlignment="1">
      <alignment horizontal="center" vertical="center" wrapText="1"/>
    </xf>
    <xf numFmtId="17" fontId="252" fillId="104" borderId="306" xfId="0" applyNumberFormat="1" applyFont="1" applyFill="1" applyBorder="1" applyAlignment="1">
      <alignment horizontal="center" vertical="center" wrapText="1"/>
    </xf>
    <xf numFmtId="17" fontId="252" fillId="104" borderId="307" xfId="0" applyNumberFormat="1" applyFont="1" applyFill="1" applyBorder="1" applyAlignment="1">
      <alignment horizontal="center" vertical="center" wrapText="1"/>
    </xf>
    <xf numFmtId="0" fontId="51" fillId="9" borderId="36" xfId="7" applyFont="1" applyFill="1" applyBorder="1" applyAlignment="1">
      <alignment horizontal="left"/>
    </xf>
    <xf numFmtId="0" fontId="51" fillId="9" borderId="27" xfId="7" applyFont="1" applyFill="1" applyBorder="1" applyAlignment="1">
      <alignment horizontal="left"/>
    </xf>
    <xf numFmtId="0" fontId="51" fillId="9" borderId="59" xfId="7" applyFont="1" applyFill="1" applyBorder="1" applyAlignment="1">
      <alignment horizontal="left"/>
    </xf>
    <xf numFmtId="0" fontId="51" fillId="9" borderId="36" xfId="0" applyFont="1" applyFill="1" applyBorder="1" applyAlignment="1">
      <alignment horizontal="left"/>
    </xf>
    <xf numFmtId="0" fontId="51" fillId="9" borderId="27" xfId="0" applyFont="1" applyFill="1" applyBorder="1" applyAlignment="1">
      <alignment horizontal="left"/>
    </xf>
    <xf numFmtId="0" fontId="51" fillId="9" borderId="59" xfId="0" applyFont="1" applyFill="1" applyBorder="1" applyAlignment="1">
      <alignment horizontal="left"/>
    </xf>
    <xf numFmtId="0" fontId="51" fillId="9" borderId="23" xfId="0" applyFont="1" applyFill="1" applyBorder="1" applyAlignment="1">
      <alignment horizontal="left"/>
    </xf>
    <xf numFmtId="0" fontId="51" fillId="9" borderId="0" xfId="0" applyFont="1" applyFill="1" applyBorder="1" applyAlignment="1">
      <alignment horizontal="left"/>
    </xf>
    <xf numFmtId="0" fontId="51" fillId="9" borderId="35" xfId="0" applyFont="1" applyFill="1" applyBorder="1" applyAlignment="1">
      <alignment horizontal="left"/>
    </xf>
    <xf numFmtId="0" fontId="51" fillId="9" borderId="29" xfId="0" applyFont="1" applyFill="1" applyBorder="1" applyAlignment="1">
      <alignment horizontal="left"/>
    </xf>
    <xf numFmtId="0" fontId="51" fillId="9" borderId="30" xfId="0" applyFont="1" applyFill="1" applyBorder="1" applyAlignment="1">
      <alignment horizontal="left"/>
    </xf>
    <xf numFmtId="0" fontId="49" fillId="9" borderId="0" xfId="7" applyFont="1" applyFill="1" applyAlignment="1">
      <alignment horizontal="center"/>
    </xf>
    <xf numFmtId="0" fontId="282" fillId="0" borderId="0" xfId="0" applyFont="1" applyAlignment="1">
      <alignment horizontal="center" vertical="center"/>
    </xf>
    <xf numFmtId="0" fontId="282" fillId="0" borderId="33" xfId="0" applyFont="1" applyBorder="1" applyAlignment="1">
      <alignment horizontal="center" vertical="center"/>
    </xf>
    <xf numFmtId="0" fontId="30" fillId="72" borderId="35" xfId="0" applyFont="1" applyFill="1" applyBorder="1" applyAlignment="1">
      <alignment horizontal="center" vertical="center" wrapText="1"/>
    </xf>
    <xf numFmtId="0" fontId="30" fillId="72" borderId="29" xfId="0" applyFont="1" applyFill="1" applyBorder="1" applyAlignment="1">
      <alignment horizontal="center" vertical="center" wrapText="1"/>
    </xf>
    <xf numFmtId="0" fontId="30" fillId="72" borderId="30" xfId="0" applyFont="1" applyFill="1" applyBorder="1" applyAlignment="1">
      <alignment horizontal="center" vertical="center" wrapText="1"/>
    </xf>
    <xf numFmtId="172" fontId="70" fillId="14" borderId="27" xfId="0" applyNumberFormat="1" applyFont="1" applyFill="1" applyBorder="1" applyAlignment="1">
      <alignment horizontal="center" vertical="center"/>
    </xf>
    <xf numFmtId="172" fontId="7" fillId="16" borderId="0" xfId="0" applyNumberFormat="1" applyFont="1" applyFill="1" applyBorder="1" applyAlignment="1">
      <alignment horizontal="left" vertical="center"/>
    </xf>
    <xf numFmtId="172" fontId="7" fillId="16" borderId="0" xfId="0" applyNumberFormat="1" applyFont="1" applyFill="1" applyBorder="1" applyAlignment="1">
      <alignment horizontal="left" vertical="center" wrapText="1"/>
    </xf>
    <xf numFmtId="172" fontId="39" fillId="32" borderId="27" xfId="0" applyNumberFormat="1" applyFont="1" applyFill="1" applyBorder="1" applyAlignment="1">
      <alignment horizontal="center" vertical="center" wrapText="1"/>
    </xf>
    <xf numFmtId="172" fontId="39" fillId="32" borderId="276" xfId="0" applyNumberFormat="1" applyFont="1" applyFill="1" applyBorder="1" applyAlignment="1">
      <alignment horizontal="center" vertical="center" wrapText="1"/>
    </xf>
    <xf numFmtId="0" fontId="39" fillId="39" borderId="6" xfId="0" applyFont="1" applyFill="1" applyBorder="1" applyAlignment="1">
      <alignment horizontal="left" vertical="center"/>
    </xf>
    <xf numFmtId="2" fontId="347" fillId="72"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9" fillId="24" borderId="129" xfId="0" applyNumberFormat="1" applyFont="1" applyFill="1" applyBorder="1" applyAlignment="1">
      <alignment horizontal="center" vertical="center"/>
    </xf>
    <xf numFmtId="1" fontId="19" fillId="24" borderId="46" xfId="0" applyNumberFormat="1" applyFont="1" applyFill="1" applyBorder="1" applyAlignment="1">
      <alignment horizontal="center" vertical="center"/>
    </xf>
    <xf numFmtId="0" fontId="19" fillId="24" borderId="42" xfId="0" applyFont="1" applyFill="1" applyBorder="1" applyAlignment="1">
      <alignment horizontal="center" vertical="center"/>
    </xf>
    <xf numFmtId="0" fontId="19" fillId="24" borderId="47" xfId="0" applyFont="1" applyFill="1" applyBorder="1" applyAlignment="1">
      <alignment horizontal="center" vertical="center"/>
    </xf>
    <xf numFmtId="0" fontId="19" fillId="0" borderId="275" xfId="0" applyFont="1" applyFill="1" applyBorder="1" applyAlignment="1">
      <alignment horizontal="center" vertical="center"/>
    </xf>
    <xf numFmtId="0" fontId="19" fillId="0" borderId="339" xfId="0" applyFont="1" applyFill="1" applyBorder="1" applyAlignment="1">
      <alignment horizontal="center" vertical="center"/>
    </xf>
    <xf numFmtId="0" fontId="22" fillId="3" borderId="41" xfId="0" applyFont="1" applyFill="1" applyBorder="1" applyAlignment="1">
      <alignment horizontal="center" vertical="center" wrapText="1"/>
    </xf>
    <xf numFmtId="0" fontId="22" fillId="3" borderId="8" xfId="0" applyFont="1" applyFill="1" applyBorder="1" applyAlignment="1">
      <alignment horizontal="center" vertical="center" wrapText="1"/>
    </xf>
    <xf numFmtId="172" fontId="7" fillId="13" borderId="23" xfId="0" applyNumberFormat="1" applyFont="1" applyFill="1" applyBorder="1" applyAlignment="1">
      <alignment horizontal="center" vertical="center"/>
    </xf>
    <xf numFmtId="172" fontId="7" fillId="13" borderId="0" xfId="0" applyNumberFormat="1" applyFont="1" applyFill="1" applyBorder="1" applyAlignment="1">
      <alignment horizontal="center" vertical="center"/>
    </xf>
    <xf numFmtId="172" fontId="7" fillId="13" borderId="7" xfId="0" applyNumberFormat="1" applyFont="1" applyFill="1" applyBorder="1" applyAlignment="1">
      <alignment horizontal="center" vertical="center"/>
    </xf>
    <xf numFmtId="0" fontId="6" fillId="16" borderId="255" xfId="0" applyFont="1" applyFill="1" applyBorder="1" applyAlignment="1">
      <alignment horizontal="center"/>
    </xf>
    <xf numFmtId="0" fontId="6" fillId="16" borderId="33" xfId="0" applyFont="1" applyFill="1" applyBorder="1" applyAlignment="1">
      <alignment horizontal="center"/>
    </xf>
    <xf numFmtId="0" fontId="6" fillId="13" borderId="439" xfId="0" applyFont="1" applyFill="1" applyBorder="1" applyAlignment="1">
      <alignment horizontal="center" vertical="center"/>
    </xf>
    <xf numFmtId="0" fontId="6" fillId="13" borderId="282" xfId="0" applyFont="1" applyFill="1" applyBorder="1" applyAlignment="1">
      <alignment horizontal="center" vertical="center"/>
    </xf>
    <xf numFmtId="0" fontId="14"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304" fillId="0" borderId="13" xfId="4" applyFont="1" applyFill="1" applyBorder="1" applyAlignment="1" applyProtection="1">
      <alignment horizontal="center" vertical="center" wrapText="1"/>
    </xf>
    <xf numFmtId="0" fontId="18" fillId="0" borderId="53" xfId="0" applyFont="1" applyFill="1" applyBorder="1" applyAlignment="1">
      <alignment vertical="center" wrapText="1"/>
    </xf>
    <xf numFmtId="0" fontId="18" fillId="0" borderId="56" xfId="0" applyFont="1" applyFill="1" applyBorder="1" applyAlignment="1">
      <alignment vertical="center" wrapText="1"/>
    </xf>
    <xf numFmtId="0" fontId="5" fillId="0" borderId="311" xfId="0" applyFont="1" applyBorder="1" applyAlignment="1">
      <alignment horizontal="center" vertical="center"/>
    </xf>
    <xf numFmtId="0" fontId="5" fillId="0" borderId="312" xfId="0" applyFont="1" applyBorder="1" applyAlignment="1">
      <alignment horizontal="center" vertical="center"/>
    </xf>
    <xf numFmtId="0" fontId="35" fillId="0" borderId="0" xfId="16" applyFont="1" applyFill="1" applyAlignment="1">
      <alignment horizontal="center" vertical="center" wrapText="1"/>
    </xf>
    <xf numFmtId="0" fontId="36" fillId="0" borderId="68" xfId="0" applyFont="1" applyBorder="1" applyAlignment="1">
      <alignment horizontal="center" vertical="center" wrapText="1"/>
    </xf>
    <xf numFmtId="0" fontId="36" fillId="0" borderId="70" xfId="0" applyFont="1" applyBorder="1" applyAlignment="1">
      <alignment horizontal="center" vertical="center" wrapText="1"/>
    </xf>
    <xf numFmtId="0" fontId="36" fillId="0" borderId="82" xfId="0" applyFont="1" applyBorder="1" applyAlignment="1">
      <alignment horizontal="center" vertical="center" wrapText="1"/>
    </xf>
    <xf numFmtId="0" fontId="36" fillId="0" borderId="71" xfId="0" applyFont="1" applyBorder="1" applyAlignment="1">
      <alignment horizontal="center" vertical="center" wrapText="1"/>
    </xf>
    <xf numFmtId="0" fontId="106" fillId="0" borderId="30" xfId="0" applyFont="1" applyBorder="1" applyAlignment="1">
      <alignment horizontal="center" vertical="center" wrapText="1"/>
    </xf>
    <xf numFmtId="0" fontId="106" fillId="0" borderId="7" xfId="0" applyFont="1" applyBorder="1" applyAlignment="1">
      <alignment horizontal="center" vertical="center" wrapText="1"/>
    </xf>
    <xf numFmtId="0" fontId="19" fillId="0" borderId="0" xfId="0" applyFont="1" applyAlignment="1">
      <alignment horizontal="center" vertical="center"/>
    </xf>
    <xf numFmtId="0" fontId="19" fillId="0" borderId="23" xfId="0" applyFont="1" applyBorder="1" applyAlignment="1">
      <alignment horizontal="center" vertical="center"/>
    </xf>
    <xf numFmtId="0" fontId="19" fillId="0" borderId="0" xfId="0" applyFont="1" applyBorder="1" applyAlignment="1">
      <alignment horizontal="center" vertical="center"/>
    </xf>
    <xf numFmtId="0" fontId="274" fillId="0" borderId="0" xfId="83" applyFont="1" applyFill="1" applyAlignment="1">
      <alignment horizontal="left"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0" fillId="0" borderId="0" xfId="0" applyAlignment="1">
      <alignment horizontal="center"/>
    </xf>
    <xf numFmtId="17" fontId="14"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0" fillId="0" borderId="0" xfId="0" applyAlignment="1">
      <alignment horizontal="center" vertical="top" wrapText="1"/>
    </xf>
    <xf numFmtId="0" fontId="11" fillId="0" borderId="0" xfId="0" applyFont="1" applyAlignment="1">
      <alignment horizontal="left" vertical="center" wrapText="1"/>
    </xf>
    <xf numFmtId="0" fontId="35" fillId="28" borderId="0" xfId="0" applyFont="1" applyFill="1" applyAlignment="1">
      <alignment horizontal="center"/>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a"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cellStyle name="Hipervínculo" xfId="4" builtinId="8"/>
    <cellStyle name="Hipervínculo 2" xfId="8"/>
    <cellStyle name="Hipervínculo 3" xfId="11"/>
    <cellStyle name="Hipervínculo 4" xfId="83"/>
    <cellStyle name="Incorrecto" xfId="33" builtinId="27" customBuiltin="1"/>
    <cellStyle name="Millares" xfId="1" builtinId="3"/>
    <cellStyle name="Millares 2" xfId="14"/>
    <cellStyle name="Millares 3" xfId="90"/>
    <cellStyle name="Millares 3 2" xfId="102"/>
    <cellStyle name="Millares 3 3" xfId="104"/>
    <cellStyle name="Moneda" xfId="3" builtinId="4"/>
    <cellStyle name="Neutral" xfId="34" builtinId="28" customBuiltin="1"/>
    <cellStyle name="Normal" xfId="0" builtinId="0"/>
    <cellStyle name="Normal 10" xfId="84"/>
    <cellStyle name="Normal 10 2" xfId="97"/>
    <cellStyle name="Normal 11" xfId="85"/>
    <cellStyle name="Normal 11 2" xfId="98"/>
    <cellStyle name="Normal 12" xfId="87"/>
    <cellStyle name="Normal 12 2" xfId="99"/>
    <cellStyle name="Normal 13" xfId="88"/>
    <cellStyle name="Normal 13 2" xfId="100"/>
    <cellStyle name="Normal 14" xfId="89"/>
    <cellStyle name="Normal 14 2" xfId="101"/>
    <cellStyle name="Normal 15" xfId="91"/>
    <cellStyle name="Normal 15 2" xfId="103"/>
    <cellStyle name="Normal 16" xfId="105"/>
    <cellStyle name="Normal 2" xfId="5"/>
    <cellStyle name="Normal 2 2" xfId="10"/>
    <cellStyle name="Normal 2 2 2" xfId="18"/>
    <cellStyle name="Normal 2 3" xfId="21"/>
    <cellStyle name="Normal 2 4" xfId="25"/>
    <cellStyle name="Normal 3" xfId="9"/>
    <cellStyle name="Normal 3 2" xfId="19"/>
    <cellStyle name="Normal 3 3" xfId="92"/>
    <cellStyle name="Normal 4" xfId="13"/>
    <cellStyle name="Normal 5" xfId="17"/>
    <cellStyle name="Normal 5 2" xfId="22"/>
    <cellStyle name="Normal 6" xfId="24"/>
    <cellStyle name="Normal 6 2" xfId="94"/>
    <cellStyle name="Normal 7" xfId="26"/>
    <cellStyle name="Normal 7 2" xfId="95"/>
    <cellStyle name="Normal 8" xfId="67"/>
    <cellStyle name="Normal 8 2" xfId="96"/>
    <cellStyle name="Normal 9" xfId="7"/>
    <cellStyle name="Normal_llegadas 2007-2013 (octubre)" xfId="86"/>
    <cellStyle name="Normal_Lugares Quito" xfId="23"/>
    <cellStyle name="Notas" xfId="41" builtinId="10" customBuiltin="1"/>
    <cellStyle name="Porcentaje" xfId="2" builtinId="5"/>
    <cellStyle name="Porcentaje 2" xfId="12"/>
    <cellStyle name="Porcentaje 2 2" xfId="20"/>
    <cellStyle name="Porcentaje 2 3" xfId="93"/>
    <cellStyle name="Porcentaje 3" xfId="15"/>
    <cellStyle name="Salida" xfId="36" builtinId="21" customBuiltin="1"/>
    <cellStyle name="style1416211455668" xfId="68"/>
    <cellStyle name="style1416211456168" xfId="69"/>
    <cellStyle name="style1416211456184" xfId="70"/>
    <cellStyle name="style1440439133965" xfId="77"/>
    <cellStyle name="style1440439134015" xfId="78"/>
    <cellStyle name="style1440439134536" xfId="74"/>
    <cellStyle name="style1440439134576" xfId="71"/>
    <cellStyle name="style1440439134606" xfId="76"/>
    <cellStyle name="style1440439134656" xfId="73"/>
    <cellStyle name="style1440439134786" xfId="75"/>
    <cellStyle name="style1440439134806" xfId="81"/>
    <cellStyle name="style1440439134826" xfId="72"/>
    <cellStyle name="style1440439134866" xfId="82"/>
    <cellStyle name="style1440439135458" xfId="79"/>
    <cellStyle name="style1440439135648" xfId="8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353">
    <dxf>
      <fill>
        <patternFill patternType="solid">
          <fgColor indexed="64"/>
          <bgColor rgb="FFCECECE"/>
        </patternFill>
      </fill>
      <alignment horizontal="center" vertical="bottom" textRotation="0" wrapText="1" indent="0" justifyLastLine="0" shrinkToFit="0" readingOrder="0"/>
    </dxf>
    <dxf>
      <fill>
        <patternFill patternType="solid">
          <fgColor indexed="64"/>
          <bgColor rgb="FFCECECE"/>
        </patternFill>
      </fill>
      <alignment horizontal="center" vertical="bottom" textRotation="0" wrapText="1" indent="0" justifyLastLine="0" shrinkToFit="0" readingOrder="0"/>
    </dxf>
    <dxf>
      <fill>
        <patternFill patternType="solid">
          <fgColor indexed="64"/>
          <bgColor rgb="FFCECECE"/>
        </patternFill>
      </fill>
      <alignment horizontal="center" vertical="bottom" textRotation="0" wrapText="1" indent="0" justifyLastLine="0" shrinkToFit="0" readingOrder="0"/>
    </dxf>
    <dxf>
      <fill>
        <patternFill patternType="solid">
          <fgColor indexed="64"/>
          <bgColor rgb="FFCECECE"/>
        </patternFill>
      </fill>
      <alignment horizontal="center" vertical="bottom" textRotation="0" wrapText="1" indent="0" justifyLastLine="0" shrinkToFit="0" readingOrder="0"/>
    </dxf>
    <dxf>
      <fill>
        <patternFill patternType="solid">
          <fgColor indexed="64"/>
          <bgColor rgb="FFCECECE"/>
        </patternFill>
      </fill>
      <alignment horizontal="center" vertical="bottom" textRotation="0" wrapText="1" indent="0" justifyLastLine="0" shrinkToFit="0" readingOrder="0"/>
    </dxf>
    <dxf>
      <border outline="0">
        <left style="thick">
          <color rgb="FF000000"/>
        </left>
        <right style="thick">
          <color rgb="FF000000"/>
        </right>
        <top style="thick">
          <color rgb="FF000000"/>
        </top>
      </border>
    </dxf>
    <dxf>
      <fill>
        <patternFill patternType="solid">
          <fgColor indexed="64"/>
          <bgColor rgb="FFCECECE"/>
        </patternFill>
      </fill>
      <alignment horizontal="center" vertical="bottom" textRotation="0" wrapText="1" indent="0" justifyLastLine="0" shrinkToFit="0" readingOrder="0"/>
    </dxf>
    <dxf>
      <font>
        <b/>
        <i val="0"/>
        <strike val="0"/>
        <condense val="0"/>
        <extend val="0"/>
        <outline val="0"/>
        <shadow val="0"/>
        <u val="none"/>
        <vertAlign val="baseline"/>
        <sz val="11"/>
        <color rgb="FFFFFFFF"/>
        <name val="Calibri"/>
        <scheme val="minor"/>
      </font>
      <fill>
        <patternFill patternType="solid">
          <fgColor indexed="64"/>
          <bgColor rgb="FF186AA5"/>
        </patternFill>
      </fill>
      <alignment horizontal="center" vertical="center" textRotation="0" wrapText="1" indent="0" justifyLastLine="0" shrinkToFit="0" readingOrder="0"/>
    </dxf>
    <dxf>
      <fill>
        <patternFill patternType="solid">
          <bgColor theme="6" tint="0.39997558519241921"/>
        </patternFill>
      </fill>
    </dxf>
    <dxf>
      <fill>
        <patternFill patternType="solid">
          <bgColor theme="6" tint="0.39997558519241921"/>
        </patternFill>
      </fill>
    </dxf>
    <dxf>
      <fill>
        <patternFill>
          <bgColor theme="7" tint="0.39997558519241921"/>
        </patternFill>
      </fill>
    </dxf>
    <dxf>
      <fill>
        <patternFill>
          <bgColor theme="7" tint="0.39997558519241921"/>
        </patternFill>
      </fill>
    </dxf>
    <dxf>
      <fill>
        <patternFill patternType="solid">
          <bgColor theme="5" tint="0.79998168889431442"/>
        </patternFill>
      </fill>
    </dxf>
    <dxf>
      <fill>
        <patternFill patternType="solid">
          <bgColor theme="5" tint="0.79998168889431442"/>
        </patternFill>
      </fill>
    </dxf>
    <dxf>
      <font>
        <b/>
      </font>
    </dxf>
    <dxf>
      <font>
        <b/>
      </font>
    </dxf>
    <dxf>
      <font>
        <b/>
      </font>
    </dxf>
    <dxf>
      <alignment horizontal="center" readingOrder="0"/>
    </dxf>
    <dxf>
      <alignment horizont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rgb="FF00B0F0"/>
        </patternFill>
      </fill>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bgColor rgb="FFFFC000"/>
        </patternFill>
      </fill>
    </dxf>
    <dxf>
      <fill>
        <patternFill>
          <bgColor rgb="FFFFC000"/>
        </patternFill>
      </fill>
    </dxf>
    <dxf>
      <numFmt numFmtId="169" formatCode="_(* #,##0_);_(* \(#,##0\);_(* &quot;-&quot;??_);_(@_)"/>
    </dxf>
    <dxf>
      <numFmt numFmtId="169" formatCode="_(* #,##0_);_(* \(#,##0\);_(* &quot;-&quot;??_);_(@_)"/>
    </dxf>
    <dxf>
      <numFmt numFmtId="169" formatCode="_(* #,##0_);_(* \(#,##0\);_(* &quot;-&quot;??_);_(@_)"/>
    </dxf>
    <dxf>
      <alignment wrapText="1" readingOrder="0"/>
    </dxf>
    <dxf>
      <alignment wrapText="1" readingOrder="0"/>
    </dxf>
    <dxf>
      <alignment wrapText="1" readingOrder="0"/>
    </dxf>
    <dxf>
      <fill>
        <patternFill patternType="solid">
          <bgColor rgb="FF00B0F0"/>
        </patternFill>
      </fill>
    </dxf>
    <dxf>
      <alignment vertical="center" readingOrder="0"/>
    </dxf>
    <dxf>
      <alignment vertical="center" readingOrder="0"/>
    </dxf>
    <dxf>
      <alignment vertical="center" readingOrder="0"/>
    </dxf>
    <dxf>
      <alignment vertical="center" readingOrder="0"/>
    </dxf>
    <dxf>
      <alignment vertical="center" readingOrder="0"/>
    </dxf>
    <dxf>
      <alignment vertical="bottom" readingOrder="0"/>
    </dxf>
    <dxf>
      <alignment vertical="bottom" readingOrder="0"/>
    </dxf>
    <dxf>
      <alignment vertical="bottom" readingOrder="0"/>
    </dxf>
    <dxf>
      <alignment vertical="bottom" readingOrder="0"/>
    </dxf>
    <dxf>
      <alignment vertical="bottom"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patternType="solid">
          <bgColor theme="4" tint="0.79998168889431442"/>
        </patternFill>
      </fill>
    </dxf>
    <dxf>
      <alignment horizontal="center" readingOrder="0"/>
    </dxf>
    <dxf>
      <alignment horizontal="center" readingOrder="0"/>
    </dxf>
    <dxf>
      <alignment horizontal="center" readingOrder="0"/>
    </dxf>
    <dxf>
      <alignment horizontal="center" readingOrder="0"/>
    </dxf>
    <dxf>
      <alignment vertical="center" readingOrder="0"/>
    </dxf>
    <dxf>
      <alignment vertical="center" readingOrder="0"/>
    </dxf>
    <dxf>
      <alignment vertical="center" readingOrder="0"/>
    </dxf>
    <dxf>
      <alignment vertical="center" readingOrder="0"/>
    </dxf>
    <dxf>
      <alignment vertical="bottom" readingOrder="0"/>
    </dxf>
    <dxf>
      <alignment vertical="bottom" readingOrder="0"/>
    </dxf>
    <dxf>
      <alignment vertical="bottom" readingOrder="0"/>
    </dxf>
    <dxf>
      <alignment vertical="bottom" readingOrder="0"/>
    </dxf>
    <dxf>
      <alignment horizontal="general" readingOrder="0"/>
    </dxf>
    <dxf>
      <alignment horizontal="general" readingOrder="0"/>
    </dxf>
    <dxf>
      <alignment horizontal="general" readingOrder="0"/>
    </dxf>
    <dxf>
      <alignment horizontal="general" readingOrder="0"/>
    </dxf>
    <dxf>
      <alignment vertical="center" readingOrder="0"/>
    </dxf>
    <dxf>
      <alignment vertical="center" readingOrder="0"/>
    </dxf>
    <dxf>
      <alignment vertical="center" readingOrder="0"/>
    </dxf>
    <dxf>
      <alignment vertical="center" readingOrder="0"/>
    </dxf>
    <dxf>
      <alignment vertical="bottom" readingOrder="0"/>
    </dxf>
    <dxf>
      <alignment vertical="bottom" readingOrder="0"/>
    </dxf>
    <dxf>
      <alignment vertical="bottom" readingOrder="0"/>
    </dxf>
    <dxf>
      <alignment vertical="bottom" readingOrder="0"/>
    </dxf>
    <dxf>
      <alignment horizontal="center" readingOrder="0"/>
    </dxf>
    <dxf>
      <alignment horizontal="center" readingOrder="0"/>
    </dxf>
    <dxf>
      <alignment horizontal="center" readingOrder="0"/>
    </dxf>
    <dxf>
      <alignment horizontal="center" readingOrder="0"/>
    </dxf>
    <dxf>
      <fill>
        <patternFill>
          <bgColor theme="4" tint="0.79998168889431442"/>
        </patternFill>
      </fill>
    </dxf>
    <dxf>
      <alignment horizontal="center" readingOrder="0"/>
    </dxf>
    <dxf>
      <alignment horizontal="center" readingOrder="0"/>
    </dxf>
    <dxf>
      <alignment horizontal="center" readingOrder="0"/>
    </dxf>
    <dxf>
      <alignment vertical="center" readingOrder="0"/>
    </dxf>
    <dxf>
      <alignment vertical="center" readingOrder="0"/>
    </dxf>
    <dxf>
      <alignment vertical="center" readingOrder="0"/>
    </dxf>
    <dxf>
      <alignment vertic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numFmt numFmtId="3" formatCode="#,##0"/>
    </dxf>
    <dxf>
      <fill>
        <patternFill patternType="solid">
          <bgColor theme="3" tint="0.79998168889431442"/>
        </patternFill>
      </fill>
    </dxf>
    <dxf>
      <fill>
        <patternFill patternType="solid">
          <bgColor theme="3" tint="0.79998168889431442"/>
        </patternFill>
      </fill>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numFmt numFmtId="169" formatCode="_(* #,##0_);_(* \(#,##0\);_(* &quot;-&quot;??_);_(@_)"/>
    </dxf>
    <dxf>
      <numFmt numFmtId="3" formatCode="#,##0"/>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font>
        <sz val="9"/>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ill>
        <patternFill>
          <bgColor rgb="FF92D050"/>
        </patternFill>
      </fill>
    </dxf>
    <dxf>
      <fill>
        <patternFill>
          <bgColor rgb="FF00B0F0"/>
        </patternFill>
      </fill>
    </dxf>
    <dxf>
      <fill>
        <patternFill>
          <bgColor rgb="FF92D050"/>
        </patternFill>
      </fill>
    </dxf>
    <dxf>
      <fill>
        <patternFill>
          <bgColor rgb="FF00B0F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auto="1"/>
      </font>
      <fill>
        <patternFill>
          <bgColor rgb="FF00B0F0"/>
        </patternFill>
      </fill>
    </dxf>
    <dxf>
      <font>
        <color auto="1"/>
      </font>
      <fill>
        <patternFill>
          <bgColor rgb="FF00B0F0"/>
        </patternFill>
      </fill>
    </dxf>
    <dxf>
      <font>
        <color auto="1"/>
      </font>
      <fill>
        <patternFill>
          <bgColor rgb="FF00B0F0"/>
        </patternFill>
      </fill>
    </dxf>
  </dxfs>
  <tableStyles count="0" defaultTableStyle="TableStyleMedium9" defaultPivotStyle="PivotStyleLight16"/>
  <colors>
    <mruColors>
      <color rgb="FFFF9900"/>
      <color rgb="FFF29000"/>
      <color rgb="FFFFFF99"/>
      <color rgb="FF73A12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2.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pivotCacheDefinition" Target="pivotCache/pivotCacheDefinition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5.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6.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7.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47.xml"/><Relationship Id="rId1" Type="http://schemas.microsoft.com/office/2011/relationships/chartStyle" Target="style47.xml"/></Relationships>
</file>

<file path=xl/charts/_rels/chart49.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50.xml"/><Relationship Id="rId1" Type="http://schemas.microsoft.com/office/2011/relationships/chartStyle" Target="style50.xml"/></Relationships>
</file>

<file path=xl/charts/_rels/chart5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52.xml"/><Relationship Id="rId1" Type="http://schemas.microsoft.com/office/2011/relationships/chartStyle" Target="style52.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53.xml"/><Relationship Id="rId1" Type="http://schemas.microsoft.com/office/2011/relationships/chartStyle" Target="style53.xml"/></Relationships>
</file>

<file path=xl/charts/_rels/chart55.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55.xml"/><Relationship Id="rId1" Type="http://schemas.microsoft.com/office/2011/relationships/chartStyle" Target="style55.xml"/></Relationships>
</file>

<file path=xl/charts/_rels/chart57.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56.xml"/><Relationship Id="rId1" Type="http://schemas.microsoft.com/office/2011/relationships/chartStyle" Target="style56.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57.xml"/><Relationship Id="rId1" Type="http://schemas.microsoft.com/office/2011/relationships/chartStyle" Target="style57.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62.xml"/><Relationship Id="rId1" Type="http://schemas.microsoft.com/office/2011/relationships/chartStyle" Target="style62.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'Sugeridos-estancia-gasto'!$B$5:$M$5</c:f>
              <c:numCache>
                <c:formatCode>0.00</c:formatCode>
                <c:ptCount val="8"/>
                <c:pt idx="0">
                  <c:v>5.87</c:v>
                </c:pt>
                <c:pt idx="1">
                  <c:v>5.38</c:v>
                </c:pt>
                <c:pt idx="2">
                  <c:v>7.45</c:v>
                </c:pt>
                <c:pt idx="3">
                  <c:v>5.92</c:v>
                </c:pt>
                <c:pt idx="4">
                  <c:v>5.53</c:v>
                </c:pt>
                <c:pt idx="5">
                  <c:v>4.8682914931280266</c:v>
                </c:pt>
                <c:pt idx="6">
                  <c:v>5.84</c:v>
                </c:pt>
                <c:pt idx="7">
                  <c:v>5.9216582986256059</c:v>
                </c:pt>
              </c:numCache>
            </c:numRef>
          </c:val>
          <c:smooth val="0"/>
          <c:extLst xmlns:c16r2="http://schemas.microsoft.com/office/drawing/2015/06/char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412339680"/>
        <c:axId val="412339136"/>
      </c:lineChart>
      <c:catAx>
        <c:axId val="41233968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412339136"/>
        <c:crosses val="autoZero"/>
        <c:auto val="1"/>
        <c:lblAlgn val="ctr"/>
        <c:lblOffset val="100"/>
        <c:noMultiLvlLbl val="0"/>
      </c:catAx>
      <c:valAx>
        <c:axId val="412339136"/>
        <c:scaling>
          <c:orientation val="minMax"/>
        </c:scaling>
        <c:delete val="1"/>
        <c:axPos val="l"/>
        <c:numFmt formatCode="0.00" sourceLinked="1"/>
        <c:majorTickMark val="none"/>
        <c:minorTickMark val="none"/>
        <c:tickLblPos val="nextTo"/>
        <c:crossAx val="412339680"/>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'Llegadas x nacionalidad'!$IB$49:$IB$51</c:f>
          <c:strCache>
            <c:ptCount val="3"/>
            <c:pt idx="0">
              <c:v>Variación 
2017-2018</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cke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nacionalidad'!$C$52:$C$65</c15:sqref>
                  </c15:fullRef>
                </c:ext>
              </c:extLst>
              <c:f>('Llegadas x nacionalidad'!$C$52:$C$55,'Llegadas x nacionalidad'!$C$57:$C$65)</c:f>
              <c:strCache>
                <c:ptCount val="13"/>
                <c:pt idx="0">
                  <c:v>Ecuador</c:v>
                </c:pt>
                <c:pt idx="1">
                  <c:v>Estados Unidos</c:v>
                </c:pt>
                <c:pt idx="2">
                  <c:v>Colombia</c:v>
                </c:pt>
                <c:pt idx="3">
                  <c:v>España</c:v>
                </c:pt>
                <c:pt idx="4">
                  <c:v>Alemania</c:v>
                </c:pt>
                <c:pt idx="5">
                  <c:v>Canadá</c:v>
                </c:pt>
                <c:pt idx="6">
                  <c:v>Perú</c:v>
                </c:pt>
                <c:pt idx="7">
                  <c:v>Reino Unido</c:v>
                </c:pt>
                <c:pt idx="8">
                  <c:v>Argentina</c:v>
                </c:pt>
                <c:pt idx="9">
                  <c:v>Francia</c:v>
                </c:pt>
                <c:pt idx="10">
                  <c:v>Venezuela</c:v>
                </c:pt>
                <c:pt idx="11">
                  <c:v>Brasil</c:v>
                </c:pt>
                <c:pt idx="12">
                  <c:v>Holanda</c:v>
                </c:pt>
              </c:strCache>
            </c:strRef>
          </c:cat>
          <c:val>
            <c:numRef>
              <c:extLst>
                <c:ext xmlns:c15="http://schemas.microsoft.com/office/drawing/2012/chart" uri="{02D57815-91ED-43cb-92C2-25804820EDAC}">
                  <c15:fullRef>
                    <c15:sqref>'Llegadas x nacionalidad'!$IB$52:$IB$65</c15:sqref>
                  </c15:fullRef>
                </c:ext>
              </c:extLst>
              <c:f>('Llegadas x nacionalidad'!$IB$52:$IB$55,'Llegadas x nacionalidad'!$IB$57:$IB$65)</c:f>
              <c:numCache>
                <c:formatCode>0.00%</c:formatCode>
                <c:ptCount val="13"/>
                <c:pt idx="0">
                  <c:v>0.10638344417220869</c:v>
                </c:pt>
                <c:pt idx="1">
                  <c:v>4.5961492482736288E-2</c:v>
                </c:pt>
                <c:pt idx="2">
                  <c:v>3.7984986886141492E-4</c:v>
                </c:pt>
                <c:pt idx="3">
                  <c:v>0.18507138984276161</c:v>
                </c:pt>
                <c:pt idx="4">
                  <c:v>0.1299894812600344</c:v>
                </c:pt>
                <c:pt idx="5">
                  <c:v>8.7902476357076376E-2</c:v>
                </c:pt>
                <c:pt idx="6">
                  <c:v>0.11311119622111576</c:v>
                </c:pt>
                <c:pt idx="7">
                  <c:v>9.6637593224623952E-2</c:v>
                </c:pt>
                <c:pt idx="8">
                  <c:v>-5.1366870552989607E-2</c:v>
                </c:pt>
                <c:pt idx="9">
                  <c:v>9.908669179472307E-2</c:v>
                </c:pt>
                <c:pt idx="10">
                  <c:v>-0.35573411249086928</c:v>
                </c:pt>
                <c:pt idx="11">
                  <c:v>9.0180360721442865E-2</c:v>
                </c:pt>
                <c:pt idx="12">
                  <c:v>0.12243278977523131</c:v>
                </c:pt>
              </c:numCache>
            </c:numRef>
          </c:val>
          <c:smooth val="0"/>
          <c:extLst xmlns:c16r2="http://schemas.microsoft.com/office/drawing/2015/06/chart">
            <c:ext xmlns:c16="http://schemas.microsoft.com/office/drawing/2014/chart" uri="{C3380CC4-5D6E-409C-BE32-E72D297353CC}">
              <c16:uniqueId val="{00000000-C7AC-4CA6-947C-2E855FAFF270}"/>
            </c:ext>
          </c:extLst>
        </c:ser>
        <c:dLbls>
          <c:showLegendKey val="0"/>
          <c:showVal val="0"/>
          <c:showCatName val="0"/>
          <c:showSerName val="0"/>
          <c:showPercent val="0"/>
          <c:showBubbleSize val="0"/>
        </c:dLbls>
        <c:marker val="1"/>
        <c:smooth val="0"/>
        <c:axId val="400423040"/>
        <c:axId val="400415968"/>
      </c:lineChart>
      <c:catAx>
        <c:axId val="40042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00415968"/>
        <c:crosses val="autoZero"/>
        <c:auto val="1"/>
        <c:lblAlgn val="ctr"/>
        <c:lblOffset val="100"/>
        <c:noMultiLvlLbl val="0"/>
      </c:catAx>
      <c:valAx>
        <c:axId val="40041596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00423040"/>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2017-2018</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AMS'!$B$203</c:f>
              <c:strCache>
                <c:ptCount val="1"/>
                <c:pt idx="0">
                  <c:v>Variación arribos internacionales 
2017-2018</c:v>
                </c:pt>
              </c:strCache>
            </c:strRef>
          </c:tx>
          <c:spPr>
            <a:ln w="25400" cap="flat" cmpd="sng" algn="ctr">
              <a:solidFill>
                <a:schemeClr val="accent4"/>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636-43BA-94E4-F1F0B395E19E}"/>
                </c:ext>
                <c:ext xmlns:c15="http://schemas.microsoft.com/office/drawing/2012/chart" uri="{CE6537A1-D6FC-4f65-9D91-7224C49458BB}"/>
              </c:extLst>
            </c:dLbl>
            <c:dLbl>
              <c:idx val="1"/>
              <c:layout>
                <c:manualLayout>
                  <c:x val="-3.0233738426129295E-2"/>
                  <c:y val="-5.656848370143345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636-43BA-94E4-F1F0B395E19E}"/>
                </c:ext>
                <c:ext xmlns:c15="http://schemas.microsoft.com/office/drawing/2012/chart" uri="{CE6537A1-D6FC-4f65-9D91-7224C49458BB}"/>
              </c:extLst>
            </c:dLbl>
            <c:dLbl>
              <c:idx val="2"/>
              <c:layout>
                <c:manualLayout>
                  <c:x val="-2.5914632936682253E-2"/>
                  <c:y val="-4.628330484662742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636-43BA-94E4-F1F0B395E19E}"/>
                </c:ext>
                <c:ext xmlns:c15="http://schemas.microsoft.com/office/drawing/2012/chart" uri="{CE6537A1-D6FC-4f65-9D91-7224C49458BB}"/>
              </c:extLst>
            </c:dLbl>
            <c:dLbl>
              <c:idx val="3"/>
              <c:layout>
                <c:manualLayout>
                  <c:x val="-1.7276421957788168E-2"/>
                  <c:y val="-5.656848370143340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636-43BA-94E4-F1F0B395E19E}"/>
                </c:ext>
                <c:ext xmlns:c15="http://schemas.microsoft.com/office/drawing/2012/chart" uri="{CE6537A1-D6FC-4f65-9D91-7224C49458BB}"/>
              </c:extLst>
            </c:dLbl>
            <c:dLbl>
              <c:idx val="4"/>
              <c:layout>
                <c:manualLayout>
                  <c:x val="-1.727642195778822E-2"/>
                  <c:y val="-5.1425894274030368E-2"/>
                </c:manualLayout>
              </c:layout>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0">
                  <a:spAutoFit/>
                </a:bodyPr>
                <a:lstStyle/>
                <a:p>
                  <a:pPr algn="ct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636-43BA-94E4-F1F0B395E19E}"/>
                </c:ext>
                <c:ext xmlns:c15="http://schemas.microsoft.com/office/drawing/2012/chart" uri="{CE6537A1-D6FC-4f65-9D91-7224C49458BB}"/>
              </c:extLst>
            </c:dLbl>
            <c:dLbl>
              <c:idx val="5"/>
              <c:layout>
                <c:manualLayout>
                  <c:x val="-2.159552744723521E-2"/>
                  <c:y val="-5.1425894274030368E-2"/>
                </c:manualLayout>
              </c:layout>
              <c:spPr>
                <a:solidFill>
                  <a:schemeClr val="bg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636-43BA-94E4-F1F0B395E19E}"/>
                </c:ext>
                <c:ext xmlns:c15="http://schemas.microsoft.com/office/drawing/2012/chart" uri="{CE6537A1-D6FC-4f65-9D91-7224C49458BB}"/>
              </c:extLst>
            </c:dLbl>
            <c:dLbl>
              <c:idx val="6"/>
              <c:layout>
                <c:manualLayout>
                  <c:x val="-2.4474931106866573E-2"/>
                  <c:y val="-5.1425894274030368E-2"/>
                </c:manualLayout>
              </c:layout>
              <c:spPr>
                <a:solidFill>
                  <a:sysClr val="window" lastClr="FFFFFF"/>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636-43BA-94E4-F1F0B395E19E}"/>
                </c:ext>
                <c:ext xmlns:c15="http://schemas.microsoft.com/office/drawing/2012/chart" uri="{CE6537A1-D6FC-4f65-9D91-7224C49458BB}"/>
              </c:extLst>
            </c:dLbl>
            <c:dLbl>
              <c:idx val="7"/>
              <c:layout>
                <c:manualLayout>
                  <c:x val="-2.4474931106866573E-2"/>
                  <c:y val="-4.1140715419224393E-2"/>
                </c:manualLayout>
              </c:layout>
              <c:spPr>
                <a:solidFill>
                  <a:sysClr val="window" lastClr="FFFFFF"/>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636-43BA-94E4-F1F0B395E19E}"/>
                </c:ext>
                <c:ext xmlns:c15="http://schemas.microsoft.com/office/drawing/2012/chart" uri="{CE6537A1-D6FC-4f65-9D91-7224C49458BB}"/>
              </c:extLst>
            </c:dLbl>
            <c:dLbl>
              <c:idx val="8"/>
              <c:spPr>
                <a:solidFill>
                  <a:schemeClr val="bg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dLbl>
            <c:dLbl>
              <c:idx val="9"/>
              <c:spPr>
                <a:solidFill>
                  <a:schemeClr val="bg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dLbl>
            <c:dLbl>
              <c:idx val="10"/>
              <c:spPr>
                <a:solidFill>
                  <a:schemeClr val="bg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dLbl>
            <c:dLbl>
              <c:idx val="11"/>
              <c:spPr>
                <a:solidFill>
                  <a:schemeClr val="bg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AMS'!$C$200:$N$200</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AMS'!$C$203:$N$203</c:f>
              <c:numCache>
                <c:formatCode>0.00%</c:formatCode>
                <c:ptCount val="12"/>
                <c:pt idx="0">
                  <c:v>7.5865952577788942E-2</c:v>
                </c:pt>
                <c:pt idx="1">
                  <c:v>0.21630251247349785</c:v>
                </c:pt>
                <c:pt idx="2">
                  <c:v>2.7325439317531508E-3</c:v>
                </c:pt>
                <c:pt idx="3" formatCode="0.0%">
                  <c:v>9.6892149704406849E-2</c:v>
                </c:pt>
                <c:pt idx="4" formatCode="0.0%">
                  <c:v>8.537525504787058E-2</c:v>
                </c:pt>
                <c:pt idx="5" formatCode="0.0%">
                  <c:v>8.3091346162882163E-2</c:v>
                </c:pt>
                <c:pt idx="6">
                  <c:v>8.202928051358338E-2</c:v>
                </c:pt>
                <c:pt idx="7">
                  <c:v>7.5569430880519262E-2</c:v>
                </c:pt>
                <c:pt idx="8">
                  <c:v>7.8537793073880646E-2</c:v>
                </c:pt>
                <c:pt idx="9">
                  <c:v>7.5959605370000016E-2</c:v>
                </c:pt>
                <c:pt idx="10">
                  <c:v>6.5282729070090362E-2</c:v>
                </c:pt>
                <c:pt idx="11">
                  <c:v>4.3342670972760677E-2</c:v>
                </c:pt>
              </c:numCache>
            </c:numRef>
          </c:val>
          <c:smooth val="0"/>
          <c:extLst xmlns:c16r2="http://schemas.microsoft.com/office/drawing/2015/06/char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254815360"/>
        <c:axId val="254816992"/>
      </c:lineChart>
      <c:dateAx>
        <c:axId val="254815360"/>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254816992"/>
        <c:crosses val="autoZero"/>
        <c:auto val="0"/>
        <c:lblOffset val="100"/>
        <c:baseTimeUnit val="days"/>
      </c:dateAx>
      <c:valAx>
        <c:axId val="254816992"/>
        <c:scaling>
          <c:orientation val="minMax"/>
          <c:max val="0.4"/>
          <c:min val="-0.30000000000000004"/>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254815360"/>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2017-2018</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AMS'!$B$207</c:f>
              <c:strCache>
                <c:ptCount val="1"/>
                <c:pt idx="0">
                  <c:v>Variación arribos domésticos
2017-2018</c:v>
                </c:pt>
              </c:strCache>
            </c:strRef>
          </c:tx>
          <c:spPr>
            <a:ln w="22225" cap="rnd" cmpd="sng" algn="ctr">
              <a:solidFill>
                <a:schemeClr val="accent1"/>
              </a:solidFill>
              <a:round/>
            </a:ln>
            <a:effectLst/>
          </c:spPr>
          <c:marker>
            <c:symbol val="none"/>
          </c:marker>
          <c:dLbls>
            <c:dLbl>
              <c:idx val="0"/>
              <c:layout>
                <c:manualLayout>
                  <c:x val="-3.0278146241212556E-2"/>
                  <c:y val="4.6230850902472316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B65-4EF2-AC6B-0CD12C1391E7}"/>
                </c:ext>
                <c:ext xmlns:c15="http://schemas.microsoft.com/office/drawing/2012/chart" uri="{CE6537A1-D6FC-4f65-9D91-7224C49458BB}"/>
              </c:extLst>
            </c:dLbl>
            <c:dLbl>
              <c:idx val="1"/>
              <c:layout>
                <c:manualLayout>
                  <c:x val="-2.7402395432492569E-2"/>
                  <c:y val="6.164113453662976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B65-4EF2-AC6B-0CD12C1391E7}"/>
                </c:ext>
                <c:ext xmlns:c15="http://schemas.microsoft.com/office/drawing/2012/chart" uri="{CE6537A1-D6FC-4f65-9D91-7224C49458BB}"/>
              </c:extLst>
            </c:dLbl>
            <c:dLbl>
              <c:idx val="5"/>
              <c:spPr>
                <a:solidFill>
                  <a:schemeClr val="bg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dLbl>
            <c:dLbl>
              <c:idx val="6"/>
              <c:spPr>
                <a:solidFill>
                  <a:schemeClr val="bg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dLbl>
            <c:dLbl>
              <c:idx val="7"/>
              <c:spPr>
                <a:solidFill>
                  <a:schemeClr val="bg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dLbl>
            <c:dLbl>
              <c:idx val="8"/>
              <c:spPr>
                <a:solidFill>
                  <a:sysClr val="window" lastClr="FFFFFF"/>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dLbl>
            <c:dLbl>
              <c:idx val="9"/>
              <c:spPr>
                <a:solidFill>
                  <a:sysClr val="window" lastClr="FFFFFF"/>
                </a:solidFill>
                <a:ln w="25400" cap="flat" cmpd="sng" algn="ctr">
                  <a:solidFill>
                    <a:schemeClr val="accent1"/>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dLbl>
            <c:dLbl>
              <c:idx val="10"/>
              <c:spPr>
                <a:solidFill>
                  <a:schemeClr val="bg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dLbl>
            <c:dLbl>
              <c:idx val="11"/>
              <c:spPr>
                <a:solidFill>
                  <a:schemeClr val="bg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AMS'!$C$200:$N$200</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AMS'!$C$207:$N$207</c:f>
              <c:numCache>
                <c:formatCode>0.00%</c:formatCode>
                <c:ptCount val="12"/>
                <c:pt idx="0">
                  <c:v>-9.8039044796932151E-2</c:v>
                </c:pt>
                <c:pt idx="1">
                  <c:v>-5.5896628501690859E-2</c:v>
                </c:pt>
                <c:pt idx="2">
                  <c:v>-7.8189578096796719E-3</c:v>
                </c:pt>
                <c:pt idx="3" formatCode="0.0%">
                  <c:v>3.9634534572774438E-3</c:v>
                </c:pt>
                <c:pt idx="4" formatCode="0.0%">
                  <c:v>2.4040255822548096E-2</c:v>
                </c:pt>
                <c:pt idx="5" formatCode="0.0%">
                  <c:v>4.8866017568806486E-2</c:v>
                </c:pt>
                <c:pt idx="6">
                  <c:v>6.2631295029332179E-2</c:v>
                </c:pt>
                <c:pt idx="7">
                  <c:v>6.7046403803351584E-2</c:v>
                </c:pt>
                <c:pt idx="8">
                  <c:v>7.3218623888208434E-2</c:v>
                </c:pt>
                <c:pt idx="9">
                  <c:v>8.4385989539371487E-2</c:v>
                </c:pt>
                <c:pt idx="10">
                  <c:v>9.0222780635151212E-2</c:v>
                </c:pt>
                <c:pt idx="11">
                  <c:v>9.8495967738841728E-2</c:v>
                </c:pt>
              </c:numCache>
            </c:numRef>
          </c:val>
          <c:smooth val="0"/>
          <c:extLst xmlns:c16r2="http://schemas.microsoft.com/office/drawing/2015/06/char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254817536"/>
        <c:axId val="254816448"/>
      </c:lineChart>
      <c:catAx>
        <c:axId val="2548175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254816448"/>
        <c:crosses val="autoZero"/>
        <c:auto val="1"/>
        <c:lblAlgn val="ctr"/>
        <c:lblOffset val="100"/>
        <c:noMultiLvlLbl val="0"/>
      </c:catAx>
      <c:valAx>
        <c:axId val="254816448"/>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25481753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5"/>
          <c:order val="0"/>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3.3887041061843759E-2"/>
                  <c:y val="-3.375620884993005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A1F-481B-8184-0BF6B6CE2DAF}"/>
                </c:ext>
                <c:ext xmlns:c15="http://schemas.microsoft.com/office/drawing/2012/chart" uri="{CE6537A1-D6FC-4f65-9D91-7224C49458BB}"/>
              </c:extLst>
            </c:dLbl>
            <c:dLbl>
              <c:idx val="8"/>
              <c:layout>
                <c:manualLayout>
                  <c:x val="-2.2713227351983754E-3"/>
                  <c:y val="-2.919081229526207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A1F-481B-8184-0BF6B6CE2DAF}"/>
                </c:ext>
                <c:ext xmlns:c15="http://schemas.microsoft.com/office/drawing/2012/chart" uri="{CE6537A1-D6FC-4f65-9D91-7224C49458BB}"/>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AMS'!$C$190:$N$190</c:f>
              <c:numCache>
                <c:formatCode>#,##0</c:formatCode>
                <c:ptCount val="12"/>
                <c:pt idx="0">
                  <c:v>193286</c:v>
                </c:pt>
                <c:pt idx="1">
                  <c:v>201005</c:v>
                </c:pt>
                <c:pt idx="2">
                  <c:v>207903</c:v>
                </c:pt>
                <c:pt idx="3">
                  <c:v>211883</c:v>
                </c:pt>
                <c:pt idx="4">
                  <c:v>218656</c:v>
                </c:pt>
                <c:pt idx="5">
                  <c:v>228771</c:v>
                </c:pt>
                <c:pt idx="6">
                  <c:v>248997</c:v>
                </c:pt>
                <c:pt idx="7">
                  <c:v>252825</c:v>
                </c:pt>
                <c:pt idx="8">
                  <c:v>221448</c:v>
                </c:pt>
                <c:pt idx="9">
                  <c:v>221200</c:v>
                </c:pt>
                <c:pt idx="10">
                  <c:v>210007</c:v>
                </c:pt>
                <c:pt idx="11">
                  <c:v>209462</c:v>
                </c:pt>
              </c:numCache>
            </c:numRef>
          </c:val>
          <c:smooth val="0"/>
          <c:extLst xmlns:c16r2="http://schemas.microsoft.com/office/drawing/2015/06/chart">
            <c:ext xmlns:c16="http://schemas.microsoft.com/office/drawing/2014/chart" uri="{C3380CC4-5D6E-409C-BE32-E72D297353CC}">
              <c16:uniqueId val="{00000002-3A1F-481B-8184-0BF6B6CE2DAF}"/>
            </c:ext>
          </c:extLst>
        </c:ser>
        <c:ser>
          <c:idx val="14"/>
          <c:order val="1"/>
          <c:tx>
            <c:strRef>
              <c:f>'Datos Aeropuerto AMS'!$A$178</c:f>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AMS'!$C$178:$N$178</c:f>
              <c:numCache>
                <c:formatCode>#,##0</c:formatCode>
                <c:ptCount val="12"/>
                <c:pt idx="0">
                  <c:v>198203</c:v>
                </c:pt>
                <c:pt idx="1">
                  <c:v>174013</c:v>
                </c:pt>
                <c:pt idx="2">
                  <c:v>208584</c:v>
                </c:pt>
                <c:pt idx="3">
                  <c:v>198624</c:v>
                </c:pt>
                <c:pt idx="4">
                  <c:v>203115</c:v>
                </c:pt>
                <c:pt idx="5">
                  <c:v>202831</c:v>
                </c:pt>
                <c:pt idx="6">
                  <c:v>224444</c:v>
                </c:pt>
                <c:pt idx="7">
                  <c:v>236688</c:v>
                </c:pt>
                <c:pt idx="8">
                  <c:v>198656</c:v>
                </c:pt>
                <c:pt idx="9">
                  <c:v>196489</c:v>
                </c:pt>
                <c:pt idx="10">
                  <c:v>198197</c:v>
                </c:pt>
                <c:pt idx="11">
                  <c:v>207634</c:v>
                </c:pt>
              </c:numCache>
            </c:numRef>
          </c:val>
          <c:smooth val="0"/>
          <c:extLst xmlns:c16r2="http://schemas.microsoft.com/office/drawing/2015/06/chart">
            <c:ext xmlns:c16="http://schemas.microsoft.com/office/drawing/2014/chart" uri="{C3380CC4-5D6E-409C-BE32-E72D297353CC}">
              <c16:uniqueId val="{00000003-3A1F-481B-8184-0BF6B6CE2DAF}"/>
            </c:ext>
          </c:extLst>
        </c:ser>
        <c:ser>
          <c:idx val="9"/>
          <c:order val="2"/>
          <c:tx>
            <c:strRef>
              <c:f>'Datos Aeropuerto AMS'!$A$166</c:f>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('[1]Apto Arribos'!$C$162,'[1]Apto Arribos'!$D$162,'[1]Apto Arribos'!$E$162,'[1]Apto Arribos'!$F$162,'[1]Apto Arribos'!$G$162,'[1]Apto Arribos'!$H$162,'[1]Apto Arribos'!$I$162,'[1]Apto Arribos'!$J$162,'[1]Apto Arribos'!$K$162,'[1]Apto Arribos'!$L$162,'[1]Apto Arribos'!$M$162,'[1]Apto Arribos'!$N$162)</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AMS'!$C$166:$N$166</c:f>
              <c:numCache>
                <c:formatCode>#,##0</c:formatCode>
                <c:ptCount val="12"/>
                <c:pt idx="0">
                  <c:v>202546</c:v>
                </c:pt>
                <c:pt idx="1">
                  <c:v>196784</c:v>
                </c:pt>
                <c:pt idx="2">
                  <c:v>208621</c:v>
                </c:pt>
                <c:pt idx="3">
                  <c:v>178871</c:v>
                </c:pt>
                <c:pt idx="4">
                  <c:v>185656</c:v>
                </c:pt>
                <c:pt idx="5">
                  <c:v>198353</c:v>
                </c:pt>
                <c:pt idx="6">
                  <c:v>216786</c:v>
                </c:pt>
                <c:pt idx="7">
                  <c:v>223537</c:v>
                </c:pt>
                <c:pt idx="8">
                  <c:v>191574</c:v>
                </c:pt>
                <c:pt idx="9">
                  <c:v>204514</c:v>
                </c:pt>
                <c:pt idx="10">
                  <c:v>198909</c:v>
                </c:pt>
                <c:pt idx="11">
                  <c:v>202379</c:v>
                </c:pt>
              </c:numCache>
            </c:numRef>
          </c:val>
          <c:smooth val="0"/>
          <c:extLst xmlns:c16r2="http://schemas.microsoft.com/office/drawing/2015/06/chart">
            <c:ext xmlns:c16="http://schemas.microsoft.com/office/drawing/2014/chart" uri="{C3380CC4-5D6E-409C-BE32-E72D297353CC}">
              <c16:uniqueId val="{00000004-3A1F-481B-8184-0BF6B6CE2DAF}"/>
            </c:ext>
          </c:extLst>
        </c:ser>
        <c:ser>
          <c:idx val="8"/>
          <c:order val="3"/>
          <c:tx>
            <c:strRef>
              <c:f>'Datos Aeropuerto AMS'!$A$154</c:f>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A1F-481B-8184-0BF6B6CE2DAF}"/>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AMS'!$C$154:$N$154</c:f>
              <c:numCache>
                <c:formatCode>#,##0</c:formatCode>
                <c:ptCount val="12"/>
                <c:pt idx="0">
                  <c:v>227156</c:v>
                </c:pt>
                <c:pt idx="1">
                  <c:v>209511</c:v>
                </c:pt>
                <c:pt idx="2">
                  <c:v>229439</c:v>
                </c:pt>
                <c:pt idx="3">
                  <c:v>217016</c:v>
                </c:pt>
                <c:pt idx="4">
                  <c:v>218559</c:v>
                </c:pt>
                <c:pt idx="5">
                  <c:v>221696</c:v>
                </c:pt>
                <c:pt idx="6">
                  <c:v>238929</c:v>
                </c:pt>
                <c:pt idx="7">
                  <c:v>244742</c:v>
                </c:pt>
                <c:pt idx="8">
                  <c:v>219725</c:v>
                </c:pt>
                <c:pt idx="9">
                  <c:v>225866</c:v>
                </c:pt>
                <c:pt idx="10">
                  <c:v>222451</c:v>
                </c:pt>
                <c:pt idx="11">
                  <c:v>218924</c:v>
                </c:pt>
              </c:numCache>
            </c:numRef>
          </c:val>
          <c:smooth val="0"/>
          <c:extLst xmlns:c16r2="http://schemas.microsoft.com/office/drawing/2015/06/chart">
            <c:ext xmlns:c16="http://schemas.microsoft.com/office/drawing/2014/chart" uri="{C3380CC4-5D6E-409C-BE32-E72D297353CC}">
              <c16:uniqueId val="{00000006-3A1F-481B-8184-0BF6B6CE2DAF}"/>
            </c:ext>
          </c:extLst>
        </c:ser>
        <c:dLbls>
          <c:showLegendKey val="0"/>
          <c:showVal val="0"/>
          <c:showCatName val="0"/>
          <c:showSerName val="0"/>
          <c:showPercent val="0"/>
          <c:showBubbleSize val="0"/>
        </c:dLbls>
        <c:marker val="1"/>
        <c:smooth val="0"/>
        <c:axId val="254811552"/>
        <c:axId val="254812096"/>
        <c:extLst xmlns:c16r2="http://schemas.microsoft.com/office/drawing/2015/06/chart">
          <c:ext xmlns:c15="http://schemas.microsoft.com/office/drawing/2012/chart" uri="{02D57815-91ED-43cb-92C2-25804820EDAC}">
            <c15:filteredLineSeries>
              <c15:ser>
                <c:idx val="0"/>
                <c:order val="4"/>
                <c:tx>
                  <c:strRef>
                    <c:extLst xmlns:c16r2="http://schemas.microsoft.com/office/drawing/2015/06/chart">
                      <c:ex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extLst xmlns:c16r2="http://schemas.microsoft.com/office/drawing/2015/06/chart">
                      <c:ext uri="{02D57815-91ED-43cb-92C2-25804820EDAC}">
                        <c15:formulaRef>
                          <c15:sqref>'Datos Aeropuerto AMS'!$C$142:$N$142</c15:sqref>
                        </c15:formulaRef>
                      </c:ext>
                    </c:extLst>
                    <c:numCache>
                      <c:formatCode>#,##0</c:formatCode>
                      <c:ptCount val="12"/>
                      <c:pt idx="0">
                        <c:v>224104</c:v>
                      </c:pt>
                      <c:pt idx="1">
                        <c:v>217904</c:v>
                      </c:pt>
                      <c:pt idx="2">
                        <c:v>228368</c:v>
                      </c:pt>
                      <c:pt idx="3">
                        <c:v>225168</c:v>
                      </c:pt>
                      <c:pt idx="4">
                        <c:v>228471</c:v>
                      </c:pt>
                      <c:pt idx="5">
                        <c:v>228028</c:v>
                      </c:pt>
                      <c:pt idx="6">
                        <c:v>248436</c:v>
                      </c:pt>
                      <c:pt idx="7">
                        <c:v>265585</c:v>
                      </c:pt>
                      <c:pt idx="8">
                        <c:v>233291</c:v>
                      </c:pt>
                      <c:pt idx="9">
                        <c:v>238114</c:v>
                      </c:pt>
                      <c:pt idx="10">
                        <c:v>237779</c:v>
                      </c:pt>
                      <c:pt idx="11">
                        <c:v>242160</c:v>
                      </c:pt>
                    </c:numCache>
                  </c:numRef>
                </c:val>
                <c:smooth val="0"/>
                <c:extLst xmlns:c16r2="http://schemas.microsoft.com/office/drawing/2015/06/chart">
                  <c:ext xmlns:c16="http://schemas.microsoft.com/office/drawing/2014/chart" uri="{C3380CC4-5D6E-409C-BE32-E72D297353CC}">
                    <c16:uniqueId val="{00000007-3A1F-481B-8184-0BF6B6CE2DAF}"/>
                  </c:ext>
                </c:extLst>
              </c15:ser>
            </c15:filteredLineSeries>
            <c15:filteredLineSeries>
              <c15:ser>
                <c:idx val="1"/>
                <c:order val="5"/>
                <c:tx>
                  <c:strRef>
                    <c:extLst xmlns:c15="http://schemas.microsoft.com/office/drawing/2012/chart" xmlns:c16r2="http://schemas.microsoft.com/office/drawing/2015/06/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AMS'!$C$130:$N$130</c15:sqref>
                        </c15:formulaRef>
                      </c:ext>
                    </c:extLst>
                    <c:numCache>
                      <c:formatCode>#,##0</c:formatCode>
                      <c:ptCount val="12"/>
                      <c:pt idx="0">
                        <c:v>226961</c:v>
                      </c:pt>
                      <c:pt idx="1">
                        <c:v>206580</c:v>
                      </c:pt>
                      <c:pt idx="2">
                        <c:v>214075</c:v>
                      </c:pt>
                      <c:pt idx="3">
                        <c:v>209649</c:v>
                      </c:pt>
                      <c:pt idx="4">
                        <c:v>219457</c:v>
                      </c:pt>
                      <c:pt idx="5">
                        <c:v>232461</c:v>
                      </c:pt>
                      <c:pt idx="6">
                        <c:v>249133</c:v>
                      </c:pt>
                      <c:pt idx="7">
                        <c:v>264849</c:v>
                      </c:pt>
                      <c:pt idx="8">
                        <c:v>217654</c:v>
                      </c:pt>
                      <c:pt idx="9">
                        <c:v>234467</c:v>
                      </c:pt>
                      <c:pt idx="10">
                        <c:v>227309</c:v>
                      </c:pt>
                      <c:pt idx="11">
                        <c:v>224255</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8-3A1F-481B-8184-0BF6B6CE2DAF}"/>
                  </c:ext>
                </c:extLst>
              </c15:ser>
            </c15:filteredLineSeries>
            <c15:filteredLineSeries>
              <c15:ser>
                <c:idx val="2"/>
                <c:order val="6"/>
                <c:tx>
                  <c:strRef>
                    <c:extLst xmlns:c15="http://schemas.microsoft.com/office/drawing/2012/chart" xmlns:c16r2="http://schemas.microsoft.com/office/drawing/2015/06/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AMS'!$C$118:$N$118</c15:sqref>
                        </c15:formulaRef>
                      </c:ext>
                    </c:extLst>
                    <c:numCache>
                      <c:formatCode>#,##0</c:formatCode>
                      <c:ptCount val="12"/>
                      <c:pt idx="0">
                        <c:v>203214</c:v>
                      </c:pt>
                      <c:pt idx="1">
                        <c:v>192692</c:v>
                      </c:pt>
                      <c:pt idx="2">
                        <c:v>211867</c:v>
                      </c:pt>
                      <c:pt idx="3">
                        <c:v>197669</c:v>
                      </c:pt>
                      <c:pt idx="4">
                        <c:v>216284</c:v>
                      </c:pt>
                      <c:pt idx="5">
                        <c:v>223629</c:v>
                      </c:pt>
                      <c:pt idx="6">
                        <c:v>242396</c:v>
                      </c:pt>
                      <c:pt idx="7">
                        <c:v>254891</c:v>
                      </c:pt>
                      <c:pt idx="8">
                        <c:v>214382</c:v>
                      </c:pt>
                      <c:pt idx="9">
                        <c:v>223395</c:v>
                      </c:pt>
                      <c:pt idx="10">
                        <c:v>226431</c:v>
                      </c:pt>
                      <c:pt idx="11">
                        <c:v>220591</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9-3A1F-481B-8184-0BF6B6CE2DAF}"/>
                  </c:ext>
                </c:extLst>
              </c15:ser>
            </c15:filteredLineSeries>
            <c15:filteredLineSeries>
              <c15:ser>
                <c:idx val="3"/>
                <c:order val="7"/>
                <c:tx>
                  <c:strRef>
                    <c:extLst xmlns:c15="http://schemas.microsoft.com/office/drawing/2012/chart" xmlns:c16r2="http://schemas.microsoft.com/office/drawing/2015/06/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AMS'!$C$106:$N$106</c15:sqref>
                        </c15:formulaRef>
                      </c:ext>
                    </c:extLst>
                    <c:numCache>
                      <c:formatCode>#,##0</c:formatCode>
                      <c:ptCount val="12"/>
                      <c:pt idx="0">
                        <c:v>205121</c:v>
                      </c:pt>
                      <c:pt idx="1">
                        <c:v>195615</c:v>
                      </c:pt>
                      <c:pt idx="2">
                        <c:v>212847</c:v>
                      </c:pt>
                      <c:pt idx="3">
                        <c:v>208238</c:v>
                      </c:pt>
                      <c:pt idx="4">
                        <c:v>225562</c:v>
                      </c:pt>
                      <c:pt idx="5">
                        <c:v>222279</c:v>
                      </c:pt>
                      <c:pt idx="6">
                        <c:v>261518</c:v>
                      </c:pt>
                      <c:pt idx="7">
                        <c:v>269654</c:v>
                      </c:pt>
                      <c:pt idx="8">
                        <c:v>218431</c:v>
                      </c:pt>
                      <c:pt idx="9">
                        <c:v>220513</c:v>
                      </c:pt>
                      <c:pt idx="10">
                        <c:v>224357</c:v>
                      </c:pt>
                      <c:pt idx="11">
                        <c:v>222468</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A-3A1F-481B-8184-0BF6B6CE2DAF}"/>
                  </c:ext>
                </c:extLst>
              </c15:ser>
            </c15:filteredLineSeries>
            <c15:filteredLineSeries>
              <c15:ser>
                <c:idx val="4"/>
                <c:order val="8"/>
                <c:tx>
                  <c:strRef>
                    <c:extLst xmlns:c15="http://schemas.microsoft.com/office/drawing/2012/chart" xmlns:c16r2="http://schemas.microsoft.com/office/drawing/2015/06/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AMS'!$C$94:$N$94</c15:sqref>
                        </c15:formulaRef>
                      </c:ext>
                    </c:extLst>
                    <c:numCache>
                      <c:formatCode>#,##0</c:formatCode>
                      <c:ptCount val="12"/>
                      <c:pt idx="0">
                        <c:v>194969</c:v>
                      </c:pt>
                      <c:pt idx="1">
                        <c:v>186874</c:v>
                      </c:pt>
                      <c:pt idx="2">
                        <c:v>201707</c:v>
                      </c:pt>
                      <c:pt idx="3">
                        <c:v>196949</c:v>
                      </c:pt>
                      <c:pt idx="4">
                        <c:v>206686</c:v>
                      </c:pt>
                      <c:pt idx="5">
                        <c:v>213187</c:v>
                      </c:pt>
                      <c:pt idx="6">
                        <c:v>234007</c:v>
                      </c:pt>
                      <c:pt idx="7">
                        <c:v>247217</c:v>
                      </c:pt>
                      <c:pt idx="8">
                        <c:v>206176</c:v>
                      </c:pt>
                      <c:pt idx="9">
                        <c:v>211131</c:v>
                      </c:pt>
                      <c:pt idx="10">
                        <c:v>192592</c:v>
                      </c:pt>
                      <c:pt idx="11">
                        <c:v>216903</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B-3A1F-481B-8184-0BF6B6CE2DAF}"/>
                  </c:ext>
                </c:extLst>
              </c15:ser>
            </c15:filteredLineSeries>
            <c15:filteredLineSeries>
              <c15:ser>
                <c:idx val="5"/>
                <c:order val="9"/>
                <c:tx>
                  <c:strRef>
                    <c:extLst xmlns:c15="http://schemas.microsoft.com/office/drawing/2012/chart" xmlns:c16r2="http://schemas.microsoft.com/office/drawing/2015/06/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AMS'!$C$81:$N$81</c15:sqref>
                        </c15:formulaRef>
                      </c:ext>
                    </c:extLst>
                    <c:numCache>
                      <c:formatCode>#,##0</c:formatCode>
                      <c:ptCount val="12"/>
                      <c:pt idx="0">
                        <c:v>182142</c:v>
                      </c:pt>
                      <c:pt idx="1">
                        <c:v>171162</c:v>
                      </c:pt>
                      <c:pt idx="2">
                        <c:v>180785</c:v>
                      </c:pt>
                      <c:pt idx="3">
                        <c:v>190420</c:v>
                      </c:pt>
                      <c:pt idx="4">
                        <c:v>186877</c:v>
                      </c:pt>
                      <c:pt idx="5">
                        <c:v>198593</c:v>
                      </c:pt>
                      <c:pt idx="6">
                        <c:v>223319</c:v>
                      </c:pt>
                      <c:pt idx="7">
                        <c:v>228729</c:v>
                      </c:pt>
                      <c:pt idx="8">
                        <c:v>191083</c:v>
                      </c:pt>
                      <c:pt idx="9">
                        <c:v>197911</c:v>
                      </c:pt>
                      <c:pt idx="10">
                        <c:v>195938</c:v>
                      </c:pt>
                      <c:pt idx="11">
                        <c:v>205129</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C-3A1F-481B-8184-0BF6B6CE2DAF}"/>
                  </c:ext>
                </c:extLst>
              </c15:ser>
            </c15:filteredLineSeries>
            <c15:filteredLineSeries>
              <c15:ser>
                <c:idx val="6"/>
                <c:order val="10"/>
                <c:tx>
                  <c:strRef>
                    <c:extLst xmlns:c15="http://schemas.microsoft.com/office/drawing/2012/chart" xmlns:c16r2="http://schemas.microsoft.com/office/drawing/2015/06/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AMS'!$C$68:$N$68</c15:sqref>
                        </c15:formulaRef>
                      </c:ext>
                    </c:extLst>
                    <c:numCache>
                      <c:formatCode>#,##0</c:formatCode>
                      <c:ptCount val="12"/>
                      <c:pt idx="0">
                        <c:v>182111</c:v>
                      </c:pt>
                      <c:pt idx="1">
                        <c:v>157852</c:v>
                      </c:pt>
                      <c:pt idx="2">
                        <c:v>184732</c:v>
                      </c:pt>
                      <c:pt idx="3">
                        <c:v>170781</c:v>
                      </c:pt>
                      <c:pt idx="4">
                        <c:v>186270</c:v>
                      </c:pt>
                      <c:pt idx="5">
                        <c:v>185908</c:v>
                      </c:pt>
                      <c:pt idx="6">
                        <c:v>217359</c:v>
                      </c:pt>
                      <c:pt idx="7">
                        <c:v>224614</c:v>
                      </c:pt>
                      <c:pt idx="8">
                        <c:v>175580</c:v>
                      </c:pt>
                      <c:pt idx="9">
                        <c:v>189987</c:v>
                      </c:pt>
                      <c:pt idx="10">
                        <c:v>186699</c:v>
                      </c:pt>
                      <c:pt idx="11">
                        <c:v>189607</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D-3A1F-481B-8184-0BF6B6CE2DAF}"/>
                  </c:ext>
                </c:extLst>
              </c15:ser>
            </c15:filteredLineSeries>
            <c15:filteredLineSeries>
              <c15:ser>
                <c:idx val="7"/>
                <c:order val="11"/>
                <c:tx>
                  <c:strRef>
                    <c:extLst xmlns:c15="http://schemas.microsoft.com/office/drawing/2012/chart" xmlns:c16r2="http://schemas.microsoft.com/office/drawing/2015/06/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AMS'!$C$56:$N$56</c15:sqref>
                        </c15:formulaRef>
                      </c:ext>
                    </c:extLst>
                    <c:numCache>
                      <c:formatCode>#,##0</c:formatCode>
                      <c:ptCount val="12"/>
                      <c:pt idx="0">
                        <c:v>172187</c:v>
                      </c:pt>
                      <c:pt idx="1">
                        <c:v>152186</c:v>
                      </c:pt>
                      <c:pt idx="2">
                        <c:v>173128</c:v>
                      </c:pt>
                      <c:pt idx="3">
                        <c:v>165580</c:v>
                      </c:pt>
                      <c:pt idx="4">
                        <c:v>173420</c:v>
                      </c:pt>
                      <c:pt idx="5">
                        <c:v>188445</c:v>
                      </c:pt>
                      <c:pt idx="6">
                        <c:v>208143</c:v>
                      </c:pt>
                      <c:pt idx="7">
                        <c:v>213036</c:v>
                      </c:pt>
                      <c:pt idx="8">
                        <c:v>168023</c:v>
                      </c:pt>
                      <c:pt idx="9">
                        <c:v>177416</c:v>
                      </c:pt>
                      <c:pt idx="10">
                        <c:v>168490</c:v>
                      </c:pt>
                      <c:pt idx="11">
                        <c:v>168485</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E-3A1F-481B-8184-0BF6B6CE2DAF}"/>
                  </c:ext>
                </c:extLst>
              </c15:ser>
            </c15:filteredLineSeries>
            <c15:filteredLineSeries>
              <c15:ser>
                <c:idx val="10"/>
                <c:order val="12"/>
                <c:tx>
                  <c:strRef>
                    <c:extLst xmlns:c15="http://schemas.microsoft.com/office/drawing/2012/chart" xmlns:c16r2="http://schemas.microsoft.com/office/drawing/2015/06/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AMS'!$C$43:$N$43</c15:sqref>
                        </c15:formulaRef>
                      </c:ext>
                    </c:extLst>
                    <c:numCache>
                      <c:formatCode>#,##0</c:formatCode>
                      <c:ptCount val="12"/>
                      <c:pt idx="0">
                        <c:v>142941</c:v>
                      </c:pt>
                      <c:pt idx="1">
                        <c:v>130011</c:v>
                      </c:pt>
                      <c:pt idx="2">
                        <c:v>146534</c:v>
                      </c:pt>
                      <c:pt idx="3">
                        <c:v>138848</c:v>
                      </c:pt>
                      <c:pt idx="4">
                        <c:v>146689</c:v>
                      </c:pt>
                      <c:pt idx="5">
                        <c:v>154539</c:v>
                      </c:pt>
                      <c:pt idx="6">
                        <c:v>185816</c:v>
                      </c:pt>
                      <c:pt idx="7">
                        <c:v>188918</c:v>
                      </c:pt>
                      <c:pt idx="8">
                        <c:v>159604</c:v>
                      </c:pt>
                      <c:pt idx="9">
                        <c:v>156838</c:v>
                      </c:pt>
                      <c:pt idx="10">
                        <c:v>162218</c:v>
                      </c:pt>
                      <c:pt idx="11">
                        <c:v>182755</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F-3A1F-481B-8184-0BF6B6CE2DAF}"/>
                  </c:ext>
                </c:extLst>
              </c15:ser>
            </c15:filteredLineSeries>
            <c15:filteredLineSeries>
              <c15:ser>
                <c:idx val="11"/>
                <c:order val="13"/>
                <c:tx>
                  <c:strRef>
                    <c:extLst xmlns:c15="http://schemas.microsoft.com/office/drawing/2012/chart" xmlns:c16r2="http://schemas.microsoft.com/office/drawing/2015/06/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AMS'!$C$30:$N$30</c15:sqref>
                        </c15:formulaRef>
                      </c:ext>
                    </c:extLst>
                    <c:numCache>
                      <c:formatCode>#,##0</c:formatCode>
                      <c:ptCount val="12"/>
                      <c:pt idx="0">
                        <c:v>129715</c:v>
                      </c:pt>
                      <c:pt idx="1">
                        <c:v>115593</c:v>
                      </c:pt>
                      <c:pt idx="2">
                        <c:v>132025</c:v>
                      </c:pt>
                      <c:pt idx="3">
                        <c:v>114944</c:v>
                      </c:pt>
                      <c:pt idx="4">
                        <c:v>127100</c:v>
                      </c:pt>
                      <c:pt idx="5">
                        <c:v>138480</c:v>
                      </c:pt>
                      <c:pt idx="6">
                        <c:v>147362</c:v>
                      </c:pt>
                      <c:pt idx="7">
                        <c:v>151913</c:v>
                      </c:pt>
                      <c:pt idx="8">
                        <c:v>134391</c:v>
                      </c:pt>
                      <c:pt idx="9">
                        <c:v>135048</c:v>
                      </c:pt>
                      <c:pt idx="10">
                        <c:v>138291</c:v>
                      </c:pt>
                      <c:pt idx="11">
                        <c:v>147016</c:v>
                      </c:pt>
                    </c:numCache>
                  </c:numRef>
                </c:val>
                <c:smooth val="0"/>
                <c:extLst xmlns:c15="http://schemas.microsoft.com/office/drawing/2012/chart" xmlns:c16r2="http://schemas.microsoft.com/office/drawing/2015/06/chart">
                  <c:ext xmlns:c16="http://schemas.microsoft.com/office/drawing/2014/chart" uri="{C3380CC4-5D6E-409C-BE32-E72D297353CC}">
                    <c16:uniqueId val="{00000010-3A1F-481B-8184-0BF6B6CE2DAF}"/>
                  </c:ext>
                </c:extLst>
              </c15:ser>
            </c15:filteredLineSeries>
            <c15:filteredLineSeries>
              <c15:ser>
                <c:idx val="12"/>
                <c:order val="14"/>
                <c:tx>
                  <c:strRef>
                    <c:extLst xmlns:c15="http://schemas.microsoft.com/office/drawing/2012/chart" xmlns:c16r2="http://schemas.microsoft.com/office/drawing/2015/06/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AMS'!$C$17:$N$17</c15:sqref>
                        </c15:formulaRef>
                      </c:ext>
                    </c:extLst>
                    <c:numCache>
                      <c:formatCode>#,##0</c:formatCode>
                      <c:ptCount val="12"/>
                      <c:pt idx="0">
                        <c:v>109488</c:v>
                      </c:pt>
                      <c:pt idx="1">
                        <c:v>105702</c:v>
                      </c:pt>
                      <c:pt idx="2">
                        <c:v>113602</c:v>
                      </c:pt>
                      <c:pt idx="3">
                        <c:v>110502</c:v>
                      </c:pt>
                      <c:pt idx="4">
                        <c:v>113430</c:v>
                      </c:pt>
                      <c:pt idx="5">
                        <c:v>121547</c:v>
                      </c:pt>
                      <c:pt idx="6">
                        <c:v>139336</c:v>
                      </c:pt>
                      <c:pt idx="7">
                        <c:v>137429</c:v>
                      </c:pt>
                      <c:pt idx="8">
                        <c:v>116154</c:v>
                      </c:pt>
                      <c:pt idx="9">
                        <c:v>123269</c:v>
                      </c:pt>
                      <c:pt idx="10">
                        <c:v>123684</c:v>
                      </c:pt>
                      <c:pt idx="11">
                        <c:v>131239</c:v>
                      </c:pt>
                    </c:numCache>
                  </c:numRef>
                </c:val>
                <c:smooth val="0"/>
                <c:extLst xmlns:c15="http://schemas.microsoft.com/office/drawing/2012/chart" xmlns:c16r2="http://schemas.microsoft.com/office/drawing/2015/06/chart">
                  <c:ext xmlns:c16="http://schemas.microsoft.com/office/drawing/2014/chart" uri="{C3380CC4-5D6E-409C-BE32-E72D297353CC}">
                    <c16:uniqueId val="{00000011-3A1F-481B-8184-0BF6B6CE2DAF}"/>
                  </c:ext>
                </c:extLst>
              </c15:ser>
            </c15:filteredLineSeries>
            <c15:filteredLineSeries>
              <c15:ser>
                <c:idx val="13"/>
                <c:order val="15"/>
                <c:tx>
                  <c:strRef>
                    <c:extLst xmlns:c15="http://schemas.microsoft.com/office/drawing/2012/chart" xmlns:c16r2="http://schemas.microsoft.com/office/drawing/2015/06/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AMS'!$C$9:$N$9</c15:sqref>
                        </c15:formulaRef>
                      </c:ext>
                    </c:extLst>
                    <c:numCache>
                      <c:formatCode>_ * #,##0_ ;_ * \-#,##0_ ;_ * "-"??_ ;_ @_ </c:formatCode>
                      <c:ptCount val="12"/>
                      <c:pt idx="0">
                        <c:v>103686</c:v>
                      </c:pt>
                      <c:pt idx="1">
                        <c:v>91994</c:v>
                      </c:pt>
                      <c:pt idx="2">
                        <c:v>95475</c:v>
                      </c:pt>
                      <c:pt idx="3">
                        <c:v>97007</c:v>
                      </c:pt>
                      <c:pt idx="4">
                        <c:v>107505</c:v>
                      </c:pt>
                      <c:pt idx="5">
                        <c:v>113652</c:v>
                      </c:pt>
                      <c:pt idx="6">
                        <c:v>129058</c:v>
                      </c:pt>
                      <c:pt idx="7">
                        <c:v>129873</c:v>
                      </c:pt>
                      <c:pt idx="8">
                        <c:v>111084</c:v>
                      </c:pt>
                      <c:pt idx="9">
                        <c:v>108667</c:v>
                      </c:pt>
                      <c:pt idx="10">
                        <c:v>112309</c:v>
                      </c:pt>
                      <c:pt idx="11">
                        <c:v>114428</c:v>
                      </c:pt>
                    </c:numCache>
                  </c:numRef>
                </c:val>
                <c:smooth val="0"/>
                <c:extLst xmlns:c15="http://schemas.microsoft.com/office/drawing/2012/chart" xmlns:c16r2="http://schemas.microsoft.com/office/drawing/2015/06/chart">
                  <c:ext xmlns:c16="http://schemas.microsoft.com/office/drawing/2014/chart" uri="{C3380CC4-5D6E-409C-BE32-E72D297353CC}">
                    <c16:uniqueId val="{00000012-3A1F-481B-8184-0BF6B6CE2DAF}"/>
                  </c:ext>
                </c:extLst>
              </c15:ser>
            </c15:filteredLineSeries>
          </c:ext>
        </c:extLst>
      </c:lineChart>
      <c:catAx>
        <c:axId val="254811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54812096"/>
        <c:crosses val="autoZero"/>
        <c:auto val="1"/>
        <c:lblAlgn val="ctr"/>
        <c:lblOffset val="100"/>
        <c:noMultiLvlLbl val="0"/>
      </c:catAx>
      <c:valAx>
        <c:axId val="254812096"/>
        <c:scaling>
          <c:orientation val="minMax"/>
          <c:max val="270000"/>
          <c:min val="17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5481155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AMS'!$A$201</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5"/>
          <c:order val="0"/>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AMS'!$C$187:$N$187</c:f>
              <c:numCache>
                <c:formatCode>#,##0</c:formatCode>
                <c:ptCount val="12"/>
                <c:pt idx="0">
                  <c:v>89795</c:v>
                </c:pt>
                <c:pt idx="1">
                  <c:v>101814</c:v>
                </c:pt>
                <c:pt idx="2">
                  <c:v>90272</c:v>
                </c:pt>
                <c:pt idx="3">
                  <c:v>90685</c:v>
                </c:pt>
                <c:pt idx="4">
                  <c:v>97675</c:v>
                </c:pt>
                <c:pt idx="5">
                  <c:v>106021</c:v>
                </c:pt>
                <c:pt idx="6">
                  <c:v>114776</c:v>
                </c:pt>
                <c:pt idx="7">
                  <c:v>120648</c:v>
                </c:pt>
                <c:pt idx="8">
                  <c:v>104012</c:v>
                </c:pt>
                <c:pt idx="9">
                  <c:v>100633</c:v>
                </c:pt>
                <c:pt idx="10">
                  <c:v>92003</c:v>
                </c:pt>
                <c:pt idx="11">
                  <c:v>85370</c:v>
                </c:pt>
              </c:numCache>
            </c:numRef>
          </c:val>
          <c:smooth val="0"/>
          <c:extLst xmlns:c16r2="http://schemas.microsoft.com/office/drawing/2015/06/chart">
            <c:ext xmlns:c16="http://schemas.microsoft.com/office/drawing/2014/chart" uri="{C3380CC4-5D6E-409C-BE32-E72D297353CC}">
              <c16:uniqueId val="{00000000-E20B-4F44-825E-004BA7A65194}"/>
            </c:ext>
          </c:extLst>
        </c:ser>
        <c:ser>
          <c:idx val="14"/>
          <c:order val="1"/>
          <c:tx>
            <c:strRef>
              <c:f>'Datos Aeropuerto AMS'!$A$173:$P$173</c:f>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xmlns:c16r2="http://schemas.microsoft.com/office/drawing/2015/06/chart">
              <c:ext xmlns:c16="http://schemas.microsoft.com/office/drawing/2014/chart" uri="{C3380CC4-5D6E-409C-BE32-E72D297353CC}">
                <c16:uniqueId val="{00000001-E20B-4F44-825E-004BA7A65194}"/>
              </c:ext>
            </c:extLst>
          </c:dPt>
          <c:val>
            <c:numRef>
              <c:f>'Datos Aeropuerto AMS'!$C$175:$N$175</c:f>
              <c:numCache>
                <c:formatCode>#,##0</c:formatCode>
                <c:ptCount val="12"/>
                <c:pt idx="0">
                  <c:v>83463</c:v>
                </c:pt>
                <c:pt idx="1">
                  <c:v>74071</c:v>
                </c:pt>
                <c:pt idx="2">
                  <c:v>90026</c:v>
                </c:pt>
                <c:pt idx="3">
                  <c:v>92096</c:v>
                </c:pt>
                <c:pt idx="4">
                  <c:v>93596</c:v>
                </c:pt>
                <c:pt idx="5">
                  <c:v>98801</c:v>
                </c:pt>
                <c:pt idx="6">
                  <c:v>106597</c:v>
                </c:pt>
                <c:pt idx="7">
                  <c:v>116007</c:v>
                </c:pt>
                <c:pt idx="8">
                  <c:v>94361</c:v>
                </c:pt>
                <c:pt idx="9">
                  <c:v>95563</c:v>
                </c:pt>
                <c:pt idx="10">
                  <c:v>95832</c:v>
                </c:pt>
                <c:pt idx="11">
                  <c:v>103702</c:v>
                </c:pt>
              </c:numCache>
            </c:numRef>
          </c:val>
          <c:smooth val="0"/>
          <c:extLst xmlns:c16r2="http://schemas.microsoft.com/office/drawing/2015/06/chart">
            <c:ext xmlns:c16="http://schemas.microsoft.com/office/drawing/2014/chart" uri="{C3380CC4-5D6E-409C-BE32-E72D297353CC}">
              <c16:uniqueId val="{00000002-E20B-4F44-825E-004BA7A65194}"/>
            </c:ext>
          </c:extLst>
        </c:ser>
        <c:ser>
          <c:idx val="0"/>
          <c:order val="2"/>
          <c:tx>
            <c:strRef>
              <c:f>'Datos Aeropuerto AMS'!$A$161:$P$161</c:f>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f>'Datos Aeropuerto AMS'!$C$162:$N$162</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AMS'!$C$163:$N$163</c:f>
              <c:numCache>
                <c:formatCode>#,##0</c:formatCode>
                <c:ptCount val="12"/>
                <c:pt idx="0">
                  <c:v>91476</c:v>
                </c:pt>
                <c:pt idx="1">
                  <c:v>89410</c:v>
                </c:pt>
                <c:pt idx="2">
                  <c:v>91540</c:v>
                </c:pt>
                <c:pt idx="3">
                  <c:v>79098</c:v>
                </c:pt>
                <c:pt idx="4">
                  <c:v>82023</c:v>
                </c:pt>
                <c:pt idx="5">
                  <c:v>92423</c:v>
                </c:pt>
                <c:pt idx="6">
                  <c:v>101264</c:v>
                </c:pt>
                <c:pt idx="7">
                  <c:v>106882</c:v>
                </c:pt>
                <c:pt idx="8">
                  <c:v>86018</c:v>
                </c:pt>
                <c:pt idx="9">
                  <c:v>92148</c:v>
                </c:pt>
                <c:pt idx="10">
                  <c:v>89116</c:v>
                </c:pt>
                <c:pt idx="11">
                  <c:v>93710</c:v>
                </c:pt>
              </c:numCache>
            </c:numRef>
          </c:val>
          <c:smooth val="0"/>
          <c:extLst xmlns:c16r2="http://schemas.microsoft.com/office/drawing/2015/06/chart">
            <c:ext xmlns:c16="http://schemas.microsoft.com/office/drawing/2014/chart" uri="{C3380CC4-5D6E-409C-BE32-E72D297353CC}">
              <c16:uniqueId val="{00000003-E20B-4F44-825E-004BA7A65194}"/>
            </c:ext>
          </c:extLst>
        </c:ser>
        <c:ser>
          <c:idx val="1"/>
          <c:order val="3"/>
          <c:tx>
            <c:strRef>
              <c:f>'Datos Aeropuerto AMS'!$A$149:$P$149</c:f>
              <c:strCache>
                <c:ptCount val="16"/>
                <c:pt idx="0">
                  <c:v>ARRIVING 2015</c:v>
                </c:pt>
              </c:strCache>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f>'Datos Aeropuerto AMS'!$C$162:$N$162</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AMS'!$C$151:$N$151</c:f>
              <c:numCache>
                <c:formatCode>#,##0</c:formatCode>
                <c:ptCount val="12"/>
                <c:pt idx="0">
                  <c:v>101497</c:v>
                </c:pt>
                <c:pt idx="1">
                  <c:v>93167</c:v>
                </c:pt>
                <c:pt idx="2">
                  <c:v>95353</c:v>
                </c:pt>
                <c:pt idx="3">
                  <c:v>88814</c:v>
                </c:pt>
                <c:pt idx="4">
                  <c:v>96056</c:v>
                </c:pt>
                <c:pt idx="5">
                  <c:v>100515</c:v>
                </c:pt>
                <c:pt idx="6">
                  <c:v>109542</c:v>
                </c:pt>
                <c:pt idx="7">
                  <c:v>113575</c:v>
                </c:pt>
                <c:pt idx="8">
                  <c:v>100469</c:v>
                </c:pt>
                <c:pt idx="9">
                  <c:v>102647</c:v>
                </c:pt>
                <c:pt idx="10">
                  <c:v>106274</c:v>
                </c:pt>
                <c:pt idx="11">
                  <c:v>107422</c:v>
                </c:pt>
              </c:numCache>
            </c:numRef>
          </c:val>
          <c:smooth val="0"/>
          <c:extLst xmlns:c16r2="http://schemas.microsoft.com/office/drawing/2015/06/chart">
            <c:ext xmlns:c16="http://schemas.microsoft.com/office/drawing/2014/chart" uri="{C3380CC4-5D6E-409C-BE32-E72D297353CC}">
              <c16:uniqueId val="{00000004-E20B-4F44-825E-004BA7A65194}"/>
            </c:ext>
          </c:extLst>
        </c:ser>
        <c:dLbls>
          <c:showLegendKey val="0"/>
          <c:showVal val="0"/>
          <c:showCatName val="0"/>
          <c:showSerName val="0"/>
          <c:showPercent val="0"/>
          <c:showBubbleSize val="0"/>
        </c:dLbls>
        <c:marker val="1"/>
        <c:smooth val="0"/>
        <c:axId val="254813728"/>
        <c:axId val="254814816"/>
        <c:extLst xmlns:c16r2="http://schemas.microsoft.com/office/drawing/2015/06/chart">
          <c:ext xmlns:c15="http://schemas.microsoft.com/office/drawing/2012/chart" uri="{02D57815-91ED-43cb-92C2-25804820EDAC}">
            <c15:filteredLineSeries>
              <c15:ser>
                <c:idx val="2"/>
                <c:order val="4"/>
                <c:tx>
                  <c:strRef>
                    <c:extLst xmlns:c16r2="http://schemas.microsoft.com/office/drawing/2015/06/chart">
                      <c:ext uri="{02D57815-91ED-43cb-92C2-25804820EDAC}">
                        <c15:formulaRef>
                          <c15:sqref>'Datos Aeropuerto AMS'!$A$137:$P$137</c15:sqref>
                        </c15:formulaRef>
                      </c:ext>
                    </c:extLst>
                    <c:strCache>
                      <c:ptCount val="16"/>
                      <c:pt idx="0">
                        <c:v>ARRIVING 2014</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extLst xmlns:c16r2="http://schemas.microsoft.com/office/drawing/2015/06/chart">
                      <c:ext uri="{02D57815-91ED-43cb-92C2-25804820EDAC}">
                        <c15:formulaRef>
                          <c15:sqref>'Datos Aeropuerto AMS'!$C$139:$N$139</c15:sqref>
                        </c15:formulaRef>
                      </c:ext>
                    </c:extLst>
                    <c:numCache>
                      <c:formatCode>#,##0</c:formatCode>
                      <c:ptCount val="12"/>
                      <c:pt idx="0">
                        <c:v>85525</c:v>
                      </c:pt>
                      <c:pt idx="1">
                        <c:v>88166</c:v>
                      </c:pt>
                      <c:pt idx="2">
                        <c:v>88731</c:v>
                      </c:pt>
                      <c:pt idx="3">
                        <c:v>88078</c:v>
                      </c:pt>
                      <c:pt idx="4">
                        <c:v>93892</c:v>
                      </c:pt>
                      <c:pt idx="5">
                        <c:v>100089</c:v>
                      </c:pt>
                      <c:pt idx="6">
                        <c:v>107114</c:v>
                      </c:pt>
                      <c:pt idx="7">
                        <c:v>117359</c:v>
                      </c:pt>
                      <c:pt idx="8">
                        <c:v>97547</c:v>
                      </c:pt>
                      <c:pt idx="9">
                        <c:v>100798</c:v>
                      </c:pt>
                      <c:pt idx="10">
                        <c:v>104521</c:v>
                      </c:pt>
                      <c:pt idx="11">
                        <c:v>118872</c:v>
                      </c:pt>
                    </c:numCache>
                  </c:numRef>
                </c:val>
                <c:smooth val="0"/>
                <c:extLst xmlns:c16r2="http://schemas.microsoft.com/office/drawing/2015/06/chart">
                  <c:ext xmlns:c16="http://schemas.microsoft.com/office/drawing/2014/chart" uri="{C3380CC4-5D6E-409C-BE32-E72D297353CC}">
                    <c16:uniqueId val="{00000005-E20B-4F44-825E-004BA7A65194}"/>
                  </c:ext>
                </c:extLst>
              </c15:ser>
            </c15:filteredLineSeries>
            <c15:filteredLineSeries>
              <c15:ser>
                <c:idx val="3"/>
                <c:order val="5"/>
                <c:tx>
                  <c:strRef>
                    <c:extLst xmlns:c15="http://schemas.microsoft.com/office/drawing/2012/chart" xmlns:c16r2="http://schemas.microsoft.com/office/drawing/2015/06/chart">
                      <c:ext xmlns:c15="http://schemas.microsoft.com/office/drawing/2012/chart" uri="{02D57815-91ED-43cb-92C2-25804820EDAC}">
                        <c15:formulaRef>
                          <c15:sqref>'Datos Aeropuerto AMS'!$A$125:$P$125</c15:sqref>
                        </c15:formulaRef>
                      </c:ext>
                    </c:extLst>
                    <c:strCache>
                      <c:ptCount val="16"/>
                      <c:pt idx="0">
                        <c:v>ARRIVING 2013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AMS'!$C$127:$N$127</c15:sqref>
                        </c15:formulaRef>
                      </c:ext>
                    </c:extLst>
                    <c:numCache>
                      <c:formatCode>#,##0</c:formatCode>
                      <c:ptCount val="12"/>
                      <c:pt idx="0">
                        <c:v>77456</c:v>
                      </c:pt>
                      <c:pt idx="1">
                        <c:v>78911</c:v>
                      </c:pt>
                      <c:pt idx="2">
                        <c:v>84693</c:v>
                      </c:pt>
                      <c:pt idx="3">
                        <c:v>78076</c:v>
                      </c:pt>
                      <c:pt idx="4">
                        <c:v>83219</c:v>
                      </c:pt>
                      <c:pt idx="5">
                        <c:v>95627</c:v>
                      </c:pt>
                      <c:pt idx="6">
                        <c:v>99216</c:v>
                      </c:pt>
                      <c:pt idx="7">
                        <c:v>109120</c:v>
                      </c:pt>
                      <c:pt idx="8">
                        <c:v>89693</c:v>
                      </c:pt>
                      <c:pt idx="9">
                        <c:v>92433</c:v>
                      </c:pt>
                      <c:pt idx="10">
                        <c:v>92226</c:v>
                      </c:pt>
                      <c:pt idx="11">
                        <c:v>98513</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6-E20B-4F44-825E-004BA7A65194}"/>
                  </c:ext>
                </c:extLst>
              </c15:ser>
            </c15:filteredLineSeries>
            <c15:filteredLineSeries>
              <c15:ser>
                <c:idx val="4"/>
                <c:order val="6"/>
                <c:tx>
                  <c:strRef>
                    <c:extLst xmlns:c15="http://schemas.microsoft.com/office/drawing/2012/chart" xmlns:c16r2="http://schemas.microsoft.com/office/drawing/2015/06/chart">
                      <c:ext xmlns:c15="http://schemas.microsoft.com/office/drawing/2012/chart" uri="{02D57815-91ED-43cb-92C2-25804820EDAC}">
                        <c15:formulaRef>
                          <c15:sqref>'Datos Aeropuerto AMS'!$A$113:$P$113</c15:sqref>
                        </c15:formulaRef>
                      </c:ext>
                    </c:extLst>
                    <c:strCache>
                      <c:ptCount val="16"/>
                      <c:pt idx="0">
                        <c:v>ARRIVING 2012</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AMS'!$C$115:$N$115</c15:sqref>
                        </c15:formulaRef>
                      </c:ext>
                    </c:extLst>
                    <c:numCache>
                      <c:formatCode>#,##0</c:formatCode>
                      <c:ptCount val="12"/>
                      <c:pt idx="0">
                        <c:v>68988</c:v>
                      </c:pt>
                      <c:pt idx="1">
                        <c:v>66952</c:v>
                      </c:pt>
                      <c:pt idx="2">
                        <c:v>68840</c:v>
                      </c:pt>
                      <c:pt idx="3">
                        <c:v>65887</c:v>
                      </c:pt>
                      <c:pt idx="4">
                        <c:v>76514</c:v>
                      </c:pt>
                      <c:pt idx="5">
                        <c:v>87023</c:v>
                      </c:pt>
                      <c:pt idx="6">
                        <c:v>94462</c:v>
                      </c:pt>
                      <c:pt idx="7">
                        <c:v>101421</c:v>
                      </c:pt>
                      <c:pt idx="8">
                        <c:v>78593</c:v>
                      </c:pt>
                      <c:pt idx="9">
                        <c:v>80408</c:v>
                      </c:pt>
                      <c:pt idx="10">
                        <c:v>83850</c:v>
                      </c:pt>
                      <c:pt idx="11">
                        <c:v>89814</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7-E20B-4F44-825E-004BA7A65194}"/>
                  </c:ext>
                </c:extLst>
              </c15:ser>
            </c15:filteredLineSeries>
            <c15:filteredLineSeries>
              <c15:ser>
                <c:idx val="5"/>
                <c:order val="7"/>
                <c:tx>
                  <c:strRef>
                    <c:extLst xmlns:c15="http://schemas.microsoft.com/office/drawing/2012/chart" xmlns:c16r2="http://schemas.microsoft.com/office/drawing/2015/06/chart">
                      <c:ext xmlns:c15="http://schemas.microsoft.com/office/drawing/2012/chart" uri="{02D57815-91ED-43cb-92C2-25804820EDAC}">
                        <c15:formulaRef>
                          <c15:sqref>'Datos Aeropuerto AMS'!$A$101:$P$101</c15:sqref>
                        </c15:formulaRef>
                      </c:ext>
                    </c:extLst>
                    <c:strCache>
                      <c:ptCount val="16"/>
                      <c:pt idx="0">
                        <c:v>ARRIVING 2011</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AMS'!$C$103:$N$103</c15:sqref>
                        </c15:formulaRef>
                      </c:ext>
                    </c:extLst>
                    <c:numCache>
                      <c:formatCode>#,##0</c:formatCode>
                      <c:ptCount val="12"/>
                      <c:pt idx="0">
                        <c:v>59023</c:v>
                      </c:pt>
                      <c:pt idx="1">
                        <c:v>58283</c:v>
                      </c:pt>
                      <c:pt idx="2">
                        <c:v>65959</c:v>
                      </c:pt>
                      <c:pt idx="3">
                        <c:v>63261</c:v>
                      </c:pt>
                      <c:pt idx="4">
                        <c:v>70634</c:v>
                      </c:pt>
                      <c:pt idx="5">
                        <c:v>66915</c:v>
                      </c:pt>
                      <c:pt idx="6">
                        <c:v>89710</c:v>
                      </c:pt>
                      <c:pt idx="7">
                        <c:v>94679</c:v>
                      </c:pt>
                      <c:pt idx="8">
                        <c:v>69442</c:v>
                      </c:pt>
                      <c:pt idx="9">
                        <c:v>71399</c:v>
                      </c:pt>
                      <c:pt idx="10">
                        <c:v>77394</c:v>
                      </c:pt>
                      <c:pt idx="11">
                        <c:v>75112</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8-E20B-4F44-825E-004BA7A65194}"/>
                  </c:ext>
                </c:extLst>
              </c15:ser>
            </c15:filteredLineSeries>
            <c15:filteredLineSeries>
              <c15:ser>
                <c:idx val="6"/>
                <c:order val="8"/>
                <c:tx>
                  <c:strRef>
                    <c:extLst xmlns:c15="http://schemas.microsoft.com/office/drawing/2012/chart" xmlns:c16r2="http://schemas.microsoft.com/office/drawing/2015/06/chart">
                      <c:ext xmlns:c15="http://schemas.microsoft.com/office/drawing/2012/chart" uri="{02D57815-91ED-43cb-92C2-25804820EDAC}">
                        <c15:formulaRef>
                          <c15:sqref>'Datos Aeropuerto AMS'!$A$89:$P$89</c15:sqref>
                        </c15:formulaRef>
                      </c:ext>
                    </c:extLst>
                    <c:strCache>
                      <c:ptCount val="16"/>
                      <c:pt idx="0">
                        <c:v>ARRIVING 2010</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AMS'!$C$91:$N$91</c15:sqref>
                        </c15:formulaRef>
                      </c:ext>
                    </c:extLst>
                    <c:numCache>
                      <c:formatCode>#,##0</c:formatCode>
                      <c:ptCount val="12"/>
                      <c:pt idx="0">
                        <c:v>65079</c:v>
                      </c:pt>
                      <c:pt idx="1">
                        <c:v>62108</c:v>
                      </c:pt>
                      <c:pt idx="2">
                        <c:v>66089</c:v>
                      </c:pt>
                      <c:pt idx="3">
                        <c:v>62771</c:v>
                      </c:pt>
                      <c:pt idx="4">
                        <c:v>71474</c:v>
                      </c:pt>
                      <c:pt idx="5">
                        <c:v>78533</c:v>
                      </c:pt>
                      <c:pt idx="6">
                        <c:v>84735</c:v>
                      </c:pt>
                      <c:pt idx="7">
                        <c:v>92136</c:v>
                      </c:pt>
                      <c:pt idx="8">
                        <c:v>67798</c:v>
                      </c:pt>
                      <c:pt idx="9">
                        <c:v>67779</c:v>
                      </c:pt>
                      <c:pt idx="10">
                        <c:v>72879</c:v>
                      </c:pt>
                      <c:pt idx="11">
                        <c:v>74089</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9-E20B-4F44-825E-004BA7A65194}"/>
                  </c:ext>
                </c:extLst>
              </c15:ser>
            </c15:filteredLineSeries>
            <c15:filteredLineSeries>
              <c15:ser>
                <c:idx val="7"/>
                <c:order val="9"/>
                <c:tx>
                  <c:strRef>
                    <c:extLst xmlns:c15="http://schemas.microsoft.com/office/drawing/2012/chart" xmlns:c16r2="http://schemas.microsoft.com/office/drawing/2015/06/chart">
                      <c:ext xmlns:c15="http://schemas.microsoft.com/office/drawing/2012/chart" uri="{02D57815-91ED-43cb-92C2-25804820EDAC}">
                        <c15:formulaRef>
                          <c15:sqref>'Datos Aeropuerto AMS'!$A$76:$P$76</c15:sqref>
                        </c15:formulaRef>
                      </c:ext>
                    </c:extLst>
                    <c:strCache>
                      <c:ptCount val="16"/>
                      <c:pt idx="0">
                        <c:v>ARRIVING 2009</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AMS'!$C$78:$N$78</c15:sqref>
                        </c15:formulaRef>
                      </c:ext>
                    </c:extLst>
                    <c:numCache>
                      <c:formatCode>#,##0</c:formatCode>
                      <c:ptCount val="12"/>
                      <c:pt idx="0">
                        <c:v>61667</c:v>
                      </c:pt>
                      <c:pt idx="1">
                        <c:v>57923</c:v>
                      </c:pt>
                      <c:pt idx="2">
                        <c:v>56039</c:v>
                      </c:pt>
                      <c:pt idx="3">
                        <c:v>61932</c:v>
                      </c:pt>
                      <c:pt idx="4">
                        <c:v>61906</c:v>
                      </c:pt>
                      <c:pt idx="5">
                        <c:v>76440</c:v>
                      </c:pt>
                      <c:pt idx="6">
                        <c:v>82609</c:v>
                      </c:pt>
                      <c:pt idx="7">
                        <c:v>84240</c:v>
                      </c:pt>
                      <c:pt idx="8">
                        <c:v>64530</c:v>
                      </c:pt>
                      <c:pt idx="9">
                        <c:v>65378</c:v>
                      </c:pt>
                      <c:pt idx="10">
                        <c:v>70283</c:v>
                      </c:pt>
                      <c:pt idx="11">
                        <c:v>75928</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A-E20B-4F44-825E-004BA7A65194}"/>
                  </c:ext>
                </c:extLst>
              </c15:ser>
            </c15:filteredLineSeries>
            <c15:filteredLineSeries>
              <c15:ser>
                <c:idx val="8"/>
                <c:order val="10"/>
                <c:tx>
                  <c:strRef>
                    <c:extLst xmlns:c15="http://schemas.microsoft.com/office/drawing/2012/chart" xmlns:c16r2="http://schemas.microsoft.com/office/drawing/2015/06/chart">
                      <c:ext xmlns:c15="http://schemas.microsoft.com/office/drawing/2012/chart" uri="{02D57815-91ED-43cb-92C2-25804820EDAC}">
                        <c15:formulaRef>
                          <c15:sqref>'Datos Aeropuerto AMS'!$A$63:$P$63</c15:sqref>
                        </c15:formulaRef>
                      </c:ext>
                    </c:extLst>
                    <c:strCache>
                      <c:ptCount val="16"/>
                      <c:pt idx="0">
                        <c:v>ARRIVING 2008</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AMS'!$C$65:$N$65</c15:sqref>
                        </c15:formulaRef>
                      </c:ext>
                    </c:extLst>
                    <c:numCache>
                      <c:formatCode>#,##0</c:formatCode>
                      <c:ptCount val="12"/>
                      <c:pt idx="0">
                        <c:v>62469</c:v>
                      </c:pt>
                      <c:pt idx="1">
                        <c:v>54323</c:v>
                      </c:pt>
                      <c:pt idx="2">
                        <c:v>61086</c:v>
                      </c:pt>
                      <c:pt idx="3">
                        <c:v>52334</c:v>
                      </c:pt>
                      <c:pt idx="4">
                        <c:v>62621</c:v>
                      </c:pt>
                      <c:pt idx="5">
                        <c:v>75597</c:v>
                      </c:pt>
                      <c:pt idx="6">
                        <c:v>81495</c:v>
                      </c:pt>
                      <c:pt idx="7">
                        <c:v>84394</c:v>
                      </c:pt>
                      <c:pt idx="8">
                        <c:v>60652</c:v>
                      </c:pt>
                      <c:pt idx="9">
                        <c:v>63218</c:v>
                      </c:pt>
                      <c:pt idx="10">
                        <c:v>64764</c:v>
                      </c:pt>
                      <c:pt idx="11">
                        <c:v>68997</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B-E20B-4F44-825E-004BA7A65194}"/>
                  </c:ext>
                </c:extLst>
              </c15:ser>
            </c15:filteredLineSeries>
            <c15:filteredLineSeries>
              <c15:ser>
                <c:idx val="9"/>
                <c:order val="11"/>
                <c:tx>
                  <c:strRef>
                    <c:extLst xmlns:c15="http://schemas.microsoft.com/office/drawing/2012/chart" xmlns:c16r2="http://schemas.microsoft.com/office/drawing/2015/06/chart">
                      <c:ext xmlns:c15="http://schemas.microsoft.com/office/drawing/2012/chart" uri="{02D57815-91ED-43cb-92C2-25804820EDAC}">
                        <c15:formulaRef>
                          <c15:sqref>'Datos Aeropuerto AMS'!$A$51:$P$51</c15:sqref>
                        </c15:formulaRef>
                      </c:ext>
                    </c:extLst>
                    <c:strCache>
                      <c:ptCount val="16"/>
                      <c:pt idx="0">
                        <c:v>ARRIVING 2007</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AMS'!$C$53:$N$53</c15:sqref>
                        </c15:formulaRef>
                      </c:ext>
                    </c:extLst>
                    <c:numCache>
                      <c:formatCode>#,##0</c:formatCode>
                      <c:ptCount val="12"/>
                      <c:pt idx="0">
                        <c:v>58736</c:v>
                      </c:pt>
                      <c:pt idx="1">
                        <c:v>54429</c:v>
                      </c:pt>
                      <c:pt idx="2">
                        <c:v>59653</c:v>
                      </c:pt>
                      <c:pt idx="3">
                        <c:v>55032</c:v>
                      </c:pt>
                      <c:pt idx="4">
                        <c:v>59919</c:v>
                      </c:pt>
                      <c:pt idx="5">
                        <c:v>74358</c:v>
                      </c:pt>
                      <c:pt idx="6">
                        <c:v>82846</c:v>
                      </c:pt>
                      <c:pt idx="7">
                        <c:v>83387</c:v>
                      </c:pt>
                      <c:pt idx="8">
                        <c:v>61050</c:v>
                      </c:pt>
                      <c:pt idx="9">
                        <c:v>60695</c:v>
                      </c:pt>
                      <c:pt idx="10">
                        <c:v>59071</c:v>
                      </c:pt>
                      <c:pt idx="11">
                        <c:v>66318</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C-E20B-4F44-825E-004BA7A65194}"/>
                  </c:ext>
                </c:extLst>
              </c15:ser>
            </c15:filteredLineSeries>
            <c15:filteredLineSeries>
              <c15:ser>
                <c:idx val="10"/>
                <c:order val="12"/>
                <c:tx>
                  <c:strRef>
                    <c:extLst xmlns:c15="http://schemas.microsoft.com/office/drawing/2012/chart" xmlns:c16r2="http://schemas.microsoft.com/office/drawing/2015/06/chart">
                      <c:ext xmlns:c15="http://schemas.microsoft.com/office/drawing/2012/chart" uri="{02D57815-91ED-43cb-92C2-25804820EDAC}">
                        <c15:formulaRef>
                          <c15:sqref>'Datos Aeropuerto AMS'!$A$38:$P$38</c15:sqref>
                        </c15:formulaRef>
                      </c:ext>
                    </c:extLst>
                    <c:strCache>
                      <c:ptCount val="16"/>
                      <c:pt idx="0">
                        <c:v>ARRIVING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AMS'!$C$40:$N$40</c15:sqref>
                        </c15:formulaRef>
                      </c:ext>
                    </c:extLst>
                    <c:numCache>
                      <c:formatCode>#,##0</c:formatCode>
                      <c:ptCount val="12"/>
                      <c:pt idx="0">
                        <c:v>52660</c:v>
                      </c:pt>
                      <c:pt idx="1">
                        <c:v>49163</c:v>
                      </c:pt>
                      <c:pt idx="2">
                        <c:v>48980</c:v>
                      </c:pt>
                      <c:pt idx="3">
                        <c:v>47900</c:v>
                      </c:pt>
                      <c:pt idx="4">
                        <c:v>48075</c:v>
                      </c:pt>
                      <c:pt idx="5">
                        <c:v>59405</c:v>
                      </c:pt>
                      <c:pt idx="6">
                        <c:v>73357</c:v>
                      </c:pt>
                      <c:pt idx="7">
                        <c:v>70796</c:v>
                      </c:pt>
                      <c:pt idx="8">
                        <c:v>54319</c:v>
                      </c:pt>
                      <c:pt idx="9">
                        <c:v>53907</c:v>
                      </c:pt>
                      <c:pt idx="10">
                        <c:v>57723</c:v>
                      </c:pt>
                      <c:pt idx="11">
                        <c:v>63593</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D-E20B-4F44-825E-004BA7A65194}"/>
                  </c:ext>
                </c:extLst>
              </c15:ser>
            </c15:filteredLineSeries>
            <c15:filteredLineSeries>
              <c15:ser>
                <c:idx val="11"/>
                <c:order val="13"/>
                <c:tx>
                  <c:strRef>
                    <c:extLst xmlns:c15="http://schemas.microsoft.com/office/drawing/2012/chart" xmlns:c16r2="http://schemas.microsoft.com/office/drawing/2015/06/chart">
                      <c:ext xmlns:c15="http://schemas.microsoft.com/office/drawing/2012/chart" uri="{02D57815-91ED-43cb-92C2-25804820EDAC}">
                        <c15:formulaRef>
                          <c15:sqref>'Datos Aeropuerto AMS'!$A$25:$P$25</c15:sqref>
                        </c15:formulaRef>
                      </c:ext>
                    </c:extLst>
                    <c:strCache>
                      <c:ptCount val="16"/>
                      <c:pt idx="0">
                        <c:v>ARRIVING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AMS'!$C$27:$N$27</c15:sqref>
                        </c15:formulaRef>
                      </c:ext>
                    </c:extLst>
                    <c:numCache>
                      <c:formatCode>#,##0</c:formatCode>
                      <c:ptCount val="12"/>
                      <c:pt idx="0">
                        <c:v>52047</c:v>
                      </c:pt>
                      <c:pt idx="1">
                        <c:v>44054</c:v>
                      </c:pt>
                      <c:pt idx="2" formatCode="_ * #,##0_ ;_ * \-#,##0_ ;_ * &quot;-&quot;??_ ;_ @_ ">
                        <c:v>49971</c:v>
                      </c:pt>
                      <c:pt idx="3" formatCode="_ * #,##0_ ;_ * \-#,##0_ ;_ * &quot;-&quot;??_ ;_ @_ ">
                        <c:v>42806</c:v>
                      </c:pt>
                      <c:pt idx="4" formatCode="_ * #,##0_ ;_ * \-#,##0_ ;_ * &quot;-&quot;??_ ;_ @_ ">
                        <c:v>48804</c:v>
                      </c:pt>
                      <c:pt idx="5">
                        <c:v>55764</c:v>
                      </c:pt>
                      <c:pt idx="6" formatCode="_ * #,##0_ ;_ * \-#,##0_ ;_ * &quot;-&quot;??_ ;_ @_ ">
                        <c:v>68782</c:v>
                      </c:pt>
                      <c:pt idx="7" formatCode="_ * #,##0_ ;_ * \-#,##0_ ;_ * &quot;-&quot;??_ ;_ @_ ">
                        <c:v>66182</c:v>
                      </c:pt>
                      <c:pt idx="8" formatCode="_ * #,##0_ ;_ * \-#,##0_ ;_ * &quot;-&quot;??_ ;_ @_ ">
                        <c:v>50982</c:v>
                      </c:pt>
                      <c:pt idx="9" formatCode="_ * #,##0_ ;_ * \-#,##0_ ;_ * &quot;-&quot;??_ ;_ @_ ">
                        <c:v>49833</c:v>
                      </c:pt>
                      <c:pt idx="10">
                        <c:v>50552</c:v>
                      </c:pt>
                      <c:pt idx="11" formatCode="0">
                        <c:v>57796</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E-E20B-4F44-825E-004BA7A65194}"/>
                  </c:ext>
                </c:extLst>
              </c15:ser>
            </c15:filteredLineSeries>
            <c15:filteredLineSeries>
              <c15:ser>
                <c:idx val="12"/>
                <c:order val="14"/>
                <c:tx>
                  <c:strRef>
                    <c:extLst xmlns:c15="http://schemas.microsoft.com/office/drawing/2012/chart" xmlns:c16r2="http://schemas.microsoft.com/office/drawing/2015/06/chart">
                      <c:ext xmlns:c15="http://schemas.microsoft.com/office/drawing/2012/chart" uri="{02D57815-91ED-43cb-92C2-25804820EDAC}">
                        <c15:formulaRef>
                          <c15:sqref>'Datos Aeropuerto AMS'!$A$13:$P$13</c15:sqref>
                        </c15:formulaRef>
                      </c:ext>
                    </c:extLst>
                    <c:strCache>
                      <c:ptCount val="16"/>
                      <c:pt idx="0">
                        <c:v>ARRIVING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AMS'!$C$15:$N$15</c15:sqref>
                        </c15:formulaRef>
                      </c:ext>
                    </c:extLst>
                    <c:numCache>
                      <c:formatCode>#,##0</c:formatCode>
                      <c:ptCount val="12"/>
                      <c:pt idx="0">
                        <c:v>44030</c:v>
                      </c:pt>
                      <c:pt idx="1">
                        <c:v>42916</c:v>
                      </c:pt>
                      <c:pt idx="2">
                        <c:v>40846</c:v>
                      </c:pt>
                      <c:pt idx="3">
                        <c:v>42171</c:v>
                      </c:pt>
                      <c:pt idx="4">
                        <c:v>43648</c:v>
                      </c:pt>
                      <c:pt idx="5">
                        <c:v>50463</c:v>
                      </c:pt>
                      <c:pt idx="6">
                        <c:v>59620</c:v>
                      </c:pt>
                      <c:pt idx="7">
                        <c:v>57655</c:v>
                      </c:pt>
                      <c:pt idx="8">
                        <c:v>45429</c:v>
                      </c:pt>
                      <c:pt idx="9">
                        <c:v>49131</c:v>
                      </c:pt>
                      <c:pt idx="10">
                        <c:v>51077</c:v>
                      </c:pt>
                      <c:pt idx="11">
                        <c:v>54773</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F-E20B-4F44-825E-004BA7A65194}"/>
                  </c:ext>
                </c:extLst>
              </c15:ser>
            </c15:filteredLineSeries>
            <c15:filteredLineSeries>
              <c15:ser>
                <c:idx val="13"/>
                <c:order val="15"/>
                <c:tx>
                  <c:strRef>
                    <c:extLst xmlns:c15="http://schemas.microsoft.com/office/drawing/2012/chart" xmlns:c16r2="http://schemas.microsoft.com/office/drawing/2015/06/chart">
                      <c:ext xmlns:c15="http://schemas.microsoft.com/office/drawing/2012/chart" uri="{02D57815-91ED-43cb-92C2-25804820EDAC}">
                        <c15:formulaRef>
                          <c15:sqref>'Datos Aeropuerto AMS'!$A$5:$P$5</c15:sqref>
                        </c15:formulaRef>
                      </c:ext>
                    </c:extLst>
                    <c:strCache>
                      <c:ptCount val="16"/>
                      <c:pt idx="0">
                        <c:v>ARRIVING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AMS'!$C$7:$N$7</c15:sqref>
                        </c15:formulaRef>
                      </c:ext>
                    </c:extLst>
                    <c:numCache>
                      <c:formatCode>_ * #,##0_ ;_ * \-#,##0_ ;_ * "-"??_ ;_ @_ </c:formatCode>
                      <c:ptCount val="12"/>
                      <c:pt idx="0">
                        <c:v>42966</c:v>
                      </c:pt>
                      <c:pt idx="1">
                        <c:v>35606</c:v>
                      </c:pt>
                      <c:pt idx="2">
                        <c:v>39609</c:v>
                      </c:pt>
                      <c:pt idx="3">
                        <c:v>37827</c:v>
                      </c:pt>
                      <c:pt idx="4">
                        <c:v>41260</c:v>
                      </c:pt>
                      <c:pt idx="5">
                        <c:v>49918</c:v>
                      </c:pt>
                      <c:pt idx="6">
                        <c:v>56513</c:v>
                      </c:pt>
                      <c:pt idx="7">
                        <c:v>57298</c:v>
                      </c:pt>
                      <c:pt idx="8">
                        <c:v>46421</c:v>
                      </c:pt>
                      <c:pt idx="9">
                        <c:v>40766</c:v>
                      </c:pt>
                      <c:pt idx="10">
                        <c:v>45811</c:v>
                      </c:pt>
                      <c:pt idx="11">
                        <c:v>48300</c:v>
                      </c:pt>
                    </c:numCache>
                  </c:numRef>
                </c:val>
                <c:smooth val="0"/>
                <c:extLst xmlns:c15="http://schemas.microsoft.com/office/drawing/2012/chart" xmlns:c16r2="http://schemas.microsoft.com/office/drawing/2015/06/chart">
                  <c:ext xmlns:c16="http://schemas.microsoft.com/office/drawing/2014/chart" uri="{C3380CC4-5D6E-409C-BE32-E72D297353CC}">
                    <c16:uniqueId val="{00000010-E20B-4F44-825E-004BA7A65194}"/>
                  </c:ext>
                </c:extLst>
              </c15:ser>
            </c15:filteredLineSeries>
          </c:ext>
        </c:extLst>
      </c:lineChart>
      <c:catAx>
        <c:axId val="254813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54814816"/>
        <c:crosses val="autoZero"/>
        <c:auto val="1"/>
        <c:lblAlgn val="ctr"/>
        <c:lblOffset val="100"/>
        <c:noMultiLvlLbl val="0"/>
      </c:catAx>
      <c:valAx>
        <c:axId val="254814816"/>
        <c:scaling>
          <c:orientation val="minMax"/>
          <c:min val="6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5481372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AMS'!$A$205</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5"/>
          <c:order val="0"/>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AMS'!$C$189:$N$189</c:f>
              <c:numCache>
                <c:formatCode>#,##0</c:formatCode>
                <c:ptCount val="12"/>
                <c:pt idx="0">
                  <c:v>103491</c:v>
                </c:pt>
                <c:pt idx="1">
                  <c:v>99191</c:v>
                </c:pt>
                <c:pt idx="2">
                  <c:v>117631</c:v>
                </c:pt>
                <c:pt idx="3">
                  <c:v>121198</c:v>
                </c:pt>
                <c:pt idx="4">
                  <c:v>120981</c:v>
                </c:pt>
                <c:pt idx="5">
                  <c:v>122750</c:v>
                </c:pt>
                <c:pt idx="6">
                  <c:v>134221</c:v>
                </c:pt>
                <c:pt idx="7">
                  <c:v>132177</c:v>
                </c:pt>
                <c:pt idx="8">
                  <c:v>117436</c:v>
                </c:pt>
                <c:pt idx="9">
                  <c:v>120567</c:v>
                </c:pt>
                <c:pt idx="10">
                  <c:v>118004</c:v>
                </c:pt>
                <c:pt idx="11">
                  <c:v>124092</c:v>
                </c:pt>
              </c:numCache>
            </c:numRef>
          </c:val>
          <c:smooth val="0"/>
          <c:extLst xmlns:c16r2="http://schemas.microsoft.com/office/drawing/2015/06/chart">
            <c:ext xmlns:c16="http://schemas.microsoft.com/office/drawing/2014/chart" uri="{C3380CC4-5D6E-409C-BE32-E72D297353CC}">
              <c16:uniqueId val="{00000000-6C07-44BB-8AD6-2872F2A19E68}"/>
            </c:ext>
          </c:extLst>
        </c:ser>
        <c:ser>
          <c:idx val="14"/>
          <c:order val="1"/>
          <c:tx>
            <c:strRef>
              <c:f>'Datos Aeropuerto AMS'!$A$173:$P$173</c:f>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val>
            <c:numRef>
              <c:f>'Datos Aeropuerto AMS'!$C$177:$N$177</c:f>
              <c:numCache>
                <c:formatCode>#,##0</c:formatCode>
                <c:ptCount val="12"/>
                <c:pt idx="0">
                  <c:v>114740</c:v>
                </c:pt>
                <c:pt idx="1">
                  <c:v>99942</c:v>
                </c:pt>
                <c:pt idx="2">
                  <c:v>118558</c:v>
                </c:pt>
                <c:pt idx="3">
                  <c:v>106528</c:v>
                </c:pt>
                <c:pt idx="4">
                  <c:v>109519</c:v>
                </c:pt>
                <c:pt idx="5">
                  <c:v>104030</c:v>
                </c:pt>
                <c:pt idx="6">
                  <c:v>117847</c:v>
                </c:pt>
                <c:pt idx="7">
                  <c:v>120681</c:v>
                </c:pt>
                <c:pt idx="8">
                  <c:v>104295</c:v>
                </c:pt>
                <c:pt idx="9">
                  <c:v>100926</c:v>
                </c:pt>
                <c:pt idx="10">
                  <c:v>102365</c:v>
                </c:pt>
                <c:pt idx="11">
                  <c:v>103932</c:v>
                </c:pt>
              </c:numCache>
            </c:numRef>
          </c:val>
          <c:smooth val="0"/>
          <c:extLst xmlns:c16r2="http://schemas.microsoft.com/office/drawing/2015/06/chart">
            <c:ext xmlns:c16="http://schemas.microsoft.com/office/drawing/2014/chart" uri="{C3380CC4-5D6E-409C-BE32-E72D297353CC}">
              <c16:uniqueId val="{00000001-6C07-44BB-8AD6-2872F2A19E68}"/>
            </c:ext>
          </c:extLst>
        </c:ser>
        <c:ser>
          <c:idx val="0"/>
          <c:order val="2"/>
          <c:tx>
            <c:strRef>
              <c:f>'Datos Aeropuerto AMS'!$A$161:$P$161</c:f>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f>'Datos Aeropuerto AMS'!$C$162:$N$162</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AMS'!$C$165:$N$165</c:f>
              <c:numCache>
                <c:formatCode>#,##0</c:formatCode>
                <c:ptCount val="12"/>
                <c:pt idx="0">
                  <c:v>111070</c:v>
                </c:pt>
                <c:pt idx="1">
                  <c:v>107374</c:v>
                </c:pt>
                <c:pt idx="2">
                  <c:v>117081</c:v>
                </c:pt>
                <c:pt idx="3">
                  <c:v>99773</c:v>
                </c:pt>
                <c:pt idx="4">
                  <c:v>103633</c:v>
                </c:pt>
                <c:pt idx="5">
                  <c:v>105930</c:v>
                </c:pt>
                <c:pt idx="6">
                  <c:v>115522</c:v>
                </c:pt>
                <c:pt idx="7">
                  <c:v>116655</c:v>
                </c:pt>
                <c:pt idx="8">
                  <c:v>105556</c:v>
                </c:pt>
                <c:pt idx="9">
                  <c:v>112366</c:v>
                </c:pt>
                <c:pt idx="10">
                  <c:v>109793</c:v>
                </c:pt>
                <c:pt idx="11">
                  <c:v>108669</c:v>
                </c:pt>
              </c:numCache>
            </c:numRef>
          </c:val>
          <c:smooth val="0"/>
          <c:extLst xmlns:c16r2="http://schemas.microsoft.com/office/drawing/2015/06/chart">
            <c:ext xmlns:c16="http://schemas.microsoft.com/office/drawing/2014/chart" uri="{C3380CC4-5D6E-409C-BE32-E72D297353CC}">
              <c16:uniqueId val="{00000002-6C07-44BB-8AD6-2872F2A19E68}"/>
            </c:ext>
          </c:extLst>
        </c:ser>
        <c:ser>
          <c:idx val="1"/>
          <c:order val="3"/>
          <c:tx>
            <c:strRef>
              <c:f>'Datos Aeropuerto AMS'!$A$149:$P$149</c:f>
              <c:strCache>
                <c:ptCount val="16"/>
                <c:pt idx="0">
                  <c:v>ARRIVING 2015</c:v>
                </c:pt>
              </c:strCache>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f>'Datos Aeropuerto AMS'!$C$162:$N$162</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AMS'!$C$153:$N$153</c:f>
              <c:numCache>
                <c:formatCode>#,##0</c:formatCode>
                <c:ptCount val="12"/>
                <c:pt idx="0">
                  <c:v>125659</c:v>
                </c:pt>
                <c:pt idx="1">
                  <c:v>116344</c:v>
                </c:pt>
                <c:pt idx="2">
                  <c:v>134086</c:v>
                </c:pt>
                <c:pt idx="3">
                  <c:v>128202</c:v>
                </c:pt>
                <c:pt idx="4">
                  <c:v>122503</c:v>
                </c:pt>
                <c:pt idx="5">
                  <c:v>121181</c:v>
                </c:pt>
                <c:pt idx="6">
                  <c:v>129387</c:v>
                </c:pt>
                <c:pt idx="7">
                  <c:v>131167</c:v>
                </c:pt>
                <c:pt idx="8">
                  <c:v>119256</c:v>
                </c:pt>
                <c:pt idx="9">
                  <c:v>123219</c:v>
                </c:pt>
                <c:pt idx="10">
                  <c:v>116177</c:v>
                </c:pt>
                <c:pt idx="11">
                  <c:v>111502</c:v>
                </c:pt>
              </c:numCache>
            </c:numRef>
          </c:val>
          <c:smooth val="0"/>
          <c:extLst xmlns:c16r2="http://schemas.microsoft.com/office/drawing/2015/06/chart">
            <c:ext xmlns:c16="http://schemas.microsoft.com/office/drawing/2014/chart" uri="{C3380CC4-5D6E-409C-BE32-E72D297353CC}">
              <c16:uniqueId val="{00000003-6C07-44BB-8AD6-2872F2A19E68}"/>
            </c:ext>
          </c:extLst>
        </c:ser>
        <c:dLbls>
          <c:showLegendKey val="0"/>
          <c:showVal val="0"/>
          <c:showCatName val="0"/>
          <c:showSerName val="0"/>
          <c:showPercent val="0"/>
          <c:showBubbleSize val="0"/>
        </c:dLbls>
        <c:marker val="1"/>
        <c:smooth val="0"/>
        <c:axId val="402580048"/>
        <c:axId val="402573520"/>
        <c:extLst xmlns:c16r2="http://schemas.microsoft.com/office/drawing/2015/06/chart">
          <c:ext xmlns:c15="http://schemas.microsoft.com/office/drawing/2012/chart" uri="{02D57815-91ED-43cb-92C2-25804820EDAC}">
            <c15:filteredLineSeries>
              <c15:ser>
                <c:idx val="2"/>
                <c:order val="4"/>
                <c:tx>
                  <c:strRef>
                    <c:extLst xmlns:c16r2="http://schemas.microsoft.com/office/drawing/2015/06/chart">
                      <c:ext uri="{02D57815-91ED-43cb-92C2-25804820EDAC}">
                        <c15:formulaRef>
                          <c15:sqref>'Datos Aeropuerto AMS'!$A$137:$P$137</c15:sqref>
                        </c15:formulaRef>
                      </c:ext>
                    </c:extLst>
                    <c:strCache>
                      <c:ptCount val="16"/>
                      <c:pt idx="0">
                        <c:v>ARRIVING 2014</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val>
                  <c:numRef>
                    <c:extLst xmlns:c16r2="http://schemas.microsoft.com/office/drawing/2015/06/chart">
                      <c:ext uri="{02D57815-91ED-43cb-92C2-25804820EDAC}">
                        <c15:formulaRef>
                          <c15:sqref>'Datos Aeropuerto AMS'!$C$141:$N$141</c15:sqref>
                        </c15:formulaRef>
                      </c:ext>
                    </c:extLst>
                    <c:numCache>
                      <c:formatCode>#,##0</c:formatCode>
                      <c:ptCount val="12"/>
                      <c:pt idx="0">
                        <c:v>138579</c:v>
                      </c:pt>
                      <c:pt idx="1">
                        <c:v>129738</c:v>
                      </c:pt>
                      <c:pt idx="2">
                        <c:v>139637</c:v>
                      </c:pt>
                      <c:pt idx="3">
                        <c:v>137090</c:v>
                      </c:pt>
                      <c:pt idx="4">
                        <c:v>134579</c:v>
                      </c:pt>
                      <c:pt idx="5">
                        <c:v>127939</c:v>
                      </c:pt>
                      <c:pt idx="6">
                        <c:v>141322</c:v>
                      </c:pt>
                      <c:pt idx="7">
                        <c:v>148226</c:v>
                      </c:pt>
                      <c:pt idx="8">
                        <c:v>135744</c:v>
                      </c:pt>
                      <c:pt idx="9">
                        <c:v>137316</c:v>
                      </c:pt>
                      <c:pt idx="10">
                        <c:v>133258</c:v>
                      </c:pt>
                      <c:pt idx="11">
                        <c:v>123288</c:v>
                      </c:pt>
                    </c:numCache>
                  </c:numRef>
                </c:val>
                <c:smooth val="0"/>
                <c:extLst xmlns:c16r2="http://schemas.microsoft.com/office/drawing/2015/06/chart">
                  <c:ext xmlns:c16="http://schemas.microsoft.com/office/drawing/2014/chart" uri="{C3380CC4-5D6E-409C-BE32-E72D297353CC}">
                    <c16:uniqueId val="{00000004-6C07-44BB-8AD6-2872F2A19E68}"/>
                  </c:ext>
                </c:extLst>
              </c15:ser>
            </c15:filteredLineSeries>
            <c15:filteredLineSeries>
              <c15:ser>
                <c:idx val="3"/>
                <c:order val="5"/>
                <c:tx>
                  <c:strRef>
                    <c:extLst xmlns:c15="http://schemas.microsoft.com/office/drawing/2012/chart" xmlns:c16r2="http://schemas.microsoft.com/office/drawing/2015/06/chart">
                      <c:ext xmlns:c15="http://schemas.microsoft.com/office/drawing/2012/chart" uri="{02D57815-91ED-43cb-92C2-25804820EDAC}">
                        <c15:formulaRef>
                          <c15:sqref>'Datos Aeropuerto AMS'!$A$125:$P$125</c15:sqref>
                        </c15:formulaRef>
                      </c:ext>
                    </c:extLst>
                    <c:strCache>
                      <c:ptCount val="16"/>
                      <c:pt idx="0">
                        <c:v>ARRIVING 2013</c:v>
                      </c:pt>
                    </c:strCache>
                  </c:strRef>
                </c:tx>
                <c:spPr>
                  <a:ln w="22225" cap="rnd">
                    <a:solidFill>
                      <a:schemeClr val="accent4"/>
                    </a:solidFill>
                    <a:round/>
                  </a:ln>
                  <a:effectLst/>
                </c:spPr>
                <c:marker>
                  <c:symbol val="x"/>
                  <c:size val="6"/>
                  <c:spPr>
                    <a:noFill/>
                    <a:ln w="9525">
                      <a:solidFill>
                        <a:schemeClr val="accent4"/>
                      </a:solidFill>
                      <a:round/>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AMS'!$C$129:$N$129</c15:sqref>
                        </c15:formulaRef>
                      </c:ext>
                    </c:extLst>
                    <c:numCache>
                      <c:formatCode>#,##0</c:formatCode>
                      <c:ptCount val="12"/>
                      <c:pt idx="0">
                        <c:v>149505</c:v>
                      </c:pt>
                      <c:pt idx="1">
                        <c:v>127669</c:v>
                      </c:pt>
                      <c:pt idx="2">
                        <c:v>129382</c:v>
                      </c:pt>
                      <c:pt idx="3">
                        <c:v>131573</c:v>
                      </c:pt>
                      <c:pt idx="4">
                        <c:v>136238</c:v>
                      </c:pt>
                      <c:pt idx="5">
                        <c:v>136834</c:v>
                      </c:pt>
                      <c:pt idx="6">
                        <c:v>149917</c:v>
                      </c:pt>
                      <c:pt idx="7">
                        <c:v>155729</c:v>
                      </c:pt>
                      <c:pt idx="8">
                        <c:v>127961</c:v>
                      </c:pt>
                      <c:pt idx="9">
                        <c:v>142034</c:v>
                      </c:pt>
                      <c:pt idx="10">
                        <c:v>135083</c:v>
                      </c:pt>
                      <c:pt idx="11">
                        <c:v>125742</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5-6C07-44BB-8AD6-2872F2A19E68}"/>
                  </c:ext>
                </c:extLst>
              </c15:ser>
            </c15:filteredLineSeries>
            <c15:filteredLineSeries>
              <c15:ser>
                <c:idx val="4"/>
                <c:order val="6"/>
                <c:tx>
                  <c:strRef>
                    <c:extLst xmlns:c15="http://schemas.microsoft.com/office/drawing/2012/chart" xmlns:c16r2="http://schemas.microsoft.com/office/drawing/2015/06/chart">
                      <c:ext xmlns:c15="http://schemas.microsoft.com/office/drawing/2012/chart" uri="{02D57815-91ED-43cb-92C2-25804820EDAC}">
                        <c15:formulaRef>
                          <c15:sqref>'Datos Aeropuerto AMS'!$A$113:$P$113</c15:sqref>
                        </c15:formulaRef>
                      </c:ext>
                    </c:extLst>
                    <c:strCache>
                      <c:ptCount val="16"/>
                      <c:pt idx="0">
                        <c:v>ARRIVING 2012</c:v>
                      </c:pt>
                    </c:strCache>
                  </c:strRef>
                </c:tx>
                <c:spPr>
                  <a:ln w="22225" cap="rnd">
                    <a:solidFill>
                      <a:schemeClr val="accent5"/>
                    </a:solidFill>
                    <a:round/>
                  </a:ln>
                  <a:effectLst/>
                </c:spPr>
                <c:marker>
                  <c:symbol val="star"/>
                  <c:size val="6"/>
                  <c:spPr>
                    <a:noFill/>
                    <a:ln w="9525">
                      <a:solidFill>
                        <a:schemeClr val="accent5"/>
                      </a:solidFill>
                      <a:round/>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AMS'!$C$117:$N$117</c15:sqref>
                        </c15:formulaRef>
                      </c:ext>
                    </c:extLst>
                    <c:numCache>
                      <c:formatCode>#,##0</c:formatCode>
                      <c:ptCount val="12"/>
                      <c:pt idx="0">
                        <c:v>134226</c:v>
                      </c:pt>
                      <c:pt idx="1">
                        <c:v>125740</c:v>
                      </c:pt>
                      <c:pt idx="2">
                        <c:v>143027</c:v>
                      </c:pt>
                      <c:pt idx="3">
                        <c:v>131782</c:v>
                      </c:pt>
                      <c:pt idx="4">
                        <c:v>139770</c:v>
                      </c:pt>
                      <c:pt idx="5">
                        <c:v>136606</c:v>
                      </c:pt>
                      <c:pt idx="6">
                        <c:v>147934</c:v>
                      </c:pt>
                      <c:pt idx="7">
                        <c:v>153470</c:v>
                      </c:pt>
                      <c:pt idx="8">
                        <c:v>135789</c:v>
                      </c:pt>
                      <c:pt idx="9">
                        <c:v>142987</c:v>
                      </c:pt>
                      <c:pt idx="10">
                        <c:v>142581</c:v>
                      </c:pt>
                      <c:pt idx="11">
                        <c:v>130777</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6-6C07-44BB-8AD6-2872F2A19E68}"/>
                  </c:ext>
                </c:extLst>
              </c15:ser>
            </c15:filteredLineSeries>
            <c15:filteredLineSeries>
              <c15:ser>
                <c:idx val="5"/>
                <c:order val="7"/>
                <c:tx>
                  <c:strRef>
                    <c:extLst xmlns:c15="http://schemas.microsoft.com/office/drawing/2012/chart" xmlns:c16r2="http://schemas.microsoft.com/office/drawing/2015/06/chart">
                      <c:ext xmlns:c15="http://schemas.microsoft.com/office/drawing/2012/chart" uri="{02D57815-91ED-43cb-92C2-25804820EDAC}">
                        <c15:formulaRef>
                          <c15:sqref>'Datos Aeropuerto AMS'!$A$101:$P$101</c15:sqref>
                        </c15:formulaRef>
                      </c:ext>
                    </c:extLst>
                    <c:strCache>
                      <c:ptCount val="16"/>
                      <c:pt idx="0">
                        <c:v>ARRIVING 2011</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AMS'!$C$105:$N$105</c15:sqref>
                        </c15:formulaRef>
                      </c:ext>
                    </c:extLst>
                    <c:numCache>
                      <c:formatCode>#,##0</c:formatCode>
                      <c:ptCount val="12"/>
                      <c:pt idx="0">
                        <c:v>146098</c:v>
                      </c:pt>
                      <c:pt idx="1">
                        <c:v>137332</c:v>
                      </c:pt>
                      <c:pt idx="2">
                        <c:v>146888</c:v>
                      </c:pt>
                      <c:pt idx="3">
                        <c:v>144977</c:v>
                      </c:pt>
                      <c:pt idx="4">
                        <c:v>154928</c:v>
                      </c:pt>
                      <c:pt idx="5">
                        <c:v>155364</c:v>
                      </c:pt>
                      <c:pt idx="6">
                        <c:v>171808</c:v>
                      </c:pt>
                      <c:pt idx="7">
                        <c:v>174975</c:v>
                      </c:pt>
                      <c:pt idx="8">
                        <c:v>148989</c:v>
                      </c:pt>
                      <c:pt idx="9">
                        <c:v>149114</c:v>
                      </c:pt>
                      <c:pt idx="10">
                        <c:v>146963</c:v>
                      </c:pt>
                      <c:pt idx="11">
                        <c:v>147356</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7-6C07-44BB-8AD6-2872F2A19E68}"/>
                  </c:ext>
                </c:extLst>
              </c15:ser>
            </c15:filteredLineSeries>
            <c15:filteredLineSeries>
              <c15:ser>
                <c:idx val="6"/>
                <c:order val="8"/>
                <c:tx>
                  <c:strRef>
                    <c:extLst xmlns:c15="http://schemas.microsoft.com/office/drawing/2012/chart" xmlns:c16r2="http://schemas.microsoft.com/office/drawing/2015/06/chart">
                      <c:ext xmlns:c15="http://schemas.microsoft.com/office/drawing/2012/chart" uri="{02D57815-91ED-43cb-92C2-25804820EDAC}">
                        <c15:formulaRef>
                          <c15:sqref>'Datos Aeropuerto AMS'!$A$89:$P$89</c15:sqref>
                        </c15:formulaRef>
                      </c:ext>
                    </c:extLst>
                    <c:strCache>
                      <c:ptCount val="16"/>
                      <c:pt idx="0">
                        <c:v>ARRIVING 2010</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AMS'!$C$93:$N$93</c15:sqref>
                        </c15:formulaRef>
                      </c:ext>
                    </c:extLst>
                    <c:numCache>
                      <c:formatCode>#,##0</c:formatCode>
                      <c:ptCount val="12"/>
                      <c:pt idx="0">
                        <c:v>129890</c:v>
                      </c:pt>
                      <c:pt idx="1">
                        <c:v>124766</c:v>
                      </c:pt>
                      <c:pt idx="2">
                        <c:v>135618</c:v>
                      </c:pt>
                      <c:pt idx="3">
                        <c:v>134178</c:v>
                      </c:pt>
                      <c:pt idx="4">
                        <c:v>135212</c:v>
                      </c:pt>
                      <c:pt idx="5">
                        <c:v>134654</c:v>
                      </c:pt>
                      <c:pt idx="6">
                        <c:v>149272</c:v>
                      </c:pt>
                      <c:pt idx="7">
                        <c:v>155081</c:v>
                      </c:pt>
                      <c:pt idx="8">
                        <c:v>138378</c:v>
                      </c:pt>
                      <c:pt idx="9">
                        <c:v>143352</c:v>
                      </c:pt>
                      <c:pt idx="10">
                        <c:v>119713</c:v>
                      </c:pt>
                      <c:pt idx="11">
                        <c:v>142814</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8-6C07-44BB-8AD6-2872F2A19E68}"/>
                  </c:ext>
                </c:extLst>
              </c15:ser>
            </c15:filteredLineSeries>
            <c15:filteredLineSeries>
              <c15:ser>
                <c:idx val="7"/>
                <c:order val="9"/>
                <c:tx>
                  <c:strRef>
                    <c:extLst xmlns:c15="http://schemas.microsoft.com/office/drawing/2012/chart" xmlns:c16r2="http://schemas.microsoft.com/office/drawing/2015/06/chart">
                      <c:ext xmlns:c15="http://schemas.microsoft.com/office/drawing/2012/chart" uri="{02D57815-91ED-43cb-92C2-25804820EDAC}">
                        <c15:formulaRef>
                          <c15:sqref>'Datos Aeropuerto AMS'!$A$76:$P$76</c15:sqref>
                        </c15:formulaRef>
                      </c:ext>
                    </c:extLst>
                    <c:strCache>
                      <c:ptCount val="16"/>
                      <c:pt idx="0">
                        <c:v>ARRIVING 2009</c:v>
                      </c:pt>
                    </c:strCache>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AMS'!$C$80:$N$80</c15:sqref>
                        </c15:formulaRef>
                      </c:ext>
                    </c:extLst>
                    <c:numCache>
                      <c:formatCode>#,##0</c:formatCode>
                      <c:ptCount val="12"/>
                      <c:pt idx="0">
                        <c:v>120475</c:v>
                      </c:pt>
                      <c:pt idx="1">
                        <c:v>113239</c:v>
                      </c:pt>
                      <c:pt idx="2">
                        <c:v>124746</c:v>
                      </c:pt>
                      <c:pt idx="3">
                        <c:v>128488</c:v>
                      </c:pt>
                      <c:pt idx="4">
                        <c:v>124971</c:v>
                      </c:pt>
                      <c:pt idx="5">
                        <c:v>122153</c:v>
                      </c:pt>
                      <c:pt idx="6">
                        <c:v>140710</c:v>
                      </c:pt>
                      <c:pt idx="7">
                        <c:v>144489</c:v>
                      </c:pt>
                      <c:pt idx="8">
                        <c:v>126553</c:v>
                      </c:pt>
                      <c:pt idx="9">
                        <c:v>132533</c:v>
                      </c:pt>
                      <c:pt idx="10">
                        <c:v>125655</c:v>
                      </c:pt>
                      <c:pt idx="11">
                        <c:v>129201</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9-6C07-44BB-8AD6-2872F2A19E68}"/>
                  </c:ext>
                </c:extLst>
              </c15:ser>
            </c15:filteredLineSeries>
            <c15:filteredLineSeries>
              <c15:ser>
                <c:idx val="8"/>
                <c:order val="10"/>
                <c:tx>
                  <c:strRef>
                    <c:extLst xmlns:c15="http://schemas.microsoft.com/office/drawing/2012/chart" xmlns:c16r2="http://schemas.microsoft.com/office/drawing/2015/06/chart">
                      <c:ext xmlns:c15="http://schemas.microsoft.com/office/drawing/2012/chart" uri="{02D57815-91ED-43cb-92C2-25804820EDAC}">
                        <c15:formulaRef>
                          <c15:sqref>'Datos Aeropuerto AMS'!$A$63:$P$63</c15:sqref>
                        </c15:formulaRef>
                      </c:ext>
                    </c:extLst>
                    <c:strCache>
                      <c:ptCount val="16"/>
                      <c:pt idx="0">
                        <c:v>ARRIVING 2008</c:v>
                      </c:pt>
                    </c:strCache>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AMS'!$C$67:$N$67</c15:sqref>
                        </c15:formulaRef>
                      </c:ext>
                    </c:extLst>
                    <c:numCache>
                      <c:formatCode>#,##0</c:formatCode>
                      <c:ptCount val="12"/>
                      <c:pt idx="0">
                        <c:v>119642</c:v>
                      </c:pt>
                      <c:pt idx="1">
                        <c:v>103529</c:v>
                      </c:pt>
                      <c:pt idx="2">
                        <c:v>123646</c:v>
                      </c:pt>
                      <c:pt idx="3">
                        <c:v>118447</c:v>
                      </c:pt>
                      <c:pt idx="4">
                        <c:v>123649</c:v>
                      </c:pt>
                      <c:pt idx="5">
                        <c:v>110311</c:v>
                      </c:pt>
                      <c:pt idx="6">
                        <c:v>135864</c:v>
                      </c:pt>
                      <c:pt idx="7">
                        <c:v>140220</c:v>
                      </c:pt>
                      <c:pt idx="8">
                        <c:v>114928</c:v>
                      </c:pt>
                      <c:pt idx="9">
                        <c:v>126769</c:v>
                      </c:pt>
                      <c:pt idx="10">
                        <c:v>121935</c:v>
                      </c:pt>
                      <c:pt idx="11">
                        <c:v>120610</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A-6C07-44BB-8AD6-2872F2A19E68}"/>
                  </c:ext>
                </c:extLst>
              </c15:ser>
            </c15:filteredLineSeries>
            <c15:filteredLineSeries>
              <c15:ser>
                <c:idx val="9"/>
                <c:order val="11"/>
                <c:tx>
                  <c:strRef>
                    <c:extLst xmlns:c15="http://schemas.microsoft.com/office/drawing/2012/chart" xmlns:c16r2="http://schemas.microsoft.com/office/drawing/2015/06/chart">
                      <c:ext xmlns:c15="http://schemas.microsoft.com/office/drawing/2012/chart" uri="{02D57815-91ED-43cb-92C2-25804820EDAC}">
                        <c15:formulaRef>
                          <c15:sqref>'Datos Aeropuerto AMS'!$A$51:$P$51</c15:sqref>
                        </c15:formulaRef>
                      </c:ext>
                    </c:extLst>
                    <c:strCache>
                      <c:ptCount val="16"/>
                      <c:pt idx="0">
                        <c:v>ARRIVING 2007</c:v>
                      </c:pt>
                    </c:strCache>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AMS'!$C$55:$N$55</c15:sqref>
                        </c15:formulaRef>
                      </c:ext>
                    </c:extLst>
                    <c:numCache>
                      <c:formatCode>#,##0</c:formatCode>
                      <c:ptCount val="12"/>
                      <c:pt idx="0">
                        <c:v>113451</c:v>
                      </c:pt>
                      <c:pt idx="1">
                        <c:v>97757</c:v>
                      </c:pt>
                      <c:pt idx="2">
                        <c:v>113475</c:v>
                      </c:pt>
                      <c:pt idx="3">
                        <c:v>110548</c:v>
                      </c:pt>
                      <c:pt idx="4">
                        <c:v>113501</c:v>
                      </c:pt>
                      <c:pt idx="5">
                        <c:v>114087</c:v>
                      </c:pt>
                      <c:pt idx="6">
                        <c:v>125297</c:v>
                      </c:pt>
                      <c:pt idx="7">
                        <c:v>129649</c:v>
                      </c:pt>
                      <c:pt idx="8">
                        <c:v>106973</c:v>
                      </c:pt>
                      <c:pt idx="9">
                        <c:v>116721</c:v>
                      </c:pt>
                      <c:pt idx="10">
                        <c:v>109419</c:v>
                      </c:pt>
                      <c:pt idx="11">
                        <c:v>102167</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B-6C07-44BB-8AD6-2872F2A19E68}"/>
                  </c:ext>
                </c:extLst>
              </c15:ser>
            </c15:filteredLineSeries>
            <c15:filteredLineSeries>
              <c15:ser>
                <c:idx val="10"/>
                <c:order val="12"/>
                <c:tx>
                  <c:strRef>
                    <c:extLst xmlns:c15="http://schemas.microsoft.com/office/drawing/2012/chart" xmlns:c16r2="http://schemas.microsoft.com/office/drawing/2015/06/chart">
                      <c:ext xmlns:c15="http://schemas.microsoft.com/office/drawing/2012/chart" uri="{02D57815-91ED-43cb-92C2-25804820EDAC}">
                        <c15:formulaRef>
                          <c15:sqref>'Datos Aeropuerto AMS'!$A$38:$P$38</c15:sqref>
                        </c15:formulaRef>
                      </c:ext>
                    </c:extLst>
                    <c:strCache>
                      <c:ptCount val="16"/>
                      <c:pt idx="0">
                        <c:v>ARRIVING 2006</c:v>
                      </c:pt>
                    </c:strCache>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AMS'!$C$42:$N$42</c15:sqref>
                        </c15:formulaRef>
                      </c:ext>
                    </c:extLst>
                    <c:numCache>
                      <c:formatCode>#,##0</c:formatCode>
                      <c:ptCount val="12"/>
                      <c:pt idx="0">
                        <c:v>90281</c:v>
                      </c:pt>
                      <c:pt idx="1">
                        <c:v>80848</c:v>
                      </c:pt>
                      <c:pt idx="2">
                        <c:v>97554</c:v>
                      </c:pt>
                      <c:pt idx="3">
                        <c:v>90948</c:v>
                      </c:pt>
                      <c:pt idx="4">
                        <c:v>98614</c:v>
                      </c:pt>
                      <c:pt idx="5">
                        <c:v>95134</c:v>
                      </c:pt>
                      <c:pt idx="6">
                        <c:v>112459</c:v>
                      </c:pt>
                      <c:pt idx="7">
                        <c:v>118122</c:v>
                      </c:pt>
                      <c:pt idx="8">
                        <c:v>105285</c:v>
                      </c:pt>
                      <c:pt idx="9">
                        <c:v>102931</c:v>
                      </c:pt>
                      <c:pt idx="10">
                        <c:v>104495</c:v>
                      </c:pt>
                      <c:pt idx="11">
                        <c:v>119162</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C-6C07-44BB-8AD6-2872F2A19E68}"/>
                  </c:ext>
                </c:extLst>
              </c15:ser>
            </c15:filteredLineSeries>
            <c15:filteredLineSeries>
              <c15:ser>
                <c:idx val="11"/>
                <c:order val="13"/>
                <c:tx>
                  <c:strRef>
                    <c:extLst xmlns:c15="http://schemas.microsoft.com/office/drawing/2012/chart" xmlns:c16r2="http://schemas.microsoft.com/office/drawing/2015/06/chart">
                      <c:ext xmlns:c15="http://schemas.microsoft.com/office/drawing/2012/chart" uri="{02D57815-91ED-43cb-92C2-25804820EDAC}">
                        <c15:formulaRef>
                          <c15:sqref>'Datos Aeropuerto AMS'!$A$25:$P$25</c15:sqref>
                        </c15:formulaRef>
                      </c:ext>
                    </c:extLst>
                    <c:strCache>
                      <c:ptCount val="16"/>
                      <c:pt idx="0">
                        <c:v>ARRIVING 2005</c:v>
                      </c:pt>
                    </c:strCache>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AMS'!$C$29:$N$29</c15:sqref>
                        </c15:formulaRef>
                      </c:ext>
                    </c:extLst>
                    <c:numCache>
                      <c:formatCode>#,##0</c:formatCode>
                      <c:ptCount val="12"/>
                      <c:pt idx="0">
                        <c:v>77668</c:v>
                      </c:pt>
                      <c:pt idx="1">
                        <c:v>71539</c:v>
                      </c:pt>
                      <c:pt idx="2">
                        <c:v>82054</c:v>
                      </c:pt>
                      <c:pt idx="3" formatCode="_ * #,##0_ ;_ * \-#,##0_ ;_ * &quot;-&quot;??_ ;_ @_ ">
                        <c:v>72138</c:v>
                      </c:pt>
                      <c:pt idx="4" formatCode="_ * #,##0_ ;_ * \-#,##0_ ;_ * &quot;-&quot;??_ ;_ @_ ">
                        <c:v>78296</c:v>
                      </c:pt>
                      <c:pt idx="5">
                        <c:v>82716</c:v>
                      </c:pt>
                      <c:pt idx="6">
                        <c:v>78580</c:v>
                      </c:pt>
                      <c:pt idx="7">
                        <c:v>85731</c:v>
                      </c:pt>
                      <c:pt idx="8">
                        <c:v>83409</c:v>
                      </c:pt>
                      <c:pt idx="9">
                        <c:v>85215</c:v>
                      </c:pt>
                      <c:pt idx="10">
                        <c:v>87739</c:v>
                      </c:pt>
                      <c:pt idx="11" formatCode="0">
                        <c:v>89220</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D-6C07-44BB-8AD6-2872F2A19E68}"/>
                  </c:ext>
                </c:extLst>
              </c15:ser>
            </c15:filteredLineSeries>
            <c15:filteredLineSeries>
              <c15:ser>
                <c:idx val="12"/>
                <c:order val="14"/>
                <c:tx>
                  <c:strRef>
                    <c:extLst xmlns:c15="http://schemas.microsoft.com/office/drawing/2012/chart" xmlns:c16r2="http://schemas.microsoft.com/office/drawing/2015/06/chart">
                      <c:ext xmlns:c15="http://schemas.microsoft.com/office/drawing/2012/chart" uri="{02D57815-91ED-43cb-92C2-25804820EDAC}">
                        <c15:formulaRef>
                          <c15:sqref>'Datos Aeropuerto AMS'!$A$13:$P$13</c15:sqref>
                        </c15:formulaRef>
                      </c:ext>
                    </c:extLst>
                    <c:strCache>
                      <c:ptCount val="16"/>
                      <c:pt idx="0">
                        <c:v>ARRIVING 2004</c:v>
                      </c:pt>
                    </c:strCache>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AMS'!$C$16:$N$16</c15:sqref>
                        </c15:formulaRef>
                      </c:ext>
                    </c:extLst>
                    <c:numCache>
                      <c:formatCode>#,##0</c:formatCode>
                      <c:ptCount val="12"/>
                      <c:pt idx="0">
                        <c:v>65458</c:v>
                      </c:pt>
                      <c:pt idx="1">
                        <c:v>62786</c:v>
                      </c:pt>
                      <c:pt idx="2">
                        <c:v>72756</c:v>
                      </c:pt>
                      <c:pt idx="3">
                        <c:v>68331</c:v>
                      </c:pt>
                      <c:pt idx="4">
                        <c:v>69782</c:v>
                      </c:pt>
                      <c:pt idx="5">
                        <c:v>71084</c:v>
                      </c:pt>
                      <c:pt idx="6">
                        <c:v>79716</c:v>
                      </c:pt>
                      <c:pt idx="7">
                        <c:v>79774</c:v>
                      </c:pt>
                      <c:pt idx="8">
                        <c:v>70725</c:v>
                      </c:pt>
                      <c:pt idx="9">
                        <c:v>74138</c:v>
                      </c:pt>
                      <c:pt idx="10">
                        <c:v>72607</c:v>
                      </c:pt>
                      <c:pt idx="11">
                        <c:v>76466</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E-6C07-44BB-8AD6-2872F2A19E68}"/>
                  </c:ext>
                </c:extLst>
              </c15:ser>
            </c15:filteredLineSeries>
            <c15:filteredLineSeries>
              <c15:ser>
                <c:idx val="13"/>
                <c:order val="15"/>
                <c:tx>
                  <c:strRef>
                    <c:extLst xmlns:c15="http://schemas.microsoft.com/office/drawing/2012/chart" xmlns:c16r2="http://schemas.microsoft.com/office/drawing/2015/06/chart">
                      <c:ext xmlns:c15="http://schemas.microsoft.com/office/drawing/2012/chart" uri="{02D57815-91ED-43cb-92C2-25804820EDAC}">
                        <c15:formulaRef>
                          <c15:sqref>'Datos Aeropuerto AMS'!$A$5:$P$5</c15:sqref>
                        </c15:formulaRef>
                      </c:ext>
                    </c:extLst>
                    <c:strCache>
                      <c:ptCount val="16"/>
                      <c:pt idx="0">
                        <c:v>ARRIVING 2003</c:v>
                      </c:pt>
                    </c:strCache>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val>
                  <c:numRef>
                    <c:extLst xmlns:c15="http://schemas.microsoft.com/office/drawing/2012/chart" xmlns:c16r2="http://schemas.microsoft.com/office/drawing/2015/06/chart">
                      <c:ext xmlns:c15="http://schemas.microsoft.com/office/drawing/2012/chart" uri="{02D57815-91ED-43cb-92C2-25804820EDAC}">
                        <c15:formulaRef>
                          <c15:sqref>'Datos Aeropuerto AMS'!$C$8:$N$8</c15:sqref>
                        </c15:formulaRef>
                      </c:ext>
                    </c:extLst>
                    <c:numCache>
                      <c:formatCode>_ * #,##0_ ;_ * \-#,##0_ ;_ * "-"??_ ;_ @_ </c:formatCode>
                      <c:ptCount val="12"/>
                      <c:pt idx="0">
                        <c:v>60720</c:v>
                      </c:pt>
                      <c:pt idx="1">
                        <c:v>56388</c:v>
                      </c:pt>
                      <c:pt idx="2">
                        <c:v>55866</c:v>
                      </c:pt>
                      <c:pt idx="3">
                        <c:v>59180</c:v>
                      </c:pt>
                      <c:pt idx="4">
                        <c:v>66245</c:v>
                      </c:pt>
                      <c:pt idx="5">
                        <c:v>63734</c:v>
                      </c:pt>
                      <c:pt idx="6">
                        <c:v>72545</c:v>
                      </c:pt>
                      <c:pt idx="7">
                        <c:v>72575</c:v>
                      </c:pt>
                      <c:pt idx="8">
                        <c:v>64663</c:v>
                      </c:pt>
                      <c:pt idx="9">
                        <c:v>67901</c:v>
                      </c:pt>
                      <c:pt idx="10">
                        <c:v>66498</c:v>
                      </c:pt>
                      <c:pt idx="11">
                        <c:v>66128</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F-6C07-44BB-8AD6-2872F2A19E68}"/>
                  </c:ext>
                </c:extLst>
              </c15:ser>
            </c15:filteredLineSeries>
          </c:ext>
        </c:extLst>
      </c:lineChart>
      <c:catAx>
        <c:axId val="4025800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402573520"/>
        <c:crosses val="autoZero"/>
        <c:auto val="1"/>
        <c:lblAlgn val="ctr"/>
        <c:lblOffset val="100"/>
        <c:noMultiLvlLbl val="0"/>
      </c:catAx>
      <c:valAx>
        <c:axId val="402573520"/>
        <c:scaling>
          <c:orientation val="minMax"/>
          <c:min val="6000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02580048"/>
        <c:crosses val="autoZero"/>
        <c:crossBetween val="between"/>
        <c:majorUnit val="10000"/>
        <c:minorUnit val="10000"/>
      </c:valAx>
      <c:spPr>
        <a:noFill/>
        <a:ln>
          <a:noFill/>
        </a:ln>
        <a:effectLst/>
      </c:spPr>
    </c:plotArea>
    <c:legend>
      <c:legendPos val="t"/>
      <c:layout>
        <c:manualLayout>
          <c:xMode val="edge"/>
          <c:yMode val="edge"/>
          <c:x val="0.89170196321637207"/>
          <c:y val="0.34041666666666665"/>
          <c:w val="0.10145311715124865"/>
          <c:h val="0.2957181393992417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AMS'!$A$163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('Datos Aeropuerto AMS'!$A$5:$P$5,'Datos Aeropuerto AMS'!$A$13:$P$13,'Datos Aeropuerto AMS'!$A$25:$P$25,'Datos Aeropuerto AMS'!$A$38:$P$38,'Datos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c:f>
              <c:strCache>
                <c:ptCount val="16"/>
                <c:pt idx="0">
                  <c:v>ARRIVING 2003</c:v>
                </c:pt>
                <c:pt idx="1">
                  <c:v>ARRIVING 2004</c:v>
                </c:pt>
                <c:pt idx="2">
                  <c:v>ARRIVING 2005</c:v>
                </c:pt>
                <c:pt idx="3">
                  <c:v>ARRIVING 2006</c:v>
                </c:pt>
                <c:pt idx="4">
                  <c:v>ARRIVING 2007</c:v>
                </c:pt>
                <c:pt idx="5">
                  <c:v>ARRIVING 2008</c:v>
                </c:pt>
                <c:pt idx="6">
                  <c:v>ARRIVING 2009</c:v>
                </c:pt>
                <c:pt idx="7">
                  <c:v>ARRIVING 2010</c:v>
                </c:pt>
                <c:pt idx="8">
                  <c:v>ARRIVING 2011</c:v>
                </c:pt>
                <c:pt idx="9">
                  <c:v>ARRIVING 2012</c:v>
                </c:pt>
                <c:pt idx="10">
                  <c:v>ARRIVING 2013</c:v>
                </c:pt>
                <c:pt idx="11">
                  <c:v>ARRIVING 2014</c:v>
                </c:pt>
                <c:pt idx="12">
                  <c:v>ARRIVING 2015</c:v>
                </c:pt>
                <c:pt idx="13">
                  <c:v>ARRIVING 2016</c:v>
                </c:pt>
                <c:pt idx="14">
                  <c:v>ARRIVING 2017</c:v>
                </c:pt>
                <c:pt idx="15">
                  <c:v>ARRIVING 2018</c:v>
                </c:pt>
              </c:strCache>
            </c:strRef>
          </c:cat>
          <c:val>
            <c:numRef>
              <c:f>('Datos Aeropuerto AMS'!$P$7,'Datos Aeropuerto AMS'!$P$15,'Datos Aeropuerto AMS'!$P$27,'Datos Aeropuerto AMS'!$P$40,'Datos Aeropuerto AMS'!$P$53,'Datos Aeropuerto AMS'!$P$65,'Datos Aeropuerto AMS'!$P$78,'Datos Aeropuerto AMS'!$P$91,'Datos Aeropuerto AMS'!$P$103,'Datos Aeropuerto AMS'!$P$115,'Datos Aeropuerto AMS'!$P$127,'Datos Aeropuerto AMS'!$P$139,'Datos Aeropuerto AMS'!$P$151,'Datos Aeropuerto AMS'!$P$163,'Datos Aeropuerto AMS'!$P$175,'Datos Aeropuerto AMS'!$P$187)</c:f>
              <c:numCache>
                <c:formatCode>_ * #,##0_ ;_ * \-#,##0_ ;_ * "-"??_ ;_ @_ </c:formatCode>
                <c:ptCount val="16"/>
                <c:pt idx="0">
                  <c:v>542295</c:v>
                </c:pt>
                <c:pt idx="1">
                  <c:v>581759</c:v>
                </c:pt>
                <c:pt idx="2">
                  <c:v>637573</c:v>
                </c:pt>
                <c:pt idx="3">
                  <c:v>679878</c:v>
                </c:pt>
                <c:pt idx="4">
                  <c:v>775494</c:v>
                </c:pt>
                <c:pt idx="5">
                  <c:v>791950</c:v>
                </c:pt>
                <c:pt idx="6">
                  <c:v>818875</c:v>
                </c:pt>
                <c:pt idx="7">
                  <c:v>865470</c:v>
                </c:pt>
                <c:pt idx="8">
                  <c:v>861811</c:v>
                </c:pt>
                <c:pt idx="9">
                  <c:v>962752</c:v>
                </c:pt>
                <c:pt idx="10">
                  <c:v>1079183</c:v>
                </c:pt>
                <c:pt idx="11">
                  <c:v>1190692</c:v>
                </c:pt>
                <c:pt idx="12">
                  <c:v>1215331</c:v>
                </c:pt>
                <c:pt idx="13">
                  <c:v>1095108</c:v>
                </c:pt>
                <c:pt idx="14">
                  <c:v>1144115</c:v>
                </c:pt>
                <c:pt idx="15">
                  <c:v>1193704</c:v>
                </c:pt>
              </c:numCache>
            </c:numRef>
          </c:val>
          <c:smooth val="0"/>
          <c:extLst xmlns:c16r2="http://schemas.microsoft.com/office/drawing/2015/06/chart">
            <c:ext xmlns:c16="http://schemas.microsoft.com/office/drawing/2014/chart" uri="{C3380CC4-5D6E-409C-BE32-E72D297353CC}">
              <c16:uniqueId val="{00000000-B43D-40A9-91F8-62292B641B96}"/>
            </c:ext>
          </c:extLst>
        </c:ser>
        <c:ser>
          <c:idx val="1"/>
          <c:order val="1"/>
          <c:tx>
            <c:strRef>
              <c:f>'Datos Aeropuerto AMS'!$A$165</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('Datos Aeropuerto AMS'!$A$5:$P$5,'Datos Aeropuerto AMS'!$A$13:$P$13,'Datos Aeropuerto AMS'!$A$25:$P$25,'Datos Aeropuerto AMS'!$A$38:$P$38,'Datos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c:f>
              <c:strCache>
                <c:ptCount val="16"/>
                <c:pt idx="0">
                  <c:v>ARRIVING 2003</c:v>
                </c:pt>
                <c:pt idx="1">
                  <c:v>ARRIVING 2004</c:v>
                </c:pt>
                <c:pt idx="2">
                  <c:v>ARRIVING 2005</c:v>
                </c:pt>
                <c:pt idx="3">
                  <c:v>ARRIVING 2006</c:v>
                </c:pt>
                <c:pt idx="4">
                  <c:v>ARRIVING 2007</c:v>
                </c:pt>
                <c:pt idx="5">
                  <c:v>ARRIVING 2008</c:v>
                </c:pt>
                <c:pt idx="6">
                  <c:v>ARRIVING 2009</c:v>
                </c:pt>
                <c:pt idx="7">
                  <c:v>ARRIVING 2010</c:v>
                </c:pt>
                <c:pt idx="8">
                  <c:v>ARRIVING 2011</c:v>
                </c:pt>
                <c:pt idx="9">
                  <c:v>ARRIVING 2012</c:v>
                </c:pt>
                <c:pt idx="10">
                  <c:v>ARRIVING 2013</c:v>
                </c:pt>
                <c:pt idx="11">
                  <c:v>ARRIVING 2014</c:v>
                </c:pt>
                <c:pt idx="12">
                  <c:v>ARRIVING 2015</c:v>
                </c:pt>
                <c:pt idx="13">
                  <c:v>ARRIVING 2016</c:v>
                </c:pt>
                <c:pt idx="14">
                  <c:v>ARRIVING 2017</c:v>
                </c:pt>
                <c:pt idx="15">
                  <c:v>ARRIVING 2018</c:v>
                </c:pt>
              </c:strCache>
            </c:strRef>
          </c:cat>
          <c:val>
            <c:numRef>
              <c:f>('Datos Aeropuerto AMS'!$P$8,'Datos Aeropuerto AMS'!$P$16,'Datos Aeropuerto AMS'!$P$29,'Datos Aeropuerto AMS'!$P$42,'Datos Aeropuerto AMS'!$P$55,'Datos Aeropuerto AMS'!$P$67,'Datos Aeropuerto AMS'!$P$80,'Datos Aeropuerto AMS'!$P$93,'Datos Aeropuerto AMS'!$P$105,'Datos Aeropuerto AMS'!$P$117,'Datos Aeropuerto AMS'!$P$129,'Datos Aeropuerto AMS'!$P$141,'Datos Aeropuerto AMS'!$P$153,'Datos Aeropuerto AMS'!$P$165,'Datos Aeropuerto AMS'!$P$177,'Datos Aeropuerto AMS'!$P$189)</c:f>
              <c:numCache>
                <c:formatCode>_ * #,##0_ ;_ * \-#,##0_ ;_ * "-"??_ ;_ @_ </c:formatCode>
                <c:ptCount val="16"/>
                <c:pt idx="0">
                  <c:v>772443</c:v>
                </c:pt>
                <c:pt idx="1">
                  <c:v>863623</c:v>
                </c:pt>
                <c:pt idx="2">
                  <c:v>974305</c:v>
                </c:pt>
                <c:pt idx="3">
                  <c:v>1215833</c:v>
                </c:pt>
                <c:pt idx="4">
                  <c:v>1353045</c:v>
                </c:pt>
                <c:pt idx="5">
                  <c:v>1459550</c:v>
                </c:pt>
                <c:pt idx="6">
                  <c:v>1533213</c:v>
                </c:pt>
                <c:pt idx="7">
                  <c:v>1642928</c:v>
                </c:pt>
                <c:pt idx="8">
                  <c:v>1824792</c:v>
                </c:pt>
                <c:pt idx="9">
                  <c:v>1664689</c:v>
                </c:pt>
                <c:pt idx="10">
                  <c:v>1647667</c:v>
                </c:pt>
                <c:pt idx="11">
                  <c:v>1626716</c:v>
                </c:pt>
                <c:pt idx="12">
                  <c:v>1478683</c:v>
                </c:pt>
                <c:pt idx="13">
                  <c:v>1313422</c:v>
                </c:pt>
                <c:pt idx="14">
                  <c:v>1303363</c:v>
                </c:pt>
                <c:pt idx="15">
                  <c:v>1431739</c:v>
                </c:pt>
              </c:numCache>
            </c:numRef>
          </c:val>
          <c:smooth val="0"/>
          <c:extLst xmlns:c16r2="http://schemas.microsoft.com/office/drawing/2015/06/chart">
            <c:ext xmlns:c16="http://schemas.microsoft.com/office/drawing/2014/chart" uri="{C3380CC4-5D6E-409C-BE32-E72D297353CC}">
              <c16:uniqueId val="{00000001-B43D-40A9-91F8-62292B641B96}"/>
            </c:ext>
          </c:extLst>
        </c:ser>
        <c:ser>
          <c:idx val="2"/>
          <c:order val="2"/>
          <c:tx>
            <c:strRef>
              <c:f>'Datos Aeropuerto AMS'!$A$171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AMS'!$A$5:$P$5,'Datos Aeropuerto AMS'!$A$13:$P$13,'Datos Aeropuerto AMS'!$A$25:$P$25,'Datos Aeropuerto AMS'!$A$38:$P$38,'Datos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c:f>
              <c:strCache>
                <c:ptCount val="16"/>
                <c:pt idx="0">
                  <c:v>ARRIVING 2003</c:v>
                </c:pt>
                <c:pt idx="1">
                  <c:v>ARRIVING 2004</c:v>
                </c:pt>
                <c:pt idx="2">
                  <c:v>ARRIVING 2005</c:v>
                </c:pt>
                <c:pt idx="3">
                  <c:v>ARRIVING 2006</c:v>
                </c:pt>
                <c:pt idx="4">
                  <c:v>ARRIVING 2007</c:v>
                </c:pt>
                <c:pt idx="5">
                  <c:v>ARRIVING 2008</c:v>
                </c:pt>
                <c:pt idx="6">
                  <c:v>ARRIVING 2009</c:v>
                </c:pt>
                <c:pt idx="7">
                  <c:v>ARRIVING 2010</c:v>
                </c:pt>
                <c:pt idx="8">
                  <c:v>ARRIVING 2011</c:v>
                </c:pt>
                <c:pt idx="9">
                  <c:v>ARRIVING 2012</c:v>
                </c:pt>
                <c:pt idx="10">
                  <c:v>ARRIVING 2013</c:v>
                </c:pt>
                <c:pt idx="11">
                  <c:v>ARRIVING 2014</c:v>
                </c:pt>
                <c:pt idx="12">
                  <c:v>ARRIVING 2015</c:v>
                </c:pt>
                <c:pt idx="13">
                  <c:v>ARRIVING 2016</c:v>
                </c:pt>
                <c:pt idx="14">
                  <c:v>ARRIVING 2017</c:v>
                </c:pt>
                <c:pt idx="15">
                  <c:v>ARRIVING 2018</c:v>
                </c:pt>
              </c:strCache>
            </c:strRef>
          </c:cat>
          <c:val>
            <c:numRef>
              <c:f>('Datos Aeropuerto AMS'!$P$9,'Datos Aeropuerto AMS'!$P$17,'Datos Aeropuerto AMS'!$P$30,'Datos Aeropuerto AMS'!$P$43,'Datos Aeropuerto AMS'!$P$56,'Datos Aeropuerto AMS'!$P$68,'Datos Aeropuerto AMS'!$P$81,'Datos Aeropuerto AMS'!$P$94,'Datos Aeropuerto AMS'!$P$106,'Datos Aeropuerto AMS'!$P$118,'Datos Aeropuerto AMS'!$P$130,'Datos Aeropuerto AMS'!$P$142,'Datos Aeropuerto AMS'!$P$154,'Datos Aeropuerto AMS'!$P$166,'Datos Aeropuerto AMS'!$P$178,'Datos Aeropuerto AMS'!$P$190)</c:f>
              <c:numCache>
                <c:formatCode>_ * #,##0_ ;_ * \-#,##0_ ;_ * "-"??_ ;_ @_ </c:formatCode>
                <c:ptCount val="16"/>
                <c:pt idx="0">
                  <c:v>1314738</c:v>
                </c:pt>
                <c:pt idx="1">
                  <c:v>1445382</c:v>
                </c:pt>
                <c:pt idx="2" formatCode="#,##0">
                  <c:v>1611878</c:v>
                </c:pt>
                <c:pt idx="3" formatCode="#,##0">
                  <c:v>1895711</c:v>
                </c:pt>
                <c:pt idx="4" formatCode="#,##0">
                  <c:v>2128539</c:v>
                </c:pt>
                <c:pt idx="5" formatCode="#,##0">
                  <c:v>2251500</c:v>
                </c:pt>
                <c:pt idx="6" formatCode="#,##0">
                  <c:v>2352088</c:v>
                </c:pt>
                <c:pt idx="7" formatCode="#,##0">
                  <c:v>2508398</c:v>
                </c:pt>
                <c:pt idx="8" formatCode="#,##0">
                  <c:v>2686603</c:v>
                </c:pt>
                <c:pt idx="9" formatCode="#,##0">
                  <c:v>2627441</c:v>
                </c:pt>
                <c:pt idx="10" formatCode="#,##0">
                  <c:v>2726850</c:v>
                </c:pt>
                <c:pt idx="11" formatCode="#,##0">
                  <c:v>2817408</c:v>
                </c:pt>
                <c:pt idx="12" formatCode="#,##0">
                  <c:v>2694014</c:v>
                </c:pt>
                <c:pt idx="13" formatCode="#,##0">
                  <c:v>2408530</c:v>
                </c:pt>
                <c:pt idx="14" formatCode="#,##0">
                  <c:v>2447478</c:v>
                </c:pt>
                <c:pt idx="15" formatCode="#,##0">
                  <c:v>2625443</c:v>
                </c:pt>
              </c:numCache>
            </c:numRef>
          </c:val>
          <c:smooth val="0"/>
          <c:extLst xmlns:c16r2="http://schemas.microsoft.com/office/drawing/2015/06/char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402574608"/>
        <c:axId val="402575152"/>
      </c:lineChart>
      <c:catAx>
        <c:axId val="402574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402575152"/>
        <c:crosses val="autoZero"/>
        <c:auto val="1"/>
        <c:lblAlgn val="ctr"/>
        <c:lblOffset val="100"/>
        <c:noMultiLvlLbl val="0"/>
      </c:catAx>
      <c:valAx>
        <c:axId val="402575152"/>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4025746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7192717701118558"/>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0"/>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51.795609300014824</c:v>
                </c:pt>
              </c:numCache>
            </c:numRef>
          </c:val>
          <c:extLst xmlns:c16r2="http://schemas.microsoft.com/office/drawing/2015/06/chart">
            <c:ext xmlns:c16="http://schemas.microsoft.com/office/drawing/2014/chart" uri="{C3380CC4-5D6E-409C-BE32-E72D297353CC}">
              <c16:uniqueId val="{00000004-CB3C-4556-9E08-E19914EEF4CD}"/>
            </c:ext>
            <c:ext xmlns:c15="http://schemas.microsoft.com/office/drawing/2012/chart" uri="{02D57815-91ED-43cb-92C2-25804820EDAC}">
              <c15:categoryFilterExceptions>
                <c15:categoryFilterException>
                  <c15:sqref>'TOH '!$AO$5</c15:sqref>
                  <c15:spPr xmlns:c15="http://schemas.microsoft.com/office/drawing/2012/chart">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15:spPr>
                  <c15:invertIfNegative val="0"/>
                  <c15:bubble3D val="0"/>
                </c15:categoryFilterException>
              </c15:categoryFilterExceptions>
            </c:ext>
          </c:extLst>
        </c:ser>
        <c:dLbls>
          <c:dLblPos val="inEnd"/>
          <c:showLegendKey val="0"/>
          <c:showVal val="1"/>
          <c:showCatName val="0"/>
          <c:showSerName val="0"/>
          <c:showPercent val="0"/>
          <c:showBubbleSize val="0"/>
        </c:dLbls>
        <c:gapWidth val="41"/>
        <c:axId val="402576240"/>
        <c:axId val="402576784"/>
      </c:barChart>
      <c:catAx>
        <c:axId val="4025762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402576784"/>
        <c:crosses val="autoZero"/>
        <c:auto val="1"/>
        <c:lblAlgn val="ctr"/>
        <c:lblOffset val="100"/>
        <c:noMultiLvlLbl val="0"/>
      </c:catAx>
      <c:valAx>
        <c:axId val="402576784"/>
        <c:scaling>
          <c:orientation val="minMax"/>
        </c:scaling>
        <c:delete val="1"/>
        <c:axPos val="l"/>
        <c:numFmt formatCode="0" sourceLinked="1"/>
        <c:majorTickMark val="none"/>
        <c:minorTickMark val="none"/>
        <c:tickLblPos val="none"/>
        <c:crossAx val="4025762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'!$S$32</c:f>
              <c:strCache>
                <c:ptCount val="1"/>
                <c:pt idx="0">
                  <c:v>TOH 2017</c:v>
                </c:pt>
              </c:strCache>
              <c:extLst xmlns:c15="http://schemas.microsoft.com/office/drawing/2012/chart" xmlns:c16r2="http://schemas.microsoft.com/office/drawing/2015/06/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1-9CC9-4871-B50B-3C4EB1078190}"/>
                </c:ext>
                <c:ext xmlns:c15="http://schemas.microsoft.com/office/drawing/2012/chart" uri="{CE6537A1-D6FC-4f65-9D91-7224C49458BB}"/>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5">
                    <a:lumMod val="60000"/>
                  </a:schemeClr>
                </a:solidFill>
              </a:ln>
              <a:effectLst/>
            </c:spPr>
            <c:trendlineType val="linear"/>
            <c:dispRSqr val="0"/>
            <c:dispEq val="0"/>
          </c:trendline>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'!$S$36:$AD$36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xmlns:c16r2="http://schemas.microsoft.com/office/drawing/2015/06/chart"/>
            </c:numRef>
          </c:val>
          <c:smooth val="0"/>
          <c:extLst xmlns:c16r2="http://schemas.microsoft.com/office/drawing/2015/06/chart">
            <c:ext xmlns:c16="http://schemas.microsoft.com/office/drawing/2014/chart" uri="{C3380CC4-5D6E-409C-BE32-E72D297353CC}">
              <c16:uniqueId val="{00000002-9CC9-4871-B50B-3C4EB1078190}"/>
            </c:ext>
          </c:extLst>
        </c:ser>
        <c:ser>
          <c:idx val="5"/>
          <c:order val="5"/>
          <c:tx>
            <c:strRef>
              <c:f>'TOH '!$S$17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4">
                    <a:lumMod val="60000"/>
                  </a:schemeClr>
                </a:solidFill>
              </a:ln>
              <a:effectLst/>
            </c:spPr>
            <c:trendlineType val="linear"/>
            <c:dispRSqr val="0"/>
            <c:dispEq val="0"/>
          </c:trendline>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'!$S$21:$AD$21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xmlns:c16r2="http://schemas.microsoft.com/office/drawing/2015/06/chart">
            <c:ext xmlns:c16="http://schemas.microsoft.com/office/drawing/2014/chart" uri="{C3380CC4-5D6E-409C-BE32-E72D297353CC}">
              <c16:uniqueId val="{00000003-9CC9-4871-B50B-3C4EB1078190}"/>
            </c:ext>
          </c:extLst>
        </c:ser>
        <c:ser>
          <c:idx val="6"/>
          <c:order val="6"/>
          <c:tx>
            <c:strRef>
              <c:f>'TOH '!$S$1</c:f>
              <c:strCache>
                <c:ptCount val="1"/>
                <c:pt idx="0">
                  <c:v>TOH 2019 (e) </c:v>
                </c:pt>
              </c:strCache>
            </c:strRef>
          </c:tx>
          <c:spPr>
            <a:ln w="22225" cap="rnd" cmpd="sng" algn="ctr">
              <a:solidFill>
                <a:schemeClr val="accent6">
                  <a:lumMod val="80000"/>
                  <a:lumOff val="20000"/>
                </a:schemeClr>
              </a:solidFill>
              <a:round/>
            </a:ln>
            <a:effectLst/>
          </c:spPr>
          <c:marker>
            <c:symbol val="none"/>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'!$S$5:$AD$5</c:f>
              <c:numCache>
                <c:formatCode>0.00</c:formatCode>
                <c:ptCount val="12"/>
                <c:pt idx="0">
                  <c:v>40.700123231092157</c:v>
                </c:pt>
                <c:pt idx="1">
                  <c:v>48.522449999999999</c:v>
                </c:pt>
                <c:pt idx="2">
                  <c:v>50.930183333333332</c:v>
                </c:pt>
                <c:pt idx="3">
                  <c:v>51.349283333333339</c:v>
                </c:pt>
                <c:pt idx="4">
                  <c:v>45.558583333333331</c:v>
                </c:pt>
                <c:pt idx="5">
                  <c:v>51.977499999999999</c:v>
                </c:pt>
                <c:pt idx="6">
                  <c:v>47.922133333333335</c:v>
                </c:pt>
                <c:pt idx="7">
                  <c:v>44.599633333333337</c:v>
                </c:pt>
                <c:pt idx="8">
                  <c:v>48.7851</c:v>
                </c:pt>
                <c:pt idx="9">
                  <c:v>53.836950000000002</c:v>
                </c:pt>
                <c:pt idx="10">
                  <c:v>50.774516666666671</c:v>
                </c:pt>
                <c:pt idx="11">
                  <c:v>37.141750000000002</c:v>
                </c:pt>
              </c:numCache>
            </c:numRef>
          </c:val>
          <c:smooth val="0"/>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412702112"/>
        <c:axId val="412699936"/>
        <c:extLst xmlns:c16r2="http://schemas.microsoft.com/office/drawing/2015/06/chart">
          <c:ext xmlns:c15="http://schemas.microsoft.com/office/drawing/2012/chart" uri="{02D57815-91ED-43cb-92C2-25804820EDAC}">
            <c15:filteredLineSeries>
              <c15:ser>
                <c:idx val="2"/>
                <c:order val="0"/>
                <c:tx>
                  <c:strRef>
                    <c:extLst xmlns:c16r2="http://schemas.microsoft.com/office/drawing/2015/06/chart">
                      <c:ext uri="{02D57815-91ED-43cb-92C2-25804820EDAC}">
                        <c15:formulaRef>
                          <c15:sqref>'TOH '!$S$68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CC9-4871-B50B-3C4EB1078190}"/>
                      </c:ext>
                      <c:ext uri="{CE6537A1-D6FC-4f65-9D91-7224C49458BB}"/>
                    </c:extLst>
                  </c:dLbl>
                  <c:dLbl>
                    <c:idx val="4"/>
                    <c:layout>
                      <c:manualLayout>
                        <c:x val="-1.7454324830607465E-2"/>
                        <c:y val="-3.676969688001247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CC9-4871-B50B-3C4EB1078190}"/>
                      </c:ext>
                      <c:ext uri="{CE6537A1-D6FC-4f65-9D91-7224C49458BB}"/>
                    </c:extLst>
                  </c:dLbl>
                  <c:dLbl>
                    <c:idx val="7"/>
                    <c:layout>
                      <c:manualLayout>
                        <c:x val="-2.2214595238954953E-2"/>
                        <c:y val="-4.085521875556933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CC9-4871-B50B-3C4EB1078190}"/>
                      </c:ext>
                      <c:ex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a:solidFill>
                              <a:schemeClr val="dk1">
                                <a:lumMod val="35000"/>
                                <a:lumOff val="65000"/>
                              </a:schemeClr>
                            </a:solidFill>
                          </a:ln>
                          <a:effectLst/>
                        </c:spPr>
                      </c15:leaderLines>
                    </c:ext>
                  </c:extLst>
                </c:dLbls>
                <c:cat>
                  <c:strRef>
                    <c:extLst xmlns:c16r2="http://schemas.microsoft.com/office/drawing/2015/06/char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c:ext uri="{02D57815-91ED-43cb-92C2-25804820EDAC}">
                        <c15:formulaRef>
                          <c15:sqref>'TOH '!$S$70:$AD$70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xmlns:c16r2="http://schemas.microsoft.com/office/drawing/2015/06/char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'TOH '!$S$61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8-9CC9-4871-B50B-3C4EB1078190}"/>
                      </c:ext>
                      <c:ext xmlns:c15="http://schemas.microsoft.com/office/drawing/2012/chart" uri="{CE6537A1-D6FC-4f65-9D91-7224C49458BB}"/>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9-9CC9-4871-B50B-3C4EB1078190}"/>
                      </c:ext>
                      <c:ext xmlns:c15="http://schemas.microsoft.com/office/drawing/2012/chart" uri="{CE6537A1-D6FC-4f65-9D91-7224C49458BB}"/>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A-9CC9-4871-B50B-3C4EB1078190}"/>
                      </c:ext>
                      <c:ext xmlns:c15="http://schemas.microsoft.com/office/drawing/2012/chart" uri="{CE6537A1-D6FC-4f65-9D91-7224C49458BB}"/>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B-9CC9-4871-B50B-3C4EB1078190}"/>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xmlns:c16r2="http://schemas.microsoft.com/office/drawing/2015/06/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'TOH '!$S$63:$AD$63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xmlns:c16r2="http://schemas.microsoft.com/office/drawing/2015/06/chart">
                      <c:ext xmlns:c15="http://schemas.microsoft.com/office/drawing/2012/chart" uri="{02D57815-91ED-43cb-92C2-25804820EDAC}">
                        <c15:formulaRef>
                          <c15:sqref>'TOH '!$S$54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D-9CC9-4871-B50B-3C4EB1078190}"/>
                      </c:ext>
                      <c:ext xmlns:c15="http://schemas.microsoft.com/office/drawing/2012/chart" uri="{CE6537A1-D6FC-4f65-9D91-7224C49458BB}"/>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E-9CC9-4871-B50B-3C4EB1078190}"/>
                      </c:ext>
                      <c:ext xmlns:c15="http://schemas.microsoft.com/office/drawing/2012/chart" uri="{CE6537A1-D6FC-4f65-9D91-7224C49458BB}"/>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F-9CC9-4871-B50B-3C4EB1078190}"/>
                      </c:ext>
                      <c:ext xmlns:c15="http://schemas.microsoft.com/office/drawing/2012/chart" uri="{CE6537A1-D6FC-4f65-9D91-7224C49458BB}"/>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0-9CC9-4871-B50B-3C4EB1078190}"/>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xmlns:c16r2="http://schemas.microsoft.com/office/drawing/2015/06/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'TOH '!$S$56:$AD$56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xmlns:c16r2="http://schemas.microsoft.com/office/drawing/2015/06/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'TOH '!$S$46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xmlns:c16r2="http://schemas.microsoft.com/office/drawing/2015/06/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'TOH '!$S$49:$AD$49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41270211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412699936"/>
        <c:crosses val="autoZero"/>
        <c:auto val="1"/>
        <c:lblAlgn val="ctr"/>
        <c:lblOffset val="100"/>
        <c:noMultiLvlLbl val="0"/>
      </c:catAx>
      <c:valAx>
        <c:axId val="412699936"/>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412702112"/>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'!$S$8:$AD$8</c:f>
              <c:numCache>
                <c:formatCode>0.00</c:formatCode>
                <c:ptCount val="12"/>
                <c:pt idx="0">
                  <c:v>51.88</c:v>
                </c:pt>
                <c:pt idx="1">
                  <c:v>61.274700000000003</c:v>
                </c:pt>
                <c:pt idx="2">
                  <c:v>60.121099999999998</c:v>
                </c:pt>
                <c:pt idx="3">
                  <c:v>66.115700000000004</c:v>
                </c:pt>
                <c:pt idx="4">
                  <c:v>59.791499999999999</c:v>
                </c:pt>
                <c:pt idx="5">
                  <c:v>63.344999999999999</c:v>
                </c:pt>
                <c:pt idx="6">
                  <c:v>59.492800000000003</c:v>
                </c:pt>
                <c:pt idx="7">
                  <c:v>54.857799999999997</c:v>
                </c:pt>
                <c:pt idx="8">
                  <c:v>66.970600000000005</c:v>
                </c:pt>
                <c:pt idx="9">
                  <c:v>66.321700000000007</c:v>
                </c:pt>
                <c:pt idx="10">
                  <c:v>68.567099999999996</c:v>
                </c:pt>
                <c:pt idx="11">
                  <c:v>46.710500000000003</c:v>
                </c:pt>
              </c:numCache>
            </c:numRef>
          </c:val>
          <c:smooth val="0"/>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'!$S$24:$AD$24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D16-4522-8611-19845D5EEDAE}"/>
                </c:ext>
                <c:ext xmlns:c15="http://schemas.microsoft.com/office/drawing/2012/chart" uri="{CE6537A1-D6FC-4f65-9D91-7224C49458BB}"/>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'!$S$39:$AD$39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xmlns:c16r2="http://schemas.microsoft.com/office/drawing/2015/06/char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412689056"/>
        <c:axId val="412700480"/>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'!$S$50:$AD$50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xmlns:c16r2="http://schemas.microsoft.com/office/drawing/2015/06/char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3-7D16-4522-8611-19845D5EEDAE}"/>
                      </c:ext>
                      <c:ext xmlns:c15="http://schemas.microsoft.com/office/drawing/2012/chart" uri="{CE6537A1-D6FC-4f65-9D91-7224C49458BB}"/>
                    </c:extLst>
                  </c:dLbl>
                  <c:dLbl>
                    <c:idx val="2"/>
                    <c:layout>
                      <c:manualLayout>
                        <c:x val="-1.5858495271046658E-2"/>
                        <c:y val="4.041464792318035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4-7D16-4522-8611-19845D5EEDAE}"/>
                      </c:ext>
                      <c:ext xmlns:c15="http://schemas.microsoft.com/office/drawing/2012/chart" uri="{CE6537A1-D6FC-4f65-9D91-7224C49458BB}"/>
                    </c:extLst>
                  </c:dLbl>
                  <c:dLbl>
                    <c:idx val="4"/>
                    <c:layout>
                      <c:manualLayout>
                        <c:x val="-6.343398108418663E-3"/>
                        <c:y val="2.0207323961590175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5-7D16-4522-8611-19845D5EEDAE}"/>
                      </c:ext>
                      <c:ext xmlns:c15="http://schemas.microsoft.com/office/drawing/2012/chart" uri="{CE6537A1-D6FC-4f65-9D91-7224C49458BB}"/>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'!$S$57:$AD$57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7-7D16-4522-8611-19845D5EEDAE}"/>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'!$S$64:$AD$64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9-7D16-4522-8611-19845D5EEDAE}"/>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'!$S$71:$AD$71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412689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12700480"/>
        <c:crosses val="autoZero"/>
        <c:auto val="1"/>
        <c:lblAlgn val="ctr"/>
        <c:lblOffset val="100"/>
        <c:noMultiLvlLbl val="0"/>
      </c:catAx>
      <c:valAx>
        <c:axId val="412700480"/>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12689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'Sugeridos-estancia-gasto'!$B$6:$M$6</c:f>
              <c:numCache>
                <c:formatCode>0.00</c:formatCode>
                <c:ptCount val="8"/>
                <c:pt idx="0">
                  <c:v>537</c:v>
                </c:pt>
                <c:pt idx="1">
                  <c:v>572</c:v>
                </c:pt>
                <c:pt idx="2">
                  <c:v>666</c:v>
                </c:pt>
                <c:pt idx="3">
                  <c:v>446</c:v>
                </c:pt>
                <c:pt idx="4">
                  <c:v>631</c:v>
                </c:pt>
                <c:pt idx="5">
                  <c:v>550.08828863600218</c:v>
                </c:pt>
                <c:pt idx="6">
                  <c:v>690</c:v>
                </c:pt>
                <c:pt idx="7">
                  <c:v>596.61765772720048</c:v>
                </c:pt>
              </c:numCache>
            </c:numRef>
          </c:val>
          <c:smooth val="0"/>
          <c:extLst xmlns:c16r2="http://schemas.microsoft.com/office/drawing/2015/06/char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412342400"/>
        <c:axId val="412342944"/>
      </c:lineChart>
      <c:catAx>
        <c:axId val="41234240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412342944"/>
        <c:crosses val="autoZero"/>
        <c:auto val="1"/>
        <c:lblAlgn val="ctr"/>
        <c:lblOffset val="100"/>
        <c:noMultiLvlLbl val="0"/>
      </c:catAx>
      <c:valAx>
        <c:axId val="412342944"/>
        <c:scaling>
          <c:orientation val="minMax"/>
        </c:scaling>
        <c:delete val="1"/>
        <c:axPos val="l"/>
        <c:numFmt formatCode="0.00" sourceLinked="1"/>
        <c:majorTickMark val="none"/>
        <c:minorTickMark val="none"/>
        <c:tickLblPos val="nextTo"/>
        <c:crossAx val="412342400"/>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'!$S$11:$AD$11</c:f>
              <c:numCache>
                <c:formatCode>0.00</c:formatCode>
                <c:ptCount val="12"/>
                <c:pt idx="0">
                  <c:v>45.314645541336589</c:v>
                </c:pt>
                <c:pt idx="1">
                  <c:v>60.77</c:v>
                </c:pt>
                <c:pt idx="2">
                  <c:v>62.83</c:v>
                </c:pt>
                <c:pt idx="3">
                  <c:v>59.74</c:v>
                </c:pt>
                <c:pt idx="4">
                  <c:v>54.59</c:v>
                </c:pt>
                <c:pt idx="5">
                  <c:v>62.83</c:v>
                </c:pt>
                <c:pt idx="6">
                  <c:v>56.65</c:v>
                </c:pt>
                <c:pt idx="7">
                  <c:v>54.59</c:v>
                </c:pt>
                <c:pt idx="8">
                  <c:v>57.68</c:v>
                </c:pt>
                <c:pt idx="9">
                  <c:v>63.86</c:v>
                </c:pt>
                <c:pt idx="10">
                  <c:v>60.77</c:v>
                </c:pt>
                <c:pt idx="11">
                  <c:v>41.2</c:v>
                </c:pt>
              </c:numCache>
            </c:numRef>
          </c:val>
          <c:smooth val="0"/>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'!$S$26:$AD$26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B03-4952-8700-B2796EBFF134}"/>
                </c:ext>
                <c:ext xmlns:c15="http://schemas.microsoft.com/office/drawing/2012/chart" uri="{CE6537A1-D6FC-4f65-9D91-7224C49458BB}"/>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'!$S$40:$AD$40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xmlns:c16r2="http://schemas.microsoft.com/office/drawing/2015/06/char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412689600"/>
        <c:axId val="412690144"/>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'!$S$51:$AD$51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xmlns:c16r2="http://schemas.microsoft.com/office/drawing/2015/06/char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'!$S$58:$AD$58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'!$S$65:$AD$65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'!$S$72:$AD$72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412689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12690144"/>
        <c:crosses val="autoZero"/>
        <c:auto val="1"/>
        <c:lblAlgn val="ctr"/>
        <c:lblOffset val="100"/>
        <c:noMultiLvlLbl val="0"/>
      </c:catAx>
      <c:valAx>
        <c:axId val="412690144"/>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12689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'!$S$13:$AD$13</c:f>
              <c:numCache>
                <c:formatCode>0.00</c:formatCode>
                <c:ptCount val="12"/>
                <c:pt idx="0">
                  <c:v>26.345724151939876</c:v>
                </c:pt>
                <c:pt idx="1">
                  <c:v>22.66</c:v>
                </c:pt>
                <c:pt idx="2">
                  <c:v>30.900000000000002</c:v>
                </c:pt>
                <c:pt idx="3">
                  <c:v>25.75</c:v>
                </c:pt>
                <c:pt idx="4">
                  <c:v>23.69</c:v>
                </c:pt>
                <c:pt idx="5">
                  <c:v>31.93</c:v>
                </c:pt>
                <c:pt idx="6">
                  <c:v>29.87</c:v>
                </c:pt>
                <c:pt idx="7">
                  <c:v>26.78</c:v>
                </c:pt>
                <c:pt idx="8">
                  <c:v>23.69</c:v>
                </c:pt>
                <c:pt idx="9">
                  <c:v>33.99</c:v>
                </c:pt>
                <c:pt idx="10">
                  <c:v>24.72</c:v>
                </c:pt>
                <c:pt idx="11">
                  <c:v>19.57</c:v>
                </c:pt>
              </c:numCache>
            </c:numRef>
          </c:val>
          <c:smooth val="0"/>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'!$S$28:$AD$28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171-44C5-BC0F-2D7ED4C4EC01}"/>
                </c:ext>
                <c:ext xmlns:c15="http://schemas.microsoft.com/office/drawing/2012/chart" uri="{CE6537A1-D6FC-4f65-9D91-7224C49458BB}"/>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'!$S$42:$AD$42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xmlns:c16r2="http://schemas.microsoft.com/office/drawing/2015/06/char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412691776"/>
        <c:axId val="41270265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171-44C5-BC0F-2D7ED4C4EC01}"/>
                      </c:ext>
                      <c:ext uri="{CE6537A1-D6FC-4f65-9D91-7224C49458BB}"/>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'!$S$52:$AD$52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xmlns:c16r2="http://schemas.microsoft.com/office/drawing/2015/06/char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'!$S$59:$AD$59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'!$S$66:$AD$66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'!$S$73:$AD$73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412691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12702656"/>
        <c:crosses val="autoZero"/>
        <c:auto val="1"/>
        <c:lblAlgn val="ctr"/>
        <c:lblOffset val="100"/>
        <c:noMultiLvlLbl val="0"/>
      </c:catAx>
      <c:valAx>
        <c:axId val="41270265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12691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'!$AH$3:$AV$3</c15:sqref>
                  </c15:fullRef>
                </c:ext>
              </c:extLst>
              <c:f>('TOH '!$AH$3:$AS$3,'TOH '!$AU$3:$AV$3)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extLst>
                <c:ext xmlns:c15="http://schemas.microsoft.com/office/drawing/2012/chart" uri="{02D57815-91ED-43cb-92C2-25804820EDAC}">
                  <c15:fullRef>
                    <c15:sqref>'TOH '!$AH$5:$AV$5</c15:sqref>
                  </c15:fullRef>
                </c:ext>
              </c:extLst>
              <c:f>('TOH '!$AH$5:$AS$5,'TOH '!$AU$5:$AV$5)</c:f>
              <c:numCache>
                <c:formatCode>0</c:formatCode>
                <c:ptCount val="14"/>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51.795609300014824</c:v>
                </c:pt>
              </c:numCache>
            </c:numRef>
          </c:val>
          <c:smooth val="0"/>
          <c:extLst xmlns:c16r2="http://schemas.microsoft.com/office/drawing/2015/06/char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412703200"/>
        <c:axId val="412693408"/>
      </c:lineChart>
      <c:catAx>
        <c:axId val="4127032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412693408"/>
        <c:crosses val="autoZero"/>
        <c:auto val="1"/>
        <c:lblAlgn val="ctr"/>
        <c:lblOffset val="100"/>
        <c:noMultiLvlLbl val="0"/>
      </c:catAx>
      <c:valAx>
        <c:axId val="412693408"/>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12703200"/>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6737905244969413"/>
          <c:h val="0.67956879430629424"/>
        </c:manualLayout>
      </c:layout>
      <c:lineChart>
        <c:grouping val="standard"/>
        <c:varyColors val="0"/>
        <c:ser>
          <c:idx val="0"/>
          <c:order val="0"/>
          <c:spPr>
            <a:ln w="28575" cap="rnd">
              <a:gradFill>
                <a:gsLst>
                  <a:gs pos="0">
                    <a:schemeClr val="accent1"/>
                  </a:gs>
                  <a:gs pos="100000">
                    <a:schemeClr val="accent1">
                      <a:lumMod val="84000"/>
                    </a:schemeClr>
                  </a:gs>
                </a:gsLst>
                <a:lin ang="5400000" scaled="1"/>
              </a:gradFill>
              <a:round/>
            </a:ln>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Pt>
            <c:idx val="0"/>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spPr>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trendline>
            <c:spPr>
              <a:ln w="19050" cap="rnd">
                <a:solidFill>
                  <a:schemeClr val="accent1"/>
                </a:solidFill>
                <a:prstDash val="sysDash"/>
              </a:ln>
              <a:effectLst/>
            </c:spPr>
            <c:trendlineType val="linear"/>
            <c:dispRSqr val="0"/>
            <c:dispEq val="0"/>
          </c:trendline>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51.795609300014824</c:v>
                </c:pt>
              </c:numCache>
            </c:numRef>
          </c:val>
          <c:smooth val="0"/>
          <c:extLst xmlns:c16r2="http://schemas.microsoft.com/office/drawing/2015/06/chart">
            <c:ext xmlns:c16="http://schemas.microsoft.com/office/drawing/2014/chart" uri="{C3380CC4-5D6E-409C-BE32-E72D297353CC}">
              <c16:uniqueId val="{00000004-9225-4D67-A7C6-E173464B6D82}"/>
            </c:ext>
            <c:ext xmlns:c15="http://schemas.microsoft.com/office/drawing/2012/chart" uri="{02D57815-91ED-43cb-92C2-25804820EDAC}">
              <c15:categoryFilterExceptions>
                <c15:categoryFilterException>
                  <c15:sqref>'TOH '!$AO$5</c15:sqref>
                  <c15:spPr xmlns:c15="http://schemas.microsoft.com/office/drawing/2012/chart">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15:spPr>
                  <c15:bubble3D val="0"/>
                  <c15: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15:marker>
                </c15:categoryFilterException>
              </c15:categoryFilterExceptions>
            </c:ext>
          </c:extLst>
        </c:ser>
        <c:dLbls>
          <c:showLegendKey val="0"/>
          <c:showVal val="1"/>
          <c:showCatName val="0"/>
          <c:showSerName val="0"/>
          <c:showPercent val="0"/>
          <c:showBubbleSize val="0"/>
        </c:dLbls>
        <c:marker val="1"/>
        <c:smooth val="0"/>
        <c:axId val="412695584"/>
        <c:axId val="412696672"/>
      </c:lineChart>
      <c:catAx>
        <c:axId val="412695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412696672"/>
        <c:crosses val="autoZero"/>
        <c:auto val="1"/>
        <c:lblAlgn val="ctr"/>
        <c:lblOffset val="100"/>
        <c:noMultiLvlLbl val="0"/>
      </c:catAx>
      <c:valAx>
        <c:axId val="412696672"/>
        <c:scaling>
          <c:orientation val="minMax"/>
        </c:scaling>
        <c:delete val="1"/>
        <c:axPos val="l"/>
        <c:numFmt formatCode="0" sourceLinked="1"/>
        <c:majorTickMark val="none"/>
        <c:minorTickMark val="none"/>
        <c:tickLblPos val="none"/>
        <c:crossAx val="412695584"/>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'!$BC$3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FA4-4F5D-8220-9651C17EDDAF}"/>
                </c:ext>
                <c:ext xmlns:c15="http://schemas.microsoft.com/office/drawing/2012/chart" uri="{CE6537A1-D6FC-4f65-9D91-7224C49458BB}"/>
              </c:extLst>
            </c:dLbl>
            <c:dLbl>
              <c:idx val="10"/>
              <c:layout>
                <c:manualLayout>
                  <c:x val="-4.343711967268607E-2"/>
                  <c:y val="-7.207204285732825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FA4-4F5D-8220-9651C17EDDAF}"/>
                </c:ext>
                <c:ext xmlns:c15="http://schemas.microsoft.com/office/drawing/2012/chart" uri="{CE6537A1-D6FC-4f65-9D91-7224C49458BB}"/>
              </c:extLst>
            </c:dLbl>
            <c:dLbl>
              <c:idx val="11"/>
              <c:layout>
                <c:manualLayout>
                  <c:x val="-2.3653084126260097E-2"/>
                  <c:y val="-8.751605204104133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FA4-4F5D-8220-9651C17EDDAF}"/>
                </c:ext>
                <c:ext xmlns:c15="http://schemas.microsoft.com/office/drawing/2012/chart" uri="{CE6537A1-D6FC-4f65-9D91-7224C49458BB}"/>
              </c:extLst>
            </c:dLbl>
            <c:dLbl>
              <c:idx val="23"/>
              <c:layout>
                <c:manualLayout>
                  <c:x val="-2.6806828676428043E-2"/>
                  <c:y val="-7.722004591856589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FA4-4F5D-8220-9651C17EDDAF}"/>
                </c:ext>
                <c:ext xmlns:c15="http://schemas.microsoft.com/office/drawing/2012/chart" uri="{CE6537A1-D6FC-4f65-9D91-7224C49458BB}"/>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'!$BB$5:$BB$30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'!$BC$5:$BC$30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51.795609300014824</c:v>
                </c:pt>
                <c:pt idx="16">
                  <c:v>51.186764109399199</c:v>
                </c:pt>
                <c:pt idx="17">
                  <c:v>51.058632874803685</c:v>
                </c:pt>
                <c:pt idx="18">
                  <c:v>50.93050164020817</c:v>
                </c:pt>
                <c:pt idx="19">
                  <c:v>50.802370405612656</c:v>
                </c:pt>
                <c:pt idx="20">
                  <c:v>50.674239171017149</c:v>
                </c:pt>
                <c:pt idx="21">
                  <c:v>50.546107936421635</c:v>
                </c:pt>
                <c:pt idx="22">
                  <c:v>50.41797670182612</c:v>
                </c:pt>
                <c:pt idx="23">
                  <c:v>50.289845467230606</c:v>
                </c:pt>
                <c:pt idx="24">
                  <c:v>50.161714232635099</c:v>
                </c:pt>
                <c:pt idx="25">
                  <c:v>50.033582998039584</c:v>
                </c:pt>
              </c:numCache>
            </c:numRef>
          </c:yVal>
          <c:smooth val="0"/>
          <c:extLst xmlns:c16r2="http://schemas.microsoft.com/office/drawing/2015/06/char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412698304"/>
        <c:axId val="412699392"/>
      </c:scatterChart>
      <c:valAx>
        <c:axId val="412698304"/>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412699392"/>
        <c:crosses val="autoZero"/>
        <c:crossBetween val="midCat"/>
        <c:majorUnit val="1"/>
      </c:valAx>
      <c:valAx>
        <c:axId val="412699392"/>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412698304"/>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xmlns:c16r2="http://schemas.microsoft.com/office/drawing/2015/06/char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xmlns:c16r2="http://schemas.microsoft.com/office/drawing/2015/06/char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xmlns:c16r2="http://schemas.microsoft.com/office/drawing/2015/06/char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273603984"/>
        <c:axId val="273601808"/>
      </c:lineChart>
      <c:catAx>
        <c:axId val="27360398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273601808"/>
        <c:crosses val="autoZero"/>
        <c:auto val="1"/>
        <c:lblAlgn val="ctr"/>
        <c:lblOffset val="100"/>
        <c:noMultiLvlLbl val="0"/>
      </c:catAx>
      <c:valAx>
        <c:axId val="27360180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27360398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xmlns:c16r2="http://schemas.microsoft.com/office/drawing/2015/06/char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273612688"/>
        <c:axId val="273602352"/>
      </c:lineChart>
      <c:catAx>
        <c:axId val="273612688"/>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273602352"/>
        <c:crosses val="autoZero"/>
        <c:auto val="1"/>
        <c:lblAlgn val="ctr"/>
        <c:lblOffset val="100"/>
        <c:noMultiLvlLbl val="0"/>
      </c:catAx>
      <c:valAx>
        <c:axId val="273602352"/>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273612688"/>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xmlns:c16r2="http://schemas.microsoft.com/office/drawing/2015/06/char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273611600"/>
        <c:axId val="273603440"/>
      </c:lineChart>
      <c:catAx>
        <c:axId val="27361160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273603440"/>
        <c:crosses val="autoZero"/>
        <c:auto val="1"/>
        <c:lblAlgn val="ctr"/>
        <c:lblOffset val="100"/>
        <c:noMultiLvlLbl val="0"/>
      </c:catAx>
      <c:valAx>
        <c:axId val="273603440"/>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273611600"/>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xmlns:c16r2="http://schemas.microsoft.com/office/drawing/2015/06/char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A63-4701-8671-1F54A3736D9D}"/>
                </c:ext>
                <c:ext xmlns:c15="http://schemas.microsoft.com/office/drawing/2012/chart" uri="{CE6537A1-D6FC-4f65-9D91-7224C49458BB}"/>
              </c:extLst>
            </c:dLbl>
            <c:dLbl>
              <c:idx val="9"/>
              <c:layout>
                <c:manualLayout>
                  <c:x val="-1.1010883812341616E-16"/>
                  <c:y val="-1.68067226890756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A63-4701-8671-1F54A3736D9D}"/>
                </c:ext>
                <c:ext xmlns:c15="http://schemas.microsoft.com/office/drawing/2012/chart" uri="{CE6537A1-D6FC-4f65-9D91-7224C49458BB}"/>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xmlns:c16r2="http://schemas.microsoft.com/office/drawing/2015/06/char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273607248"/>
        <c:axId val="273613232"/>
      </c:lineChart>
      <c:catAx>
        <c:axId val="2736072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273613232"/>
        <c:crosses val="autoZero"/>
        <c:auto val="1"/>
        <c:lblAlgn val="ctr"/>
        <c:lblOffset val="100"/>
        <c:noMultiLvlLbl val="0"/>
      </c:catAx>
      <c:valAx>
        <c:axId val="273613232"/>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7360724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xmlns:c16r2="http://schemas.microsoft.com/office/drawing/2015/06/char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273607792"/>
        <c:axId val="273608880"/>
      </c:lineChart>
      <c:catAx>
        <c:axId val="27360779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273608880"/>
        <c:crosses val="autoZero"/>
        <c:auto val="1"/>
        <c:lblAlgn val="ctr"/>
        <c:lblOffset val="100"/>
        <c:noMultiLvlLbl val="0"/>
      </c:catAx>
      <c:valAx>
        <c:axId val="27360888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27360779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xmlns:c16r2="http://schemas.microsoft.com/office/drawing/2015/06/char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604898704"/>
        <c:axId val="604893264"/>
      </c:lineChart>
      <c:catAx>
        <c:axId val="6048987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604893264"/>
        <c:crosses val="autoZero"/>
        <c:auto val="1"/>
        <c:lblAlgn val="ctr"/>
        <c:lblOffset val="100"/>
        <c:noMultiLvlLbl val="0"/>
      </c:catAx>
      <c:valAx>
        <c:axId val="604893264"/>
        <c:scaling>
          <c:orientation val="minMax"/>
        </c:scaling>
        <c:delete val="1"/>
        <c:axPos val="l"/>
        <c:numFmt formatCode="0.00" sourceLinked="1"/>
        <c:majorTickMark val="none"/>
        <c:minorTickMark val="none"/>
        <c:tickLblPos val="nextTo"/>
        <c:crossAx val="6048987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c:f>
          <c:strCache>
            <c:ptCount val="1"/>
            <c:pt idx="0">
              <c:v>Tasa de Ocupación  Hotelera por sector (%)</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geográfico'!$EK$7:$EK$14</c:f>
              <c:numCache>
                <c:formatCode>0.0</c:formatCode>
                <c:ptCount val="8"/>
                <c:pt idx="0">
                  <c:v>52.646506184060037</c:v>
                </c:pt>
                <c:pt idx="1">
                  <c:v>47.413998488881852</c:v>
                </c:pt>
                <c:pt idx="2">
                  <c:v>38.677393471796968</c:v>
                </c:pt>
                <c:pt idx="3">
                  <c:v>56.518577080274319</c:v>
                </c:pt>
                <c:pt idx="4">
                  <c:v>40.496822973464198</c:v>
                </c:pt>
                <c:pt idx="5">
                  <c:v>57.673013486015982</c:v>
                </c:pt>
                <c:pt idx="6">
                  <c:v>54.909727510831885</c:v>
                </c:pt>
                <c:pt idx="7">
                  <c:v>30.364966725457744</c:v>
                </c:pt>
              </c:numCache>
            </c:numRef>
          </c:val>
          <c:extLst xmlns:c16r2="http://schemas.microsoft.com/office/drawing/2015/06/chart">
            <c:ext xmlns:c16="http://schemas.microsoft.com/office/drawing/2014/chart" uri="{C3380CC4-5D6E-409C-BE32-E72D297353CC}">
              <c16:uniqueId val="{00000000-6741-46A4-838E-8E5E8210C202}"/>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geográfico'!$EL$7:$EL$14</c:f>
              <c:numCache>
                <c:formatCode>0.0</c:formatCode>
                <c:ptCount val="8"/>
                <c:pt idx="0">
                  <c:v>46.512730614023319</c:v>
                </c:pt>
                <c:pt idx="1">
                  <c:v>32.712732474964241</c:v>
                </c:pt>
                <c:pt idx="2">
                  <c:v>34.41709732988803</c:v>
                </c:pt>
                <c:pt idx="3">
                  <c:v>48.390678848616496</c:v>
                </c:pt>
                <c:pt idx="4">
                  <c:v>35.070405982905982</c:v>
                </c:pt>
                <c:pt idx="5">
                  <c:v>47.083055169216514</c:v>
                </c:pt>
                <c:pt idx="6">
                  <c:v>51.903257727373806</c:v>
                </c:pt>
                <c:pt idx="7">
                  <c:v>42.570175438596493</c:v>
                </c:pt>
              </c:numCache>
            </c:numRef>
          </c:val>
          <c:extLst xmlns:c16r2="http://schemas.microsoft.com/office/drawing/2015/06/chart">
            <c:ext xmlns:c16="http://schemas.microsoft.com/office/drawing/2014/chart" uri="{C3380CC4-5D6E-409C-BE32-E72D297353CC}">
              <c16:uniqueId val="{00000001-6741-46A4-838E-8E5E8210C202}"/>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geográfico'!$EM$7:$EM$14</c:f>
              <c:numCache>
                <c:formatCode>0.0</c:formatCode>
                <c:ptCount val="8"/>
                <c:pt idx="0">
                  <c:v>46.967232515400745</c:v>
                </c:pt>
                <c:pt idx="1">
                  <c:v>32.548676680972818</c:v>
                </c:pt>
                <c:pt idx="2">
                  <c:v>33.928832902670116</c:v>
                </c:pt>
                <c:pt idx="3">
                  <c:v>48.915690696957739</c:v>
                </c:pt>
                <c:pt idx="4">
                  <c:v>34.980448717948718</c:v>
                </c:pt>
                <c:pt idx="5">
                  <c:v>48.272249890089967</c:v>
                </c:pt>
                <c:pt idx="6">
                  <c:v>52.420597064709803</c:v>
                </c:pt>
                <c:pt idx="7">
                  <c:v>42.923099415204682</c:v>
                </c:pt>
              </c:numCache>
            </c:numRef>
          </c:val>
          <c:extLst xmlns:c16r2="http://schemas.microsoft.com/office/drawing/2015/06/chart">
            <c:ext xmlns:c16="http://schemas.microsoft.com/office/drawing/2014/chart" uri="{C3380CC4-5D6E-409C-BE32-E72D297353CC}">
              <c16:uniqueId val="{00000002-6741-46A4-838E-8E5E8210C202}"/>
            </c:ext>
          </c:extLst>
        </c:ser>
        <c:dLbls>
          <c:showLegendKey val="0"/>
          <c:showVal val="0"/>
          <c:showCatName val="0"/>
          <c:showSerName val="0"/>
          <c:showPercent val="0"/>
          <c:showBubbleSize val="0"/>
        </c:dLbls>
        <c:gapWidth val="150"/>
        <c:shape val="box"/>
        <c:axId val="273614864"/>
        <c:axId val="273615408"/>
        <c:axId val="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c:ext uri="{02D57815-91ED-43cb-92C2-25804820EDAC}">
                        <c15:formulaRef>
                          <c15:sqref>'EOH Sector geográfico'!$EH$7:$EH$14</c15:sqref>
                        </c15:formulaRef>
                      </c:ext>
                    </c:extLst>
                    <c:numCache>
                      <c:formatCode>0.0</c:formatCode>
                      <c:ptCount val="8"/>
                      <c:pt idx="0">
                        <c:v>57.762568107169898</c:v>
                      </c:pt>
                      <c:pt idx="1">
                        <c:v>48.162029048029929</c:v>
                      </c:pt>
                      <c:pt idx="2">
                        <c:v>35.558762361529645</c:v>
                      </c:pt>
                      <c:pt idx="3">
                        <c:v>63.85346668164965</c:v>
                      </c:pt>
                      <c:pt idx="4">
                        <c:v>56.044879878423401</c:v>
                      </c:pt>
                      <c:pt idx="5">
                        <c:v>70.310677227236468</c:v>
                      </c:pt>
                      <c:pt idx="6">
                        <c:v>59.68510109808588</c:v>
                      </c:pt>
                      <c:pt idx="7">
                        <c:v>21.356679636835295</c:v>
                      </c:pt>
                    </c:numCache>
                  </c:numRef>
                </c:val>
                <c:extLst xmlns:c16r2="http://schemas.microsoft.com/office/drawing/2015/06/chart">
                  <c:ext xmlns:c16="http://schemas.microsoft.com/office/drawing/2014/chart" uri="{C3380CC4-5D6E-409C-BE32-E72D297353CC}">
                    <c16:uniqueId val="{00000003-6741-46A4-838E-8E5E8210C202}"/>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xmlns:c16r2="http://schemas.microsoft.com/office/drawing/2015/06/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'EOH Sector geográfico'!$EI$7:$EI$14</c15:sqref>
                        </c15:formulaRef>
                      </c:ext>
                    </c:extLst>
                    <c:numCache>
                      <c:formatCode>0.0</c:formatCode>
                      <c:ptCount val="8"/>
                      <c:pt idx="0">
                        <c:v>58.003843053716466</c:v>
                      </c:pt>
                      <c:pt idx="1">
                        <c:v>50.284787310742608</c:v>
                      </c:pt>
                      <c:pt idx="2">
                        <c:v>36.357337028943043</c:v>
                      </c:pt>
                      <c:pt idx="3">
                        <c:v>64.815406685050419</c:v>
                      </c:pt>
                      <c:pt idx="4">
                        <c:v>51.258814946907684</c:v>
                      </c:pt>
                      <c:pt idx="5">
                        <c:v>67.208865630290873</c:v>
                      </c:pt>
                      <c:pt idx="6">
                        <c:v>59.78892768189197</c:v>
                      </c:pt>
                      <c:pt idx="7">
                        <c:v>22.323077596393723</c:v>
                      </c:pt>
                    </c:numCache>
                  </c:numRef>
                </c:val>
                <c:extLst xmlns:c15="http://schemas.microsoft.com/office/drawing/2012/chart" xmlns:c16r2="http://schemas.microsoft.com/office/drawing/2015/06/chart">
                  <c:ext xmlns:c16="http://schemas.microsoft.com/office/drawing/2014/chart" uri="{C3380CC4-5D6E-409C-BE32-E72D297353CC}">
                    <c16:uniqueId val="{00000004-6741-46A4-838E-8E5E8210C202}"/>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xmlns:c16r2="http://schemas.microsoft.com/office/drawing/2015/06/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'EOH Sector geográfico'!$EJ$7:$EJ$14</c15:sqref>
                        </c15:formulaRef>
                      </c:ext>
                    </c:extLst>
                    <c:numCache>
                      <c:formatCode>0.0</c:formatCode>
                      <c:ptCount val="8"/>
                      <c:pt idx="0">
                        <c:v>56.917308071454293</c:v>
                      </c:pt>
                      <c:pt idx="1">
                        <c:v>48.20885698958417</c:v>
                      </c:pt>
                      <c:pt idx="2">
                        <c:v>39.074845568326488</c:v>
                      </c:pt>
                      <c:pt idx="3">
                        <c:v>63.367291211748551</c:v>
                      </c:pt>
                      <c:pt idx="4">
                        <c:v>45.618950825160503</c:v>
                      </c:pt>
                      <c:pt idx="5">
                        <c:v>63.891754008526213</c:v>
                      </c:pt>
                      <c:pt idx="6">
                        <c:v>59.31754821007258</c:v>
                      </c:pt>
                      <c:pt idx="7">
                        <c:v>22.893898287062257</c:v>
                      </c:pt>
                    </c:numCache>
                  </c:numRef>
                </c:val>
                <c:extLst xmlns:c15="http://schemas.microsoft.com/office/drawing/2012/chart" xmlns:c16r2="http://schemas.microsoft.com/office/drawing/2015/06/chart">
                  <c:ext xmlns:c16="http://schemas.microsoft.com/office/drawing/2014/chart" uri="{C3380CC4-5D6E-409C-BE32-E72D297353CC}">
                    <c16:uniqueId val="{00000005-6741-46A4-838E-8E5E8210C202}"/>
                  </c:ext>
                </c:extLst>
              </c15:ser>
            </c15:filteredBarSeries>
          </c:ext>
        </c:extLst>
      </c:bar3DChart>
      <c:catAx>
        <c:axId val="27361486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73615408"/>
        <c:crosses val="autoZero"/>
        <c:auto val="1"/>
        <c:lblAlgn val="ctr"/>
        <c:lblOffset val="100"/>
        <c:noMultiLvlLbl val="0"/>
      </c:catAx>
      <c:valAx>
        <c:axId val="2736154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73614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geográfico'!$B$16</c:f>
          <c:strCache>
            <c:ptCount val="1"/>
            <c:pt idx="0">
              <c:v>Tasa de Ocupación  Hotelera por Categoría  (%) - Lujo</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geográfico'!$EK$17:$EK$24</c:f>
              <c:numCache>
                <c:formatCode>0.0</c:formatCode>
                <c:ptCount val="8"/>
                <c:pt idx="0">
                  <c:v>64.822142260364402</c:v>
                </c:pt>
                <c:pt idx="1">
                  <c:v>0</c:v>
                </c:pt>
                <c:pt idx="2">
                  <c:v>0</c:v>
                </c:pt>
                <c:pt idx="3">
                  <c:v>69.990550023905044</c:v>
                </c:pt>
                <c:pt idx="4">
                  <c:v>0</c:v>
                </c:pt>
                <c:pt idx="5">
                  <c:v>62.671530371859873</c:v>
                </c:pt>
                <c:pt idx="6">
                  <c:v>60.367191961627363</c:v>
                </c:pt>
                <c:pt idx="7">
                  <c:v>0</c:v>
                </c:pt>
              </c:numCache>
            </c:numRef>
          </c:val>
          <c:extLst xmlns:c16r2="http://schemas.microsoft.com/office/drawing/2015/06/chart">
            <c:ext xmlns:c16="http://schemas.microsoft.com/office/drawing/2014/chart" uri="{C3380CC4-5D6E-409C-BE32-E72D297353CC}">
              <c16:uniqueId val="{00000000-B946-4B47-A431-DF23B607C58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geográfico'!$EL$17:$EL$24</c:f>
              <c:numCache>
                <c:formatCode>0.0</c:formatCode>
                <c:ptCount val="8"/>
                <c:pt idx="0">
                  <c:v>56.255716656902933</c:v>
                </c:pt>
                <c:pt idx="3">
                  <c:v>60.123684876074869</c:v>
                </c:pt>
                <c:pt idx="5">
                  <c:v>47.189950166112965</c:v>
                </c:pt>
                <c:pt idx="6">
                  <c:v>62.777242152466364</c:v>
                </c:pt>
              </c:numCache>
            </c:numRef>
          </c:val>
          <c:extLst xmlns:c16r2="http://schemas.microsoft.com/office/drawing/2015/06/chart">
            <c:ext xmlns:c16="http://schemas.microsoft.com/office/drawing/2014/chart" uri="{C3380CC4-5D6E-409C-BE32-E72D297353CC}">
              <c16:uniqueId val="{00000001-B946-4B47-A431-DF23B607C58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geográfico'!$EM$17:$EM$24</c:f>
              <c:numCache>
                <c:formatCode>0.0</c:formatCode>
                <c:ptCount val="8"/>
                <c:pt idx="0">
                  <c:v>57.193475403025253</c:v>
                </c:pt>
                <c:pt idx="3">
                  <c:v>60.352440566514936</c:v>
                </c:pt>
                <c:pt idx="4">
                  <c:v>0</c:v>
                </c:pt>
                <c:pt idx="5">
                  <c:v>48.733312817390463</c:v>
                </c:pt>
                <c:pt idx="6">
                  <c:v>63.721487294469362</c:v>
                </c:pt>
              </c:numCache>
            </c:numRef>
          </c:val>
          <c:extLst xmlns:c16r2="http://schemas.microsoft.com/office/drawing/2015/06/chart">
            <c:ext xmlns:c16="http://schemas.microsoft.com/office/drawing/2014/chart" uri="{C3380CC4-5D6E-409C-BE32-E72D297353CC}">
              <c16:uniqueId val="{00000002-B946-4B47-A431-DF23B607C58E}"/>
            </c:ext>
          </c:extLst>
        </c:ser>
        <c:dLbls>
          <c:showLegendKey val="0"/>
          <c:showVal val="0"/>
          <c:showCatName val="0"/>
          <c:showSerName val="0"/>
          <c:showPercent val="0"/>
          <c:showBubbleSize val="0"/>
        </c:dLbls>
        <c:gapWidth val="150"/>
        <c:shape val="box"/>
        <c:axId val="273605072"/>
        <c:axId val="273615952"/>
        <c:axId val="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c:ext uri="{02D57815-91ED-43cb-92C2-25804820EDAC}">
                        <c15:formulaRef>
                          <c15:sqref>'EOH Sector geográfico'!$EH$17:$EH$24</c15:sqref>
                        </c15:formulaRef>
                      </c:ext>
                    </c:extLst>
                    <c:numCache>
                      <c:formatCode>0.0</c:formatCode>
                      <c:ptCount val="8"/>
                      <c:pt idx="0">
                        <c:v>74.754902797744833</c:v>
                      </c:pt>
                      <c:pt idx="1">
                        <c:v>0</c:v>
                      </c:pt>
                      <c:pt idx="2">
                        <c:v>0</c:v>
                      </c:pt>
                      <c:pt idx="3">
                        <c:v>75.723691302437047</c:v>
                      </c:pt>
                      <c:pt idx="4">
                        <c:v>0</c:v>
                      </c:pt>
                      <c:pt idx="5">
                        <c:v>77.875645321981708</c:v>
                      </c:pt>
                      <c:pt idx="6">
                        <c:v>71.702358490566013</c:v>
                      </c:pt>
                      <c:pt idx="7">
                        <c:v>0</c:v>
                      </c:pt>
                    </c:numCache>
                  </c:numRef>
                </c:val>
                <c:extLst xmlns:c16r2="http://schemas.microsoft.com/office/drawing/2015/06/chart">
                  <c:ext xmlns:c16="http://schemas.microsoft.com/office/drawing/2014/chart" uri="{C3380CC4-5D6E-409C-BE32-E72D297353CC}">
                    <c16:uniqueId val="{00000003-B946-4B47-A431-DF23B607C58E}"/>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xmlns:c16r2="http://schemas.microsoft.com/office/drawing/2015/06/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'EOH Sector geográfico'!$EI$17:$EI$24</c15:sqref>
                        </c15:formulaRef>
                      </c:ext>
                    </c:extLst>
                    <c:numCache>
                      <c:formatCode>0.0</c:formatCode>
                      <c:ptCount val="8"/>
                      <c:pt idx="0">
                        <c:v>72.996543652235729</c:v>
                      </c:pt>
                      <c:pt idx="1">
                        <c:v>0</c:v>
                      </c:pt>
                      <c:pt idx="2">
                        <c:v>0</c:v>
                      </c:pt>
                      <c:pt idx="3">
                        <c:v>75.707485397135528</c:v>
                      </c:pt>
                      <c:pt idx="4">
                        <c:v>0</c:v>
                      </c:pt>
                      <c:pt idx="5">
                        <c:v>75.023840157420722</c:v>
                      </c:pt>
                      <c:pt idx="6">
                        <c:v>68.795890410958876</c:v>
                      </c:pt>
                      <c:pt idx="7">
                        <c:v>0</c:v>
                      </c:pt>
                    </c:numCache>
                  </c:numRef>
                </c:val>
                <c:extLst xmlns:c15="http://schemas.microsoft.com/office/drawing/2012/chart" xmlns:c16r2="http://schemas.microsoft.com/office/drawing/2015/06/chart">
                  <c:ext xmlns:c16="http://schemas.microsoft.com/office/drawing/2014/chart" uri="{C3380CC4-5D6E-409C-BE32-E72D297353CC}">
                    <c16:uniqueId val="{00000004-B946-4B47-A431-DF23B607C58E}"/>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xmlns:c16r2="http://schemas.microsoft.com/office/drawing/2015/06/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'EOH Sector geográfico'!$EJ$17:$EJ$24</c15:sqref>
                        </c15:formulaRef>
                      </c:ext>
                    </c:extLst>
                    <c:numCache>
                      <c:formatCode>0.0</c:formatCode>
                      <c:ptCount val="8"/>
                      <c:pt idx="0">
                        <c:v>71.926223049971668</c:v>
                      </c:pt>
                      <c:pt idx="1">
                        <c:v>0</c:v>
                      </c:pt>
                      <c:pt idx="2">
                        <c:v>0</c:v>
                      </c:pt>
                      <c:pt idx="3">
                        <c:v>77.199480304220501</c:v>
                      </c:pt>
                      <c:pt idx="4">
                        <c:v>0</c:v>
                      </c:pt>
                      <c:pt idx="5">
                        <c:v>71.091711971665632</c:v>
                      </c:pt>
                      <c:pt idx="6">
                        <c:v>66.623708849633033</c:v>
                      </c:pt>
                    </c:numCache>
                  </c:numRef>
                </c:val>
                <c:extLst xmlns:c15="http://schemas.microsoft.com/office/drawing/2012/chart" xmlns:c16r2="http://schemas.microsoft.com/office/drawing/2015/06/chart">
                  <c:ext xmlns:c16="http://schemas.microsoft.com/office/drawing/2014/chart" uri="{C3380CC4-5D6E-409C-BE32-E72D297353CC}">
                    <c16:uniqueId val="{00000005-B946-4B47-A431-DF23B607C58E}"/>
                  </c:ext>
                </c:extLst>
              </c15:ser>
            </c15:filteredBarSeries>
          </c:ext>
        </c:extLst>
      </c:bar3DChart>
      <c:catAx>
        <c:axId val="27360507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73615952"/>
        <c:crosses val="autoZero"/>
        <c:auto val="1"/>
        <c:lblAlgn val="ctr"/>
        <c:lblOffset val="100"/>
        <c:noMultiLvlLbl val="0"/>
      </c:catAx>
      <c:valAx>
        <c:axId val="2736159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73605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geográfico'!$B$26</c:f>
          <c:strCache>
            <c:ptCount val="1"/>
            <c:pt idx="0">
              <c:v>Tasa de Ocupación  Hotelera por Categoría  (%) - Primera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geográfico'!$EK$26:$EK$33</c:f>
              <c:numCache>
                <c:formatCode>0.0</c:formatCode>
                <c:ptCount val="8"/>
                <c:pt idx="0">
                  <c:v>55.378711204374724</c:v>
                </c:pt>
                <c:pt idx="1">
                  <c:v>47.034041396745138</c:v>
                </c:pt>
                <c:pt idx="2">
                  <c:v>50.349920589084604</c:v>
                </c:pt>
                <c:pt idx="3">
                  <c:v>53.624735092431401</c:v>
                </c:pt>
                <c:pt idx="4">
                  <c:v>47.891250768800674</c:v>
                </c:pt>
                <c:pt idx="5">
                  <c:v>34.730235070575468</c:v>
                </c:pt>
                <c:pt idx="6">
                  <c:v>59.662972613332471</c:v>
                </c:pt>
                <c:pt idx="7">
                  <c:v>0</c:v>
                </c:pt>
              </c:numCache>
            </c:numRef>
          </c:val>
          <c:extLst xmlns:c16r2="http://schemas.microsoft.com/office/drawing/2015/06/chart">
            <c:ext xmlns:c16="http://schemas.microsoft.com/office/drawing/2014/chart" uri="{C3380CC4-5D6E-409C-BE32-E72D297353CC}">
              <c16:uniqueId val="{00000000-6CF1-45FA-AF42-2EDE59285D5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geográfico'!$EL$26:$EL$33</c:f>
              <c:numCache>
                <c:formatCode>0.0</c:formatCode>
                <c:ptCount val="8"/>
                <c:pt idx="0">
                  <c:v>48.255950576103231</c:v>
                </c:pt>
                <c:pt idx="1">
                  <c:v>43.563183060109282</c:v>
                </c:pt>
                <c:pt idx="2">
                  <c:v>41.384999999999998</c:v>
                </c:pt>
                <c:pt idx="3">
                  <c:v>45.164056089670972</c:v>
                </c:pt>
                <c:pt idx="4">
                  <c:v>32.174999999999997</c:v>
                </c:pt>
                <c:pt idx="5">
                  <c:v>50.10526315789474</c:v>
                </c:pt>
                <c:pt idx="6">
                  <c:v>54.659286539572498</c:v>
                </c:pt>
              </c:numCache>
            </c:numRef>
          </c:val>
          <c:extLst xmlns:c16r2="http://schemas.microsoft.com/office/drawing/2015/06/chart">
            <c:ext xmlns:c16="http://schemas.microsoft.com/office/drawing/2014/chart" uri="{C3380CC4-5D6E-409C-BE32-E72D297353CC}">
              <c16:uniqueId val="{00000001-6CF1-45FA-AF42-2EDE59285D5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geográfico'!$EM$26:$EM$33</c:f>
              <c:numCache>
                <c:formatCode>0.0</c:formatCode>
                <c:ptCount val="8"/>
                <c:pt idx="0">
                  <c:v>48.825442517927115</c:v>
                </c:pt>
                <c:pt idx="1">
                  <c:v>43.537909836065573</c:v>
                </c:pt>
                <c:pt idx="2">
                  <c:v>41.736481481481484</c:v>
                </c:pt>
                <c:pt idx="3">
                  <c:v>46.128761972023909</c:v>
                </c:pt>
                <c:pt idx="4">
                  <c:v>38.216666666666669</c:v>
                </c:pt>
                <c:pt idx="5">
                  <c:v>49.495350877192983</c:v>
                </c:pt>
                <c:pt idx="6">
                  <c:v>54.912160600808789</c:v>
                </c:pt>
              </c:numCache>
            </c:numRef>
          </c:val>
          <c:extLst xmlns:c16r2="http://schemas.microsoft.com/office/drawing/2015/06/chart">
            <c:ext xmlns:c16="http://schemas.microsoft.com/office/drawing/2014/chart" uri="{C3380CC4-5D6E-409C-BE32-E72D297353CC}">
              <c16:uniqueId val="{00000002-6CF1-45FA-AF42-2EDE59285D5E}"/>
            </c:ext>
          </c:extLst>
        </c:ser>
        <c:dLbls>
          <c:showLegendKey val="0"/>
          <c:showVal val="0"/>
          <c:showCatName val="0"/>
          <c:showSerName val="0"/>
          <c:showPercent val="0"/>
          <c:showBubbleSize val="0"/>
        </c:dLbls>
        <c:gapWidth val="150"/>
        <c:shape val="box"/>
        <c:axId val="273617040"/>
        <c:axId val="432080736"/>
        <c:axId val="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c:ext uri="{02D57815-91ED-43cb-92C2-25804820EDAC}">
                        <c15:formulaRef>
                          <c15:sqref>'EOH Sector geográfico'!$EH$26:$EH$33</c15:sqref>
                        </c15:formulaRef>
                      </c:ext>
                    </c:extLst>
                    <c:numCache>
                      <c:formatCode>0.0</c:formatCode>
                      <c:ptCount val="8"/>
                      <c:pt idx="0">
                        <c:v>58.917943103687712</c:v>
                      </c:pt>
                      <c:pt idx="1">
                        <c:v>52.165553531673737</c:v>
                      </c:pt>
                      <c:pt idx="2">
                        <c:v>50.337626174730254</c:v>
                      </c:pt>
                      <c:pt idx="3">
                        <c:v>62.39896294036911</c:v>
                      </c:pt>
                      <c:pt idx="4">
                        <c:v>55.50351288056207</c:v>
                      </c:pt>
                      <c:pt idx="5">
                        <c:v>42.458074241567736</c:v>
                      </c:pt>
                      <c:pt idx="6">
                        <c:v>59.189963390066467</c:v>
                      </c:pt>
                      <c:pt idx="7">
                        <c:v>0</c:v>
                      </c:pt>
                    </c:numCache>
                  </c:numRef>
                </c:val>
                <c:extLst xmlns:c16r2="http://schemas.microsoft.com/office/drawing/2015/06/chart">
                  <c:ext xmlns:c16="http://schemas.microsoft.com/office/drawing/2014/chart" uri="{C3380CC4-5D6E-409C-BE32-E72D297353CC}">
                    <c16:uniqueId val="{00000003-6CF1-45FA-AF42-2EDE59285D5E}"/>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xmlns:c16r2="http://schemas.microsoft.com/office/drawing/2015/06/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'EOH Sector geográfico'!$EI$26:$EI$33</c15:sqref>
                        </c15:formulaRef>
                      </c:ext>
                    </c:extLst>
                    <c:numCache>
                      <c:formatCode>0.0</c:formatCode>
                      <c:ptCount val="8"/>
                      <c:pt idx="0">
                        <c:v>61.42527951379838</c:v>
                      </c:pt>
                      <c:pt idx="1">
                        <c:v>50.126839167935053</c:v>
                      </c:pt>
                      <c:pt idx="2">
                        <c:v>48.068141903758367</c:v>
                      </c:pt>
                      <c:pt idx="3">
                        <c:v>66.295725419534108</c:v>
                      </c:pt>
                      <c:pt idx="4">
                        <c:v>58.132513279284289</c:v>
                      </c:pt>
                      <c:pt idx="5">
                        <c:v>34.884270193670289</c:v>
                      </c:pt>
                      <c:pt idx="6">
                        <c:v>62.123055588262233</c:v>
                      </c:pt>
                      <c:pt idx="7">
                        <c:v>0</c:v>
                      </c:pt>
                    </c:numCache>
                  </c:numRef>
                </c:val>
                <c:extLst xmlns:c15="http://schemas.microsoft.com/office/drawing/2012/chart" xmlns:c16r2="http://schemas.microsoft.com/office/drawing/2015/06/chart">
                  <c:ext xmlns:c16="http://schemas.microsoft.com/office/drawing/2014/chart" uri="{C3380CC4-5D6E-409C-BE32-E72D297353CC}">
                    <c16:uniqueId val="{00000004-6CF1-45FA-AF42-2EDE59285D5E}"/>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xmlns:c16r2="http://schemas.microsoft.com/office/drawing/2015/06/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'EOH Sector geográfico'!$EJ$26:$EJ$33</c15:sqref>
                        </c15:formulaRef>
                      </c:ext>
                    </c:extLst>
                    <c:numCache>
                      <c:formatCode>0.0</c:formatCode>
                      <c:ptCount val="8"/>
                      <c:pt idx="0">
                        <c:v>61.06376133171397</c:v>
                      </c:pt>
                      <c:pt idx="1">
                        <c:v>46.047071773087303</c:v>
                      </c:pt>
                      <c:pt idx="2">
                        <c:v>59.944488640093482</c:v>
                      </c:pt>
                      <c:pt idx="3">
                        <c:v>61.189054985097499</c:v>
                      </c:pt>
                      <c:pt idx="4">
                        <c:v>52.268488954721676</c:v>
                      </c:pt>
                      <c:pt idx="5">
                        <c:v>35.73657251443403</c:v>
                      </c:pt>
                      <c:pt idx="6">
                        <c:v>64.678285701145128</c:v>
                      </c:pt>
                    </c:numCache>
                  </c:numRef>
                </c:val>
                <c:extLst xmlns:c15="http://schemas.microsoft.com/office/drawing/2012/chart" xmlns:c16r2="http://schemas.microsoft.com/office/drawing/2015/06/chart">
                  <c:ext xmlns:c16="http://schemas.microsoft.com/office/drawing/2014/chart" uri="{C3380CC4-5D6E-409C-BE32-E72D297353CC}">
                    <c16:uniqueId val="{00000005-6CF1-45FA-AF42-2EDE59285D5E}"/>
                  </c:ext>
                </c:extLst>
              </c15:ser>
            </c15:filteredBarSeries>
          </c:ext>
        </c:extLst>
      </c:bar3DChart>
      <c:catAx>
        <c:axId val="2736170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32080736"/>
        <c:crosses val="autoZero"/>
        <c:auto val="1"/>
        <c:lblAlgn val="ctr"/>
        <c:lblOffset val="100"/>
        <c:noMultiLvlLbl val="0"/>
      </c:catAx>
      <c:valAx>
        <c:axId val="4320807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73617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geográfico'!$B$35</c:f>
          <c:strCache>
            <c:ptCount val="1"/>
            <c:pt idx="0">
              <c:v>Tasa de Ocupación  Hotelera por Categoría  (%) - Segunda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geográfico'!$EK$35:$EK$42</c:f>
              <c:numCache>
                <c:formatCode>0.0</c:formatCode>
                <c:ptCount val="8"/>
                <c:pt idx="0">
                  <c:v>40.019455322143479</c:v>
                </c:pt>
                <c:pt idx="1">
                  <c:v>47.560311883959209</c:v>
                </c:pt>
                <c:pt idx="2">
                  <c:v>33.525227594997212</c:v>
                </c:pt>
                <c:pt idx="3">
                  <c:v>43.98049307636564</c:v>
                </c:pt>
                <c:pt idx="4">
                  <c:v>37.583071737022998</c:v>
                </c:pt>
                <c:pt idx="5">
                  <c:v>28.855072463768117</c:v>
                </c:pt>
                <c:pt idx="6">
                  <c:v>41.31554009158198</c:v>
                </c:pt>
                <c:pt idx="7">
                  <c:v>30.364966725457744</c:v>
                </c:pt>
              </c:numCache>
            </c:numRef>
          </c:val>
          <c:extLst xmlns:c16r2="http://schemas.microsoft.com/office/drawing/2015/06/chart">
            <c:ext xmlns:c16="http://schemas.microsoft.com/office/drawing/2014/chart" uri="{C3380CC4-5D6E-409C-BE32-E72D297353CC}">
              <c16:uniqueId val="{00000000-D516-4E64-AE6F-26772E2750B7}"/>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geográfico'!$EL$35:$EL$42</c:f>
              <c:numCache>
                <c:formatCode>0.0</c:formatCode>
                <c:ptCount val="8"/>
                <c:pt idx="0">
                  <c:v>36.569361252115065</c:v>
                </c:pt>
                <c:pt idx="1">
                  <c:v>28.864607558139536</c:v>
                </c:pt>
                <c:pt idx="2">
                  <c:v>32.305611672278339</c:v>
                </c:pt>
                <c:pt idx="3">
                  <c:v>40.48610685071575</c:v>
                </c:pt>
                <c:pt idx="4">
                  <c:v>35.649487179487181</c:v>
                </c:pt>
                <c:pt idx="5">
                  <c:v>31.107575757575759</c:v>
                </c:pt>
                <c:pt idx="6">
                  <c:v>38.373792016806725</c:v>
                </c:pt>
                <c:pt idx="7">
                  <c:v>42.570175438596493</c:v>
                </c:pt>
              </c:numCache>
            </c:numRef>
          </c:val>
          <c:extLst xmlns:c16r2="http://schemas.microsoft.com/office/drawing/2015/06/chart">
            <c:ext xmlns:c16="http://schemas.microsoft.com/office/drawing/2014/chart" uri="{C3380CC4-5D6E-409C-BE32-E72D297353CC}">
              <c16:uniqueId val="{00000001-D516-4E64-AE6F-26772E2750B7}"/>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geográfico'!$EM$35:$EM$42</c:f>
              <c:numCache>
                <c:formatCode>0.0</c:formatCode>
                <c:ptCount val="8"/>
                <c:pt idx="0">
                  <c:v>36.605803722504241</c:v>
                </c:pt>
                <c:pt idx="1">
                  <c:v>28.651332364341087</c:v>
                </c:pt>
                <c:pt idx="2">
                  <c:v>31.562878787878788</c:v>
                </c:pt>
                <c:pt idx="3">
                  <c:v>40.771728016359916</c:v>
                </c:pt>
                <c:pt idx="4">
                  <c:v>34.33320512820513</c:v>
                </c:pt>
                <c:pt idx="5">
                  <c:v>31.853030303030305</c:v>
                </c:pt>
                <c:pt idx="6">
                  <c:v>38.811712184873954</c:v>
                </c:pt>
                <c:pt idx="7">
                  <c:v>42.923099415204682</c:v>
                </c:pt>
              </c:numCache>
            </c:numRef>
          </c:val>
          <c:extLst xmlns:c16r2="http://schemas.microsoft.com/office/drawing/2015/06/chart">
            <c:ext xmlns:c16="http://schemas.microsoft.com/office/drawing/2014/chart" uri="{C3380CC4-5D6E-409C-BE32-E72D297353CC}">
              <c16:uniqueId val="{00000002-D516-4E64-AE6F-26772E2750B7}"/>
            </c:ext>
          </c:extLst>
        </c:ser>
        <c:dLbls>
          <c:showLegendKey val="0"/>
          <c:showVal val="0"/>
          <c:showCatName val="0"/>
          <c:showSerName val="0"/>
          <c:showPercent val="0"/>
          <c:showBubbleSize val="0"/>
        </c:dLbls>
        <c:gapWidth val="150"/>
        <c:shape val="box"/>
        <c:axId val="432082912"/>
        <c:axId val="432086176"/>
        <c:axId val="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c:ext uri="{02D57815-91ED-43cb-92C2-25804820EDAC}">
                        <c15:formulaRef>
                          <c15:sqref>'EOH Sector geográfico'!$EH$35:$EH$42</c15:sqref>
                        </c15:formulaRef>
                      </c:ext>
                    </c:extLst>
                    <c:numCache>
                      <c:formatCode>0.0</c:formatCode>
                      <c:ptCount val="8"/>
                      <c:pt idx="0">
                        <c:v>42.948439320486102</c:v>
                      </c:pt>
                      <c:pt idx="1">
                        <c:v>46.707834056213102</c:v>
                      </c:pt>
                      <c:pt idx="2">
                        <c:v>29.077754373111087</c:v>
                      </c:pt>
                      <c:pt idx="3">
                        <c:v>51.365270816014316</c:v>
                      </c:pt>
                      <c:pt idx="4">
                        <c:v>56.26593806921678</c:v>
                      </c:pt>
                      <c:pt idx="5">
                        <c:v>25.387978142076502</c:v>
                      </c:pt>
                      <c:pt idx="6">
                        <c:v>47.743807163685958</c:v>
                      </c:pt>
                      <c:pt idx="7">
                        <c:v>21.356679636835295</c:v>
                      </c:pt>
                    </c:numCache>
                  </c:numRef>
                </c:val>
                <c:extLst xmlns:c16r2="http://schemas.microsoft.com/office/drawing/2015/06/chart">
                  <c:ext xmlns:c16="http://schemas.microsoft.com/office/drawing/2014/chart" uri="{C3380CC4-5D6E-409C-BE32-E72D297353CC}">
                    <c16:uniqueId val="{00000003-D516-4E64-AE6F-26772E2750B7}"/>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xmlns:c16r2="http://schemas.microsoft.com/office/drawing/2015/06/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'EOH Sector geográfico'!$EI$35:$EI$42</c15:sqref>
                        </c15:formulaRef>
                      </c:ext>
                    </c:extLst>
                    <c:numCache>
                      <c:formatCode>0.0</c:formatCode>
                      <c:ptCount val="8"/>
                      <c:pt idx="0">
                        <c:v>42.685597701628019</c:v>
                      </c:pt>
                      <c:pt idx="1">
                        <c:v>50.342158609251229</c:v>
                      </c:pt>
                      <c:pt idx="2">
                        <c:v>31.254304737124052</c:v>
                      </c:pt>
                      <c:pt idx="3">
                        <c:v>50.146399464936017</c:v>
                      </c:pt>
                      <c:pt idx="4">
                        <c:v>48.452054794520564</c:v>
                      </c:pt>
                      <c:pt idx="5">
                        <c:v>29.041095890410958</c:v>
                      </c:pt>
                      <c:pt idx="6">
                        <c:v>46.670573584352759</c:v>
                      </c:pt>
                      <c:pt idx="7">
                        <c:v>22.323077596393723</c:v>
                      </c:pt>
                    </c:numCache>
                  </c:numRef>
                </c:val>
                <c:extLst xmlns:c15="http://schemas.microsoft.com/office/drawing/2012/chart" xmlns:c16r2="http://schemas.microsoft.com/office/drawing/2015/06/chart">
                  <c:ext xmlns:c16="http://schemas.microsoft.com/office/drawing/2014/chart" uri="{C3380CC4-5D6E-409C-BE32-E72D297353CC}">
                    <c16:uniqueId val="{00000004-D516-4E64-AE6F-26772E2750B7}"/>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xmlns:c16r2="http://schemas.microsoft.com/office/drawing/2015/06/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'EOH Sector geográfico'!$EJ$35:$EJ$42</c15:sqref>
                        </c15:formulaRef>
                      </c:ext>
                    </c:extLst>
                    <c:numCache>
                      <c:formatCode>0.0</c:formatCode>
                      <c:ptCount val="8"/>
                      <c:pt idx="0">
                        <c:v>40.790464435507744</c:v>
                      </c:pt>
                      <c:pt idx="1">
                        <c:v>48.990947885713354</c:v>
                      </c:pt>
                      <c:pt idx="2">
                        <c:v>29.979088624577003</c:v>
                      </c:pt>
                      <c:pt idx="3">
                        <c:v>49.383589781406862</c:v>
                      </c:pt>
                      <c:pt idx="4">
                        <c:v>42.910181088923018</c:v>
                      </c:pt>
                      <c:pt idx="5">
                        <c:v>24.889717101894519</c:v>
                      </c:pt>
                      <c:pt idx="6">
                        <c:v>42.765066901693046</c:v>
                      </c:pt>
                      <c:pt idx="7">
                        <c:v>22.893898287062257</c:v>
                      </c:pt>
                    </c:numCache>
                  </c:numRef>
                </c:val>
                <c:extLst xmlns:c15="http://schemas.microsoft.com/office/drawing/2012/chart" xmlns:c16r2="http://schemas.microsoft.com/office/drawing/2015/06/chart">
                  <c:ext xmlns:c16="http://schemas.microsoft.com/office/drawing/2014/chart" uri="{C3380CC4-5D6E-409C-BE32-E72D297353CC}">
                    <c16:uniqueId val="{00000005-D516-4E64-AE6F-26772E2750B7}"/>
                  </c:ext>
                </c:extLst>
              </c15:ser>
            </c15:filteredBarSeries>
          </c:ext>
        </c:extLst>
      </c:bar3DChart>
      <c:catAx>
        <c:axId val="4320829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32086176"/>
        <c:crosses val="autoZero"/>
        <c:auto val="1"/>
        <c:lblAlgn val="ctr"/>
        <c:lblOffset val="100"/>
        <c:noMultiLvlLbl val="0"/>
      </c:catAx>
      <c:valAx>
        <c:axId val="4320861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32082912"/>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UIO'!$B$19:$B$20</c:f>
          <c:strCache>
            <c:ptCount val="2"/>
            <c:pt idx="0">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'establecimientos UIO'!$C$19:$D$19</c:f>
              <c:strCache>
                <c:ptCount val="2"/>
                <c:pt idx="0">
                  <c:v>URBANOS </c:v>
                </c:pt>
                <c:pt idx="1">
                  <c:v>RURALES</c:v>
                </c:pt>
              </c:strCache>
            </c:strRef>
          </c:cat>
          <c:val>
            <c:numRef>
              <c:f>'establecimientos UIO'!$C$20:$D$20</c:f>
              <c:numCache>
                <c:formatCode>_(* #,##0_);_(* \(#,##0\);_(* "-"??_);_(@_)</c:formatCode>
                <c:ptCount val="2"/>
                <c:pt idx="0" formatCode="0">
                  <c:v>3774</c:v>
                </c:pt>
                <c:pt idx="1">
                  <c:v>607</c:v>
                </c:pt>
              </c:numCache>
            </c:numRef>
          </c:val>
          <c:extLst xmlns:c16r2="http://schemas.microsoft.com/office/drawing/2015/06/char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xmlns:c16r2="http://schemas.microsoft.com/office/drawing/2015/06/chart">
              <c:ext xmlns:c16="http://schemas.microsoft.com/office/drawing/2014/chart" uri="{C3380CC4-5D6E-409C-BE32-E72D297353CC}">
                <c16:uniqueId val="{00000000-96FA-4DBA-9D65-7A956EF8772D}"/>
              </c:ext>
            </c:extLst>
          </c:dPt>
          <c:dPt>
            <c:idx val="8"/>
            <c:invertIfNegative val="0"/>
            <c:bubble3D val="0"/>
            <c:extLst xmlns:c16r2="http://schemas.microsoft.com/office/drawing/2015/06/char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'establecimientos UIO'!$C$4:$C$14</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'establecimientos UIO'!$D$4:$D$14</c:f>
              <c:numCache>
                <c:formatCode>_(* #,##0_);_(* \(#,##0\);_(* "-"??_);_(@_)</c:formatCode>
                <c:ptCount val="11"/>
                <c:pt idx="0">
                  <c:v>2533</c:v>
                </c:pt>
                <c:pt idx="1">
                  <c:v>3014</c:v>
                </c:pt>
                <c:pt idx="2">
                  <c:v>2719</c:v>
                </c:pt>
                <c:pt idx="3">
                  <c:v>2924</c:v>
                </c:pt>
                <c:pt idx="4">
                  <c:v>3503</c:v>
                </c:pt>
                <c:pt idx="5">
                  <c:v>4488</c:v>
                </c:pt>
                <c:pt idx="6">
                  <c:v>4909</c:v>
                </c:pt>
                <c:pt idx="7">
                  <c:v>5220</c:v>
                </c:pt>
                <c:pt idx="8">
                  <c:v>5109</c:v>
                </c:pt>
                <c:pt idx="9">
                  <c:v>5231</c:v>
                </c:pt>
                <c:pt idx="10">
                  <c:v>4381</c:v>
                </c:pt>
              </c:numCache>
            </c:numRef>
          </c:val>
          <c:extLst xmlns:c16r2="http://schemas.microsoft.com/office/drawing/2015/06/char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432089984"/>
        <c:axId val="432084544"/>
        <c:axId val="0"/>
      </c:bar3DChart>
      <c:catAx>
        <c:axId val="43208998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432084544"/>
        <c:crosses val="autoZero"/>
        <c:auto val="1"/>
        <c:lblAlgn val="ctr"/>
        <c:lblOffset val="100"/>
        <c:noMultiLvlLbl val="0"/>
      </c:catAx>
      <c:valAx>
        <c:axId val="43208454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_(* #,##0_);_(* \(#,##0\);_(* &quot;-&quot;??_);_(@_)" sourceLinked="1"/>
        <c:majorTickMark val="none"/>
        <c:minorTickMark val="none"/>
        <c:tickLblPos val="nextTo"/>
        <c:crossAx val="43208998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[WEB-UIO_cifras_2019_vr12feb2019.xlsx]% y # establecimientos act econ!Tabla dinámica1</c:name>
    <c:fmtId val="0"/>
  </c:pivotSource>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Distribución por Actividad Económica</a:t>
            </a:r>
          </a:p>
          <a:p>
            <a:pPr>
              <a:defRPr/>
            </a:pPr>
            <a:r>
              <a:rPr lang="en-US"/>
              <a:t>Totales Ciudad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ivotFmts>
      <c:pivotFmt>
        <c:idx val="0"/>
      </c:pivotFmt>
      <c:pivotFmt>
        <c:idx val="1"/>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barChart>
        <c:barDir val="col"/>
        <c:grouping val="clustered"/>
        <c:varyColors val="0"/>
        <c:ser>
          <c:idx val="0"/>
          <c:order val="0"/>
          <c:tx>
            <c:strRef>
              <c:f>'% y # establecimientos act econ'!$R$8</c:f>
              <c:strCache>
                <c:ptCount val="1"/>
                <c:pt idx="0">
                  <c:v>Suma de 2015</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y # establecimientos act econ'!$Q$9:$Q$14</c:f>
              <c:strCache>
                <c:ptCount val="5"/>
                <c:pt idx="0">
                  <c:v>ALOJAMIENTO </c:v>
                </c:pt>
                <c:pt idx="1">
                  <c:v>RECREACIÓN DIVERSIÓN Y ESPARCIMIENTO</c:v>
                </c:pt>
                <c:pt idx="2">
                  <c:v>TRANSPORTE TURISTICO</c:v>
                </c:pt>
                <c:pt idx="3">
                  <c:v>ALIMENTOS Y BEBIDAS </c:v>
                </c:pt>
                <c:pt idx="4">
                  <c:v>OPERACIÓN E INTERMEDIACIÓN TUR (AGENCIA DE VIAJES Y TURISMO)</c:v>
                </c:pt>
              </c:strCache>
            </c:strRef>
          </c:cat>
          <c:val>
            <c:numRef>
              <c:f>'% y # establecimientos act econ'!$R$9:$R$14</c:f>
              <c:numCache>
                <c:formatCode>#,##0</c:formatCode>
                <c:ptCount val="5"/>
                <c:pt idx="0">
                  <c:v>713</c:v>
                </c:pt>
                <c:pt idx="1">
                  <c:v>189</c:v>
                </c:pt>
                <c:pt idx="2">
                  <c:v>102</c:v>
                </c:pt>
                <c:pt idx="3">
                  <c:v>3486</c:v>
                </c:pt>
                <c:pt idx="4">
                  <c:v>722</c:v>
                </c:pt>
              </c:numCache>
            </c:numRef>
          </c:val>
          <c:extLst xmlns:c16r2="http://schemas.microsoft.com/office/drawing/2015/06/chart">
            <c:ext xmlns:c16="http://schemas.microsoft.com/office/drawing/2014/chart" uri="{C3380CC4-5D6E-409C-BE32-E72D297353CC}">
              <c16:uniqueId val="{00000000-E3DE-40EC-8882-2436DFE4FDAD}"/>
            </c:ext>
          </c:extLst>
        </c:ser>
        <c:ser>
          <c:idx val="1"/>
          <c:order val="1"/>
          <c:tx>
            <c:strRef>
              <c:f>'% y # establecimientos act econ'!$S$8</c:f>
              <c:strCache>
                <c:ptCount val="1"/>
                <c:pt idx="0">
                  <c:v>Suma de 2016</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y # establecimientos act econ'!$Q$9:$Q$14</c:f>
              <c:strCache>
                <c:ptCount val="5"/>
                <c:pt idx="0">
                  <c:v>ALOJAMIENTO </c:v>
                </c:pt>
                <c:pt idx="1">
                  <c:v>RECREACIÓN DIVERSIÓN Y ESPARCIMIENTO</c:v>
                </c:pt>
                <c:pt idx="2">
                  <c:v>TRANSPORTE TURISTICO</c:v>
                </c:pt>
                <c:pt idx="3">
                  <c:v>ALIMENTOS Y BEBIDAS </c:v>
                </c:pt>
                <c:pt idx="4">
                  <c:v>OPERACIÓN E INTERMEDIACIÓN TUR (AGENCIA DE VIAJES Y TURISMO)</c:v>
                </c:pt>
              </c:strCache>
            </c:strRef>
          </c:cat>
          <c:val>
            <c:numRef>
              <c:f>'% y # establecimientos act econ'!$S$9:$S$14</c:f>
              <c:numCache>
                <c:formatCode>#,##0</c:formatCode>
                <c:ptCount val="5"/>
                <c:pt idx="0">
                  <c:v>721</c:v>
                </c:pt>
                <c:pt idx="1">
                  <c:v>184</c:v>
                </c:pt>
                <c:pt idx="2">
                  <c:v>110</c:v>
                </c:pt>
                <c:pt idx="3">
                  <c:v>3434</c:v>
                </c:pt>
                <c:pt idx="4">
                  <c:v>660</c:v>
                </c:pt>
              </c:numCache>
            </c:numRef>
          </c:val>
          <c:extLst xmlns:c16r2="http://schemas.microsoft.com/office/drawing/2015/06/chart">
            <c:ext xmlns:c16="http://schemas.microsoft.com/office/drawing/2014/chart" uri="{C3380CC4-5D6E-409C-BE32-E72D297353CC}">
              <c16:uniqueId val="{00000001-E3DE-40EC-8882-2436DFE4FDAD}"/>
            </c:ext>
          </c:extLst>
        </c:ser>
        <c:ser>
          <c:idx val="2"/>
          <c:order val="2"/>
          <c:tx>
            <c:strRef>
              <c:f>'% y # establecimientos act econ'!$T$8</c:f>
              <c:strCache>
                <c:ptCount val="1"/>
                <c:pt idx="0">
                  <c:v>Suma de 2017</c:v>
                </c:pt>
              </c:strCache>
            </c:strRef>
          </c:tx>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y # establecimientos act econ'!$Q$9:$Q$14</c:f>
              <c:strCache>
                <c:ptCount val="5"/>
                <c:pt idx="0">
                  <c:v>ALOJAMIENTO </c:v>
                </c:pt>
                <c:pt idx="1">
                  <c:v>RECREACIÓN DIVERSIÓN Y ESPARCIMIENTO</c:v>
                </c:pt>
                <c:pt idx="2">
                  <c:v>TRANSPORTE TURISTICO</c:v>
                </c:pt>
                <c:pt idx="3">
                  <c:v>ALIMENTOS Y BEBIDAS </c:v>
                </c:pt>
                <c:pt idx="4">
                  <c:v>OPERACIÓN E INTERMEDIACIÓN TUR (AGENCIA DE VIAJES Y TURISMO)</c:v>
                </c:pt>
              </c:strCache>
            </c:strRef>
          </c:cat>
          <c:val>
            <c:numRef>
              <c:f>'% y # establecimientos act econ'!$T$9:$T$14</c:f>
              <c:numCache>
                <c:formatCode>General</c:formatCode>
                <c:ptCount val="5"/>
                <c:pt idx="0">
                  <c:v>653</c:v>
                </c:pt>
                <c:pt idx="1">
                  <c:v>197</c:v>
                </c:pt>
                <c:pt idx="2">
                  <c:v>125</c:v>
                </c:pt>
                <c:pt idx="3">
                  <c:v>3517</c:v>
                </c:pt>
                <c:pt idx="4">
                  <c:v>739</c:v>
                </c:pt>
              </c:numCache>
            </c:numRef>
          </c:val>
          <c:extLst xmlns:c16r2="http://schemas.microsoft.com/office/drawing/2015/06/chart">
            <c:ext xmlns:c16="http://schemas.microsoft.com/office/drawing/2014/chart" uri="{C3380CC4-5D6E-409C-BE32-E72D297353CC}">
              <c16:uniqueId val="{00000002-E3DE-40EC-8882-2436DFE4FDAD}"/>
            </c:ext>
          </c:extLst>
        </c:ser>
        <c:ser>
          <c:idx val="3"/>
          <c:order val="3"/>
          <c:tx>
            <c:strRef>
              <c:f>'% y # establecimientos act econ'!$U$8</c:f>
              <c:strCache>
                <c:ptCount val="1"/>
                <c:pt idx="0">
                  <c:v>Suma de 2018</c:v>
                </c:pt>
              </c:strCache>
            </c:strRef>
          </c:tx>
          <c:spPr>
            <a:gradFill rotWithShape="1">
              <a:gsLst>
                <a:gs pos="0">
                  <a:schemeClr val="accent1">
                    <a:lumMod val="60000"/>
                    <a:tint val="50000"/>
                    <a:satMod val="300000"/>
                  </a:schemeClr>
                </a:gs>
                <a:gs pos="35000">
                  <a:schemeClr val="accent1">
                    <a:lumMod val="60000"/>
                    <a:tint val="37000"/>
                    <a:satMod val="300000"/>
                  </a:schemeClr>
                </a:gs>
                <a:gs pos="100000">
                  <a:schemeClr val="accent1">
                    <a:lumMod val="60000"/>
                    <a:tint val="15000"/>
                    <a:satMod val="350000"/>
                  </a:schemeClr>
                </a:gs>
              </a:gsLst>
              <a:lin ang="16200000" scaled="1"/>
            </a:gradFill>
            <a:ln w="9525" cap="flat" cmpd="sng" algn="ctr">
              <a:solidFill>
                <a:schemeClr val="accent1">
                  <a:lumMod val="60000"/>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y # establecimientos act econ'!$Q$9:$Q$14</c:f>
              <c:strCache>
                <c:ptCount val="5"/>
                <c:pt idx="0">
                  <c:v>ALOJAMIENTO </c:v>
                </c:pt>
                <c:pt idx="1">
                  <c:v>RECREACIÓN DIVERSIÓN Y ESPARCIMIENTO</c:v>
                </c:pt>
                <c:pt idx="2">
                  <c:v>TRANSPORTE TURISTICO</c:v>
                </c:pt>
                <c:pt idx="3">
                  <c:v>ALIMENTOS Y BEBIDAS </c:v>
                </c:pt>
                <c:pt idx="4">
                  <c:v>OPERACIÓN E INTERMEDIACIÓN TUR (AGENCIA DE VIAJES Y TURISMO)</c:v>
                </c:pt>
              </c:strCache>
            </c:strRef>
          </c:cat>
          <c:val>
            <c:numRef>
              <c:f>'% y # establecimientos act econ'!$U$9:$U$14</c:f>
              <c:numCache>
                <c:formatCode>General</c:formatCode>
                <c:ptCount val="5"/>
                <c:pt idx="0">
                  <c:v>684</c:v>
                </c:pt>
                <c:pt idx="1">
                  <c:v>174</c:v>
                </c:pt>
                <c:pt idx="2">
                  <c:v>93</c:v>
                </c:pt>
                <c:pt idx="3">
                  <c:v>2786</c:v>
                </c:pt>
                <c:pt idx="4">
                  <c:v>644</c:v>
                </c:pt>
              </c:numCache>
            </c:numRef>
          </c:val>
          <c:extLst xmlns:c16r2="http://schemas.microsoft.com/office/drawing/2015/06/chart">
            <c:ext xmlns:c16="http://schemas.microsoft.com/office/drawing/2014/chart" uri="{C3380CC4-5D6E-409C-BE32-E72D297353CC}">
              <c16:uniqueId val="{00000000-F292-4C01-B30E-2D8FBFA1F858}"/>
            </c:ext>
          </c:extLst>
        </c:ser>
        <c:dLbls>
          <c:dLblPos val="inEnd"/>
          <c:showLegendKey val="0"/>
          <c:showVal val="1"/>
          <c:showCatName val="0"/>
          <c:showSerName val="0"/>
          <c:showPercent val="0"/>
          <c:showBubbleSize val="0"/>
        </c:dLbls>
        <c:gapWidth val="100"/>
        <c:overlap val="-24"/>
        <c:axId val="432083456"/>
        <c:axId val="432087264"/>
      </c:barChart>
      <c:catAx>
        <c:axId val="432083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432087264"/>
        <c:crosses val="autoZero"/>
        <c:auto val="1"/>
        <c:lblAlgn val="ctr"/>
        <c:lblOffset val="100"/>
        <c:noMultiLvlLbl val="0"/>
      </c:catAx>
      <c:valAx>
        <c:axId val="432087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432083456"/>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50000"/>
                    <a:lumOff val="50000"/>
                  </a:schemeClr>
                </a:solidFill>
                <a:latin typeface="+mn-lt"/>
                <a:ea typeface="+mn-ea"/>
                <a:cs typeface="+mn-cs"/>
              </a:defRPr>
            </a:pPr>
            <a:endParaRPr lang="es-EC"/>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xmlns:c16r2="http://schemas.microsoft.com/office/drawing/2015/06/chart">
    <c:ext xmlns:c14="http://schemas.microsoft.com/office/drawing/2007/8/2/chart" uri="{781A3756-C4B2-4CAC-9D66-4F8BD8637D16}">
      <c14:pivotOptions>
        <c14:dropZoneFilter val="1"/>
        <c14:dropZoneCategories val="1"/>
        <c14:dropZoneData val="1"/>
        <c14:dropZonesVisible val="1"/>
      </c14:pivotOptions>
    </c:ext>
  </c:extLst>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[WEB-UIO_cifras_2019_vr12feb2019.xlsx]% y # establecimientos act econ!Tabla dinámica3</c:name>
    <c:fmtId val="0"/>
  </c:pivotSource>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n-US"/>
              <a:t>Tipo de Actividad </a:t>
            </a:r>
          </a:p>
        </c:rich>
      </c:tx>
      <c:layout>
        <c:manualLayout>
          <c:xMode val="edge"/>
          <c:yMode val="edge"/>
          <c:x val="0.48782523622288104"/>
          <c:y val="6.8716130498867045E-2"/>
        </c:manualLayout>
      </c:layout>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ivotFmts>
      <c:pivotFmt>
        <c:idx val="0"/>
        <c:spPr>
          <a:solidFill>
            <a:schemeClr val="accent6">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6">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chemeClr val="accent6">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spPr>
          <a:solidFill>
            <a:schemeClr val="accent6">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solidFill>
            <a:schemeClr val="accent6">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solidFill>
            <a:schemeClr val="accent6">
              <a:alpha val="70000"/>
            </a:schemeClr>
          </a:solidFill>
          <a:ln>
            <a:noFill/>
          </a:ln>
          <a:effectLst/>
        </c:spPr>
        <c:marker>
          <c:symbol val="none"/>
        </c:marker>
      </c:pivotFmt>
      <c:pivotFmt>
        <c:idx val="6"/>
        <c:spPr>
          <a:solidFill>
            <a:schemeClr val="accent6">
              <a:alpha val="70000"/>
            </a:schemeClr>
          </a:solidFill>
          <a:ln>
            <a:noFill/>
          </a:ln>
          <a:effectLst/>
        </c:spPr>
        <c:marker>
          <c:symbol val="none"/>
        </c:marker>
      </c:pivotFmt>
      <c:pivotFmt>
        <c:idx val="7"/>
        <c:spPr>
          <a:solidFill>
            <a:schemeClr val="accent6">
              <a:alpha val="70000"/>
            </a:schemeClr>
          </a:solidFill>
          <a:ln>
            <a:noFill/>
          </a:ln>
          <a:effectLst/>
        </c:spPr>
        <c:marker>
          <c:symbol val="none"/>
        </c:marker>
      </c:pivotFmt>
      <c:pivotFmt>
        <c:idx val="8"/>
        <c:spPr>
          <a:solidFill>
            <a:schemeClr val="accent6">
              <a:alpha val="70000"/>
            </a:schemeClr>
          </a:solidFill>
          <a:ln>
            <a:noFill/>
          </a:ln>
          <a:effectLst/>
        </c:spPr>
        <c:marker>
          <c:symbol val="none"/>
        </c:marker>
      </c:pivotFmt>
    </c:pivotFmts>
    <c:plotArea>
      <c:layout/>
      <c:barChart>
        <c:barDir val="col"/>
        <c:grouping val="clustered"/>
        <c:varyColors val="0"/>
        <c:ser>
          <c:idx val="0"/>
          <c:order val="0"/>
          <c:tx>
            <c:strRef>
              <c:f>'% y # establecimientos act econ'!$R$29</c:f>
              <c:strCache>
                <c:ptCount val="1"/>
                <c:pt idx="0">
                  <c:v>Suma de 2015</c:v>
                </c:pt>
              </c:strCache>
            </c:strRef>
          </c:tx>
          <c:spPr>
            <a:solidFill>
              <a:schemeClr val="accent6">
                <a:alpha val="70000"/>
              </a:schemeClr>
            </a:solidFill>
            <a:ln>
              <a:noFill/>
            </a:ln>
            <a:effectLst/>
          </c:spPr>
          <c:invertIfNegative val="0"/>
          <c:dLbls>
            <c:delete val="1"/>
          </c:dLbls>
          <c:cat>
            <c:strRef>
              <c:f>'% y # establecimientos act econ'!$Q$30:$Q$43</c:f>
              <c:strCache>
                <c:ptCount val="13"/>
                <c:pt idx="0">
                  <c:v>ALBERGUE</c:v>
                </c:pt>
                <c:pt idx="1">
                  <c:v>APARTAMENTO TURISTICO</c:v>
                </c:pt>
                <c:pt idx="2">
                  <c:v>CABAÑAS</c:v>
                </c:pt>
                <c:pt idx="3">
                  <c:v>HOSTALES</c:v>
                </c:pt>
                <c:pt idx="4">
                  <c:v>HOSTERIAS</c:v>
                </c:pt>
                <c:pt idx="5">
                  <c:v>HOTELES</c:v>
                </c:pt>
                <c:pt idx="6">
                  <c:v>MOTELES</c:v>
                </c:pt>
                <c:pt idx="7">
                  <c:v>PENSIONES</c:v>
                </c:pt>
                <c:pt idx="8">
                  <c:v>REFUGIO</c:v>
                </c:pt>
                <c:pt idx="9">
                  <c:v>LODGE</c:v>
                </c:pt>
                <c:pt idx="10">
                  <c:v>HACIENDA TURISTICA</c:v>
                </c:pt>
                <c:pt idx="11">
                  <c:v>CASA DE HUESPEDES</c:v>
                </c:pt>
                <c:pt idx="12">
                  <c:v>CAMPAMENTO TURISTICO</c:v>
                </c:pt>
              </c:strCache>
            </c:strRef>
          </c:cat>
          <c:val>
            <c:numRef>
              <c:f>'% y # establecimientos act econ'!$R$30:$R$43</c:f>
              <c:numCache>
                <c:formatCode>_(* #,##0_);_(* \(#,##0\);_(* "-"??_);_(@_)</c:formatCode>
                <c:ptCount val="13"/>
                <c:pt idx="0">
                  <c:v>1</c:v>
                </c:pt>
                <c:pt idx="1">
                  <c:v>6</c:v>
                </c:pt>
                <c:pt idx="2">
                  <c:v>3</c:v>
                </c:pt>
                <c:pt idx="3">
                  <c:v>407</c:v>
                </c:pt>
                <c:pt idx="4">
                  <c:v>28</c:v>
                </c:pt>
                <c:pt idx="5">
                  <c:v>92</c:v>
                </c:pt>
                <c:pt idx="6">
                  <c:v>41</c:v>
                </c:pt>
                <c:pt idx="7">
                  <c:v>134</c:v>
                </c:pt>
                <c:pt idx="8">
                  <c:v>1</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580B-4756-AAB2-3EEB7821F1A2}"/>
            </c:ext>
          </c:extLst>
        </c:ser>
        <c:ser>
          <c:idx val="1"/>
          <c:order val="1"/>
          <c:tx>
            <c:strRef>
              <c:f>'% y # establecimientos act econ'!$S$29</c:f>
              <c:strCache>
                <c:ptCount val="1"/>
                <c:pt idx="0">
                  <c:v>Suma de 2016</c:v>
                </c:pt>
              </c:strCache>
            </c:strRef>
          </c:tx>
          <c:spPr>
            <a:solidFill>
              <a:schemeClr val="accent5">
                <a:alpha val="70000"/>
              </a:schemeClr>
            </a:solidFill>
            <a:ln>
              <a:noFill/>
            </a:ln>
            <a:effectLst/>
          </c:spPr>
          <c:invertIfNegative val="0"/>
          <c:dLbls>
            <c:delete val="1"/>
          </c:dLbls>
          <c:cat>
            <c:strRef>
              <c:f>'% y # establecimientos act econ'!$Q$30:$Q$43</c:f>
              <c:strCache>
                <c:ptCount val="13"/>
                <c:pt idx="0">
                  <c:v>ALBERGUE</c:v>
                </c:pt>
                <c:pt idx="1">
                  <c:v>APARTAMENTO TURISTICO</c:v>
                </c:pt>
                <c:pt idx="2">
                  <c:v>CABAÑAS</c:v>
                </c:pt>
                <c:pt idx="3">
                  <c:v>HOSTALES</c:v>
                </c:pt>
                <c:pt idx="4">
                  <c:v>HOSTERIAS</c:v>
                </c:pt>
                <c:pt idx="5">
                  <c:v>HOTELES</c:v>
                </c:pt>
                <c:pt idx="6">
                  <c:v>MOTELES</c:v>
                </c:pt>
                <c:pt idx="7">
                  <c:v>PENSIONES</c:v>
                </c:pt>
                <c:pt idx="8">
                  <c:v>REFUGIO</c:v>
                </c:pt>
                <c:pt idx="9">
                  <c:v>LODGE</c:v>
                </c:pt>
                <c:pt idx="10">
                  <c:v>HACIENDA TURISTICA</c:v>
                </c:pt>
                <c:pt idx="11">
                  <c:v>CASA DE HUESPEDES</c:v>
                </c:pt>
                <c:pt idx="12">
                  <c:v>CAMPAMENTO TURISTICO</c:v>
                </c:pt>
              </c:strCache>
            </c:strRef>
          </c:cat>
          <c:val>
            <c:numRef>
              <c:f>'% y # establecimientos act econ'!$S$30:$S$43</c:f>
              <c:numCache>
                <c:formatCode>_(* #,##0_);_(* \(#,##0\);_(* "-"??_);_(@_)</c:formatCode>
                <c:ptCount val="13"/>
                <c:pt idx="0">
                  <c:v>1</c:v>
                </c:pt>
                <c:pt idx="1">
                  <c:v>6</c:v>
                </c:pt>
                <c:pt idx="2">
                  <c:v>2</c:v>
                </c:pt>
                <c:pt idx="3">
                  <c:v>450</c:v>
                </c:pt>
                <c:pt idx="4">
                  <c:v>32</c:v>
                </c:pt>
                <c:pt idx="5">
                  <c:v>104</c:v>
                </c:pt>
                <c:pt idx="6">
                  <c:v>37</c:v>
                </c:pt>
                <c:pt idx="7">
                  <c:v>88</c:v>
                </c:pt>
                <c:pt idx="8">
                  <c:v>1</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1-580B-4756-AAB2-3EEB7821F1A2}"/>
            </c:ext>
          </c:extLst>
        </c:ser>
        <c:ser>
          <c:idx val="2"/>
          <c:order val="2"/>
          <c:tx>
            <c:strRef>
              <c:f>'% y # establecimientos act econ'!$T$29</c:f>
              <c:strCache>
                <c:ptCount val="1"/>
                <c:pt idx="0">
                  <c:v>Suma de 2017</c:v>
                </c:pt>
              </c:strCache>
            </c:strRef>
          </c:tx>
          <c:spPr>
            <a:solidFill>
              <a:schemeClr val="accent4">
                <a:alpha val="70000"/>
              </a:schemeClr>
            </a:solidFill>
            <a:ln>
              <a:noFill/>
            </a:ln>
            <a:effectLst/>
          </c:spPr>
          <c:invertIfNegative val="0"/>
          <c:dLbls>
            <c:delete val="1"/>
          </c:dLbls>
          <c:cat>
            <c:strRef>
              <c:f>'% y # establecimientos act econ'!$Q$30:$Q$43</c:f>
              <c:strCache>
                <c:ptCount val="13"/>
                <c:pt idx="0">
                  <c:v>ALBERGUE</c:v>
                </c:pt>
                <c:pt idx="1">
                  <c:v>APARTAMENTO TURISTICO</c:v>
                </c:pt>
                <c:pt idx="2">
                  <c:v>CABAÑAS</c:v>
                </c:pt>
                <c:pt idx="3">
                  <c:v>HOSTALES</c:v>
                </c:pt>
                <c:pt idx="4">
                  <c:v>HOSTERIAS</c:v>
                </c:pt>
                <c:pt idx="5">
                  <c:v>HOTELES</c:v>
                </c:pt>
                <c:pt idx="6">
                  <c:v>MOTELES</c:v>
                </c:pt>
                <c:pt idx="7">
                  <c:v>PENSIONES</c:v>
                </c:pt>
                <c:pt idx="8">
                  <c:v>REFUGIO</c:v>
                </c:pt>
                <c:pt idx="9">
                  <c:v>LODGE</c:v>
                </c:pt>
                <c:pt idx="10">
                  <c:v>HACIENDA TURISTICA</c:v>
                </c:pt>
                <c:pt idx="11">
                  <c:v>CASA DE HUESPEDES</c:v>
                </c:pt>
                <c:pt idx="12">
                  <c:v>CAMPAMENTO TURISTICO</c:v>
                </c:pt>
              </c:strCache>
            </c:strRef>
          </c:cat>
          <c:val>
            <c:numRef>
              <c:f>'% y # establecimientos act econ'!$T$30:$T$43</c:f>
              <c:numCache>
                <c:formatCode>_(* #,##0_);_(* \(#,##0\);_(* "-"??_);_(@_)</c:formatCode>
                <c:ptCount val="13"/>
                <c:pt idx="0">
                  <c:v>0</c:v>
                </c:pt>
                <c:pt idx="1">
                  <c:v>1</c:v>
                </c:pt>
                <c:pt idx="2">
                  <c:v>0</c:v>
                </c:pt>
                <c:pt idx="3">
                  <c:v>474</c:v>
                </c:pt>
                <c:pt idx="4">
                  <c:v>25</c:v>
                </c:pt>
                <c:pt idx="5">
                  <c:v>123</c:v>
                </c:pt>
                <c:pt idx="6">
                  <c:v>0</c:v>
                </c:pt>
                <c:pt idx="7">
                  <c:v>12</c:v>
                </c:pt>
                <c:pt idx="8">
                  <c:v>0</c:v>
                </c:pt>
                <c:pt idx="9">
                  <c:v>7</c:v>
                </c:pt>
                <c:pt idx="10">
                  <c:v>3</c:v>
                </c:pt>
                <c:pt idx="11">
                  <c:v>6</c:v>
                </c:pt>
                <c:pt idx="12">
                  <c:v>2</c:v>
                </c:pt>
              </c:numCache>
            </c:numRef>
          </c:val>
          <c:extLst xmlns:c16r2="http://schemas.microsoft.com/office/drawing/2015/06/chart">
            <c:ext xmlns:c16="http://schemas.microsoft.com/office/drawing/2014/chart" uri="{C3380CC4-5D6E-409C-BE32-E72D297353CC}">
              <c16:uniqueId val="{00000002-580B-4756-AAB2-3EEB7821F1A2}"/>
            </c:ext>
          </c:extLst>
        </c:ser>
        <c:ser>
          <c:idx val="3"/>
          <c:order val="3"/>
          <c:tx>
            <c:strRef>
              <c:f>'% y # establecimientos act econ'!$U$29</c:f>
              <c:strCache>
                <c:ptCount val="1"/>
                <c:pt idx="0">
                  <c:v>Suma de 2018</c:v>
                </c:pt>
              </c:strCache>
            </c:strRef>
          </c:tx>
          <c:spPr>
            <a:solidFill>
              <a:schemeClr val="accent6">
                <a:lumMod val="60000"/>
                <a:alpha val="70000"/>
              </a:schemeClr>
            </a:solidFill>
            <a:ln>
              <a:noFill/>
            </a:ln>
            <a:effectLst/>
          </c:spPr>
          <c:invertIfNegative val="0"/>
          <c:dLbls>
            <c:delete val="1"/>
          </c:dLbls>
          <c:cat>
            <c:strRef>
              <c:f>'% y # establecimientos act econ'!$Q$30:$Q$43</c:f>
              <c:strCache>
                <c:ptCount val="13"/>
                <c:pt idx="0">
                  <c:v>ALBERGUE</c:v>
                </c:pt>
                <c:pt idx="1">
                  <c:v>APARTAMENTO TURISTICO</c:v>
                </c:pt>
                <c:pt idx="2">
                  <c:v>CABAÑAS</c:v>
                </c:pt>
                <c:pt idx="3">
                  <c:v>HOSTALES</c:v>
                </c:pt>
                <c:pt idx="4">
                  <c:v>HOSTERIAS</c:v>
                </c:pt>
                <c:pt idx="5">
                  <c:v>HOTELES</c:v>
                </c:pt>
                <c:pt idx="6">
                  <c:v>MOTELES</c:v>
                </c:pt>
                <c:pt idx="7">
                  <c:v>PENSIONES</c:v>
                </c:pt>
                <c:pt idx="8">
                  <c:v>REFUGIO</c:v>
                </c:pt>
                <c:pt idx="9">
                  <c:v>LODGE</c:v>
                </c:pt>
                <c:pt idx="10">
                  <c:v>HACIENDA TURISTICA</c:v>
                </c:pt>
                <c:pt idx="11">
                  <c:v>CASA DE HUESPEDES</c:v>
                </c:pt>
                <c:pt idx="12">
                  <c:v>CAMPAMENTO TURISTICO</c:v>
                </c:pt>
              </c:strCache>
            </c:strRef>
          </c:cat>
          <c:val>
            <c:numRef>
              <c:f>'% y # establecimientos act econ'!$U$30:$U$43</c:f>
              <c:numCache>
                <c:formatCode>_(* #,##0_);_(* \(#,##0\);_(* "-"??_);_(@_)</c:formatCode>
                <c:ptCount val="13"/>
                <c:pt idx="3">
                  <c:v>504</c:v>
                </c:pt>
                <c:pt idx="4">
                  <c:v>27</c:v>
                </c:pt>
                <c:pt idx="5">
                  <c:v>132</c:v>
                </c:pt>
                <c:pt idx="7">
                  <c:v>2</c:v>
                </c:pt>
                <c:pt idx="9">
                  <c:v>6</c:v>
                </c:pt>
                <c:pt idx="10">
                  <c:v>6</c:v>
                </c:pt>
                <c:pt idx="11">
                  <c:v>4</c:v>
                </c:pt>
                <c:pt idx="12">
                  <c:v>3</c:v>
                </c:pt>
              </c:numCache>
            </c:numRef>
          </c:val>
          <c:extLst xmlns:c16r2="http://schemas.microsoft.com/office/drawing/2015/06/chart">
            <c:ext xmlns:c16="http://schemas.microsoft.com/office/drawing/2014/chart" uri="{C3380CC4-5D6E-409C-BE32-E72D297353CC}">
              <c16:uniqueId val="{00000000-761B-4401-A9B5-62F64C907F4B}"/>
            </c:ext>
          </c:extLst>
        </c:ser>
        <c:dLbls>
          <c:dLblPos val="inEnd"/>
          <c:showLegendKey val="0"/>
          <c:showVal val="1"/>
          <c:showCatName val="0"/>
          <c:showSerName val="0"/>
          <c:showPercent val="0"/>
          <c:showBubbleSize val="0"/>
        </c:dLbls>
        <c:gapWidth val="80"/>
        <c:overlap val="25"/>
        <c:axId val="432088352"/>
        <c:axId val="432088896"/>
      </c:barChart>
      <c:catAx>
        <c:axId val="432088352"/>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432088896"/>
        <c:crosses val="autoZero"/>
        <c:auto val="1"/>
        <c:lblAlgn val="ctr"/>
        <c:lblOffset val="100"/>
        <c:noMultiLvlLbl val="0"/>
      </c:catAx>
      <c:valAx>
        <c:axId val="432088896"/>
        <c:scaling>
          <c:orientation val="minMax"/>
        </c:scaling>
        <c:delete val="0"/>
        <c:axPos val="l"/>
        <c:majorGridlines>
          <c:spPr>
            <a:ln w="9525" cap="flat" cmpd="sng" algn="ctr">
              <a:solidFill>
                <a:schemeClr val="tx1">
                  <a:lumMod val="5000"/>
                  <a:lumOff val="9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43208835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xmlns:c16r2="http://schemas.microsoft.com/office/drawing/2015/06/chart">
    <c:ext xmlns:c14="http://schemas.microsoft.com/office/drawing/2007/8/2/chart" uri="{781A3756-C4B2-4CAC-9D66-4F8BD8637D16}">
      <c14:pivotOptions>
        <c14:dropZoneFilter val="1"/>
        <c14:dropZoneCategories val="1"/>
        <c14:dropZoneData val="1"/>
        <c14:dropZonesVisible val="1"/>
      </c14:pivotOptions>
    </c:ext>
  </c:extLst>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8212111070008854E-3"/>
          <c:y val="0.18560202025513281"/>
          <c:w val="0.8856631847193599"/>
          <c:h val="0.77285063858315461"/>
        </c:manualLayout>
      </c:layout>
      <c:pie3DChart>
        <c:varyColors val="1"/>
        <c:ser>
          <c:idx val="0"/>
          <c:order val="0"/>
          <c:tx>
            <c:strRef>
              <c:f>'% y # establecimientos act econ'!$Q$9</c:f>
              <c:strCache>
                <c:ptCount val="1"/>
                <c:pt idx="0">
                  <c:v>ALOJAMIENTO </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solidFill>
              <a:ln w="25400">
                <a:solidFill>
                  <a:schemeClr val="lt1"/>
                </a:solidFill>
              </a:ln>
              <a:effectLst/>
              <a:sp3d contourW="25400">
                <a:contourClr>
                  <a:schemeClr val="lt1"/>
                </a:contourClr>
              </a:sp3d>
            </c:spPr>
          </c:dPt>
          <c:dPt>
            <c:idx val="6"/>
            <c:bubble3D val="0"/>
            <c:spPr>
              <a:solidFill>
                <a:schemeClr val="accent1">
                  <a:lumMod val="60000"/>
                </a:schemeClr>
              </a:solidFill>
              <a:ln w="25400">
                <a:solidFill>
                  <a:schemeClr val="lt1"/>
                </a:solidFill>
              </a:ln>
              <a:effectLst/>
              <a:sp3d contourW="25400">
                <a:contourClr>
                  <a:schemeClr val="lt1"/>
                </a:contourClr>
              </a:sp3d>
            </c:spPr>
          </c:dPt>
          <c:dPt>
            <c:idx val="7"/>
            <c:bubble3D val="0"/>
            <c:spPr>
              <a:solidFill>
                <a:schemeClr val="accent2">
                  <a:lumMod val="60000"/>
                </a:schemeClr>
              </a:solidFill>
              <a:ln w="25400">
                <a:solidFill>
                  <a:schemeClr val="lt1"/>
                </a:solidFill>
              </a:ln>
              <a:effectLst/>
              <a:sp3d contourW="25400">
                <a:contourClr>
                  <a:schemeClr val="lt1"/>
                </a:contourClr>
              </a:sp3d>
            </c:spPr>
          </c:dPt>
          <c:dLbls>
            <c:dLbl>
              <c:idx val="3"/>
              <c:layout>
                <c:manualLayout>
                  <c:x val="2.1881992333911911E-2"/>
                  <c:y val="-0.18204572172625758"/>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9-E975-422C-BBA3-B20FDF019ABF}"/>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 y # establecimientos act econ'!$Q$30:$Q$42</c15:sqref>
                  </c15:fullRef>
                </c:ext>
              </c:extLst>
              <c:f>('% y # establecimientos act econ'!$Q$33:$Q$35,'% y # establecimientos act econ'!$Q$37,'% y # establecimientos act econ'!$Q$39:$Q$42)</c:f>
              <c:strCache>
                <c:ptCount val="8"/>
                <c:pt idx="0">
                  <c:v>HOSTALES</c:v>
                </c:pt>
                <c:pt idx="1">
                  <c:v>HOSTERIAS</c:v>
                </c:pt>
                <c:pt idx="2">
                  <c:v>HOTELES</c:v>
                </c:pt>
                <c:pt idx="3">
                  <c:v>PENSIONES</c:v>
                </c:pt>
                <c:pt idx="4">
                  <c:v>LODGE</c:v>
                </c:pt>
                <c:pt idx="5">
                  <c:v>HACIENDA TURISTICA</c:v>
                </c:pt>
                <c:pt idx="6">
                  <c:v>CASA DE HUESPEDES</c:v>
                </c:pt>
                <c:pt idx="7">
                  <c:v>CAMPAMENTO TURISTICO</c:v>
                </c:pt>
              </c:strCache>
            </c:strRef>
          </c:cat>
          <c:val>
            <c:numRef>
              <c:extLst>
                <c:ext xmlns:c15="http://schemas.microsoft.com/office/drawing/2012/chart" uri="{02D57815-91ED-43cb-92C2-25804820EDAC}">
                  <c15:fullRef>
                    <c15:sqref>'% y # establecimientos act econ'!$U$30:$U$42</c15:sqref>
                  </c15:fullRef>
                </c:ext>
              </c:extLst>
              <c:f>('% y # establecimientos act econ'!$U$33:$U$35,'% y # establecimientos act econ'!$U$37,'% y # establecimientos act econ'!$U$39:$U$42)</c:f>
              <c:numCache>
                <c:formatCode>_(* #,##0_);_(* \(#,##0\);_(* "-"??_);_(@_)</c:formatCode>
                <c:ptCount val="8"/>
                <c:pt idx="0">
                  <c:v>504</c:v>
                </c:pt>
                <c:pt idx="1">
                  <c:v>27</c:v>
                </c:pt>
                <c:pt idx="2">
                  <c:v>132</c:v>
                </c:pt>
                <c:pt idx="3">
                  <c:v>2</c:v>
                </c:pt>
                <c:pt idx="4">
                  <c:v>6</c:v>
                </c:pt>
                <c:pt idx="5">
                  <c:v>6</c:v>
                </c:pt>
                <c:pt idx="6">
                  <c:v>4</c:v>
                </c:pt>
                <c:pt idx="7">
                  <c:v>3</c:v>
                </c:pt>
              </c:numCache>
            </c:numRef>
          </c:val>
          <c:extLst xmlns:c16r2="http://schemas.microsoft.com/office/drawing/2015/06/chart">
            <c:ext xmlns:c16="http://schemas.microsoft.com/office/drawing/2014/chart" uri="{C3380CC4-5D6E-409C-BE32-E72D297353CC}">
              <c16:uniqueId val="{00000012-E975-422C-BBA3-B20FDF019ABF}"/>
            </c:ext>
            <c:ext xmlns:c15="http://schemas.microsoft.com/office/drawing/2012/chart" uri="{02D57815-91ED-43cb-92C2-25804820EDAC}">
              <c15:categoryFilterExceptions>
                <c15:categoryFilterException>
                  <c15:sqref>'% y # establecimientos act econ'!$U$31</c15:sqref>
                  <c15:spPr xmlns:c15="http://schemas.microsoft.com/office/drawing/2012/chart">
                    <a:solidFill>
                      <a:schemeClr val="accent2"/>
                    </a:solidFill>
                    <a:ln w="25400">
                      <a:solidFill>
                        <a:schemeClr val="lt1"/>
                      </a:solidFill>
                    </a:ln>
                    <a:effectLst/>
                    <a:sp3d contourW="25400">
                      <a:contourClr>
                        <a:schemeClr val="lt1"/>
                      </a:contourClr>
                    </a:sp3d>
                  </c15:spPr>
                  <c15:bubble3D val="0"/>
                </c15:categoryFilterException>
              </c15:categoryFilterExceptions>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TUR'!$B$3:$B$10</c:f>
          <c:strCache>
            <c:ptCount val="8"/>
            <c:pt idx="0">
              <c:v>Actividades Económicas Turísticas - porcentajes</c:v>
            </c:pt>
          </c:strCache>
        </c:strRef>
      </c:tx>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7438342615920147"/>
          <c:w val="0.74089006890971876"/>
          <c:h val="0.71160144770682487"/>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1-7AD3-483F-A95D-86E9E764420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3-7AD3-483F-A95D-86E9E764420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5-7AD3-483F-A95D-86E9E764420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7-7AD3-483F-A95D-86E9E764420A}"/>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9-7AD3-483F-A95D-86E9E764420A}"/>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B-7AD3-483F-A95D-86E9E764420A}"/>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7AD3-483F-A95D-86E9E764420A}"/>
                </c:ext>
                <c:ext xmlns:c15="http://schemas.microsoft.com/office/drawing/2012/chart" uri="{CE6537A1-D6FC-4f65-9D91-7224C49458BB}">
                  <c15:layout/>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7AD3-483F-A95D-86E9E764420A}"/>
                </c:ext>
                <c:ext xmlns:c15="http://schemas.microsoft.com/office/drawing/2012/chart" uri="{CE6537A1-D6FC-4f65-9D91-7224C49458BB}">
                  <c15:layout/>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7AD3-483F-A95D-86E9E764420A}"/>
                </c:ext>
                <c:ext xmlns:c15="http://schemas.microsoft.com/office/drawing/2012/chart" uri="{CE6537A1-D6FC-4f65-9D91-7224C49458BB}">
                  <c15:layout/>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7AD3-483F-A95D-86E9E764420A}"/>
                </c:ext>
                <c:ext xmlns:c15="http://schemas.microsoft.com/office/drawing/2012/chart" uri="{CE6537A1-D6FC-4f65-9D91-7224C49458BB}">
                  <c15:layout/>
                </c:ext>
              </c:extLst>
            </c:dLbl>
            <c:dLbl>
              <c:idx val="4"/>
              <c:layout>
                <c:manualLayout>
                  <c:x val="6.2165058949624867E-2"/>
                  <c:y val="-3.636362479483821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7AD3-483F-A95D-86E9E764420A}"/>
                </c:ext>
                <c:ext xmlns:c15="http://schemas.microsoft.com/office/drawing/2012/chart" uri="{CE6537A1-D6FC-4f65-9D91-7224C49458BB}">
                  <c15:layout/>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7AD3-483F-A95D-86E9E764420A}"/>
                </c:ext>
                <c:ext xmlns:c15="http://schemas.microsoft.com/office/drawing/2012/chart" uri="{CE6537A1-D6FC-4f65-9D91-7224C49458BB}">
                  <c15:layout/>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'Actividades económicas TUR'!$C$4:$C$9</c:f>
              <c:strCache>
                <c:ptCount val="6"/>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strCache>
            </c:strRef>
          </c:cat>
          <c:val>
            <c:numRef>
              <c:f>'Actividades económicas TUR'!$T$4:$T$9</c:f>
              <c:numCache>
                <c:formatCode>0%</c:formatCode>
                <c:ptCount val="6"/>
                <c:pt idx="0">
                  <c:v>0.14699840219128052</c:v>
                </c:pt>
                <c:pt idx="1">
                  <c:v>0.63592787034923537</c:v>
                </c:pt>
                <c:pt idx="2">
                  <c:v>0.15612873773111161</c:v>
                </c:pt>
                <c:pt idx="3">
                  <c:v>0</c:v>
                </c:pt>
                <c:pt idx="4">
                  <c:v>3.9716959598265239E-2</c:v>
                </c:pt>
                <c:pt idx="5">
                  <c:v>2.1228030130107281E-2</c:v>
                </c:pt>
              </c:numCache>
            </c:numRef>
          </c:val>
          <c:extLst xmlns:c16r2="http://schemas.microsoft.com/office/drawing/2015/06/chart">
            <c:ext xmlns:c16="http://schemas.microsoft.com/office/drawing/2014/chart" uri="{C3380CC4-5D6E-409C-BE32-E72D297353CC}">
              <c16:uniqueId val="{0000000C-7AD3-483F-A95D-86E9E764420A}"/>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s-EC"/>
              <a:t>Llegadas de Turistas al DMQ (mensual) </a:t>
            </a:r>
          </a:p>
          <a:p>
            <a:pPr>
              <a:defRPr/>
            </a:pPr>
            <a:r>
              <a:rPr lang="es-EC"/>
              <a:t>2015 - 2018</a:t>
            </a:r>
          </a:p>
        </c:rich>
      </c:tx>
      <c:layout/>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EC"/>
        </a:p>
      </c:txPr>
    </c:title>
    <c:autoTitleDeleted val="0"/>
    <c:plotArea>
      <c:layout>
        <c:manualLayout>
          <c:layoutTarget val="inner"/>
          <c:xMode val="edge"/>
          <c:yMode val="edge"/>
          <c:x val="2.9250811390511666E-2"/>
          <c:y val="0.14336549767816492"/>
          <c:w val="0.95587085485282086"/>
          <c:h val="0.71243652715565642"/>
        </c:manualLayout>
      </c:layout>
      <c:lineChart>
        <c:grouping val="stacked"/>
        <c:varyColors val="0"/>
        <c:ser>
          <c:idx val="7"/>
          <c:order val="0"/>
          <c:tx>
            <c:strRef>
              <c:f>'Llegadas '!$N$3</c:f>
              <c:strCache>
                <c:ptCount val="1"/>
                <c:pt idx="0">
                  <c:v>2019 (e)</c:v>
                </c:pt>
              </c:strCache>
            </c:strRef>
          </c:tx>
          <c:spPr>
            <a:ln w="22225" cap="rnd">
              <a:solidFill>
                <a:srgbClr val="00B050"/>
              </a:solidFill>
              <a:round/>
            </a:ln>
            <a:effectLst/>
          </c:spPr>
          <c:marker>
            <c:symbol val="none"/>
          </c:marker>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52976</c:v>
                </c:pt>
                <c:pt idx="1">
                  <c:v>54669.68</c:v>
                </c:pt>
                <c:pt idx="2">
                  <c:v>60480.160000000003</c:v>
                </c:pt>
                <c:pt idx="3">
                  <c:v>47644</c:v>
                </c:pt>
                <c:pt idx="4">
                  <c:v>56077.84</c:v>
                </c:pt>
                <c:pt idx="5">
                  <c:v>73444.800000000003</c:v>
                </c:pt>
                <c:pt idx="6">
                  <c:v>75808.72</c:v>
                </c:pt>
                <c:pt idx="7">
                  <c:v>56550</c:v>
                </c:pt>
                <c:pt idx="8">
                  <c:v>52018.720000000001</c:v>
                </c:pt>
                <c:pt idx="9">
                  <c:v>55179.28</c:v>
                </c:pt>
                <c:pt idx="10">
                  <c:v>56908.800000000003</c:v>
                </c:pt>
                <c:pt idx="11">
                  <c:v>71091</c:v>
                </c:pt>
              </c:numCache>
            </c:numRef>
          </c:val>
          <c:smooth val="0"/>
          <c:extLst xmlns:c16r2="http://schemas.microsoft.com/office/drawing/2015/06/chart">
            <c:ext xmlns:c16="http://schemas.microsoft.com/office/drawing/2014/chart" uri="{C3380CC4-5D6E-409C-BE32-E72D297353CC}">
              <c16:uniqueId val="{00000000-53FB-4009-BAEF-851601E2B566}"/>
            </c:ext>
          </c:extLst>
        </c:ser>
        <c:ser>
          <c:idx val="6"/>
          <c:order val="1"/>
          <c:tx>
            <c:strRef>
              <c:f>'Llegadas '!$M$3</c:f>
              <c:strCache>
                <c:ptCount val="1"/>
                <c:pt idx="0">
                  <c:v>2018</c:v>
                </c:pt>
              </c:strCache>
            </c:strRef>
          </c:tx>
          <c:spPr>
            <a:ln w="22225" cap="rnd">
              <a:solidFill>
                <a:schemeClr val="accent1">
                  <a:tint val="62000"/>
                </a:schemeClr>
              </a:solidFill>
              <a:round/>
            </a:ln>
            <a:effectLst/>
          </c:spPr>
          <c:marker>
            <c:symbol val="none"/>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xmlns:c16r2="http://schemas.microsoft.com/office/drawing/2015/06/chart">
            <c:ext xmlns:c16="http://schemas.microsoft.com/office/drawing/2014/chart" uri="{C3380CC4-5D6E-409C-BE32-E72D297353CC}">
              <c16:uniqueId val="{00000001-53FB-4009-BAEF-851601E2B566}"/>
            </c:ext>
          </c:extLst>
        </c:ser>
        <c:ser>
          <c:idx val="5"/>
          <c:order val="2"/>
          <c:tx>
            <c:strRef>
              <c:f>'Llegadas '!$L$3</c:f>
              <c:strCache>
                <c:ptCount val="1"/>
                <c:pt idx="0">
                  <c:v>2017</c:v>
                </c:pt>
              </c:strCache>
            </c:strRef>
          </c:tx>
          <c:spPr>
            <a:ln w="22225" cap="rnd">
              <a:solidFill>
                <a:schemeClr val="accent1">
                  <a:tint val="77000"/>
                </a:schemeClr>
              </a:solidFill>
              <a:round/>
            </a:ln>
            <a:effectLst/>
          </c:spPr>
          <c:marker>
            <c:symbol val="none"/>
          </c:marker>
          <c:dLbls>
            <c:spPr>
              <a:solidFill>
                <a:schemeClr val="accent2">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xmlns:c16r2="http://schemas.microsoft.com/office/drawing/2015/06/chart">
            <c:ext xmlns:c16="http://schemas.microsoft.com/office/drawing/2014/chart" uri="{C3380CC4-5D6E-409C-BE32-E72D297353CC}">
              <c16:uniqueId val="{00000002-53FB-4009-BAEF-851601E2B566}"/>
            </c:ext>
          </c:extLst>
        </c:ser>
        <c:ser>
          <c:idx val="1"/>
          <c:order val="7"/>
          <c:tx>
            <c:strRef>
              <c:f>'Llegadas '!$G$3</c:f>
              <c:strCache>
                <c:ptCount val="1"/>
                <c:pt idx="0">
                  <c:v>2012</c:v>
                </c:pt>
              </c:strCache>
              <c:extLst xmlns:c15="http://schemas.microsoft.com/office/drawing/2012/chart" xmlns:c16r2="http://schemas.microsoft.com/office/drawing/2015/06/chart"/>
            </c:strRef>
          </c:tx>
          <c:spPr>
            <a:ln w="22225" cap="rnd">
              <a:solidFill>
                <a:schemeClr val="accent1">
                  <a:shade val="61000"/>
                </a:schemeClr>
              </a:solidFill>
              <a:round/>
            </a:ln>
            <a:effectLst/>
          </c:spPr>
          <c:marker>
            <c:symbol val="circle"/>
            <c:size val="6"/>
            <c:spPr>
              <a:solidFill>
                <a:schemeClr val="lt1"/>
              </a:solidFill>
              <a:ln w="15875">
                <a:solidFill>
                  <a:schemeClr val="accent1">
                    <a:shade val="61000"/>
                  </a:schemeClr>
                </a:solidFill>
                <a:round/>
              </a:ln>
              <a:effectLst/>
            </c:spPr>
          </c:marker>
          <c:dLbls>
            <c:dLbl>
              <c:idx val="0"/>
              <c:layout>
                <c:manualLayout>
                  <c:x val="-7.1684587813620072E-3"/>
                  <c:y val="-3.174602513310312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53FB-4009-BAEF-851601E2B566}"/>
                </c:ext>
                <c:ext xmlns:c15="http://schemas.microsoft.com/office/drawing/2012/chart" uri="{CE6537A1-D6FC-4f65-9D91-7224C49458BB}">
                  <c15:layout/>
                </c:ext>
              </c:extLst>
            </c:dLbl>
            <c:dLbl>
              <c:idx val="1"/>
              <c:layout>
                <c:manualLayout>
                  <c:x val="-1.2903225806451613E-2"/>
                  <c:y val="-4.761903769965469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53FB-4009-BAEF-851601E2B566}"/>
                </c:ext>
                <c:ext xmlns:c15="http://schemas.microsoft.com/office/drawing/2012/chart" uri="{CE6537A1-D6FC-4f65-9D91-7224C49458BB}">
                  <c15:layout/>
                </c:ext>
              </c:extLst>
            </c:dLbl>
            <c:dLbl>
              <c:idx val="2"/>
              <c:layout>
                <c:manualLayout>
                  <c:x val="1.433691756272349E-3"/>
                  <c:y val="-2.645502094425260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3FB-4009-BAEF-851601E2B566}"/>
                </c:ext>
                <c:ext xmlns:c15="http://schemas.microsoft.com/office/drawing/2012/chart" uri="{CE6537A1-D6FC-4f65-9D91-7224C49458BB}">
                  <c15:layout/>
                </c:ext>
              </c:extLst>
            </c:dLbl>
            <c:dLbl>
              <c:idx val="3"/>
              <c:layout>
                <c:manualLayout>
                  <c:x val="-1.4336917562724014E-2"/>
                  <c:y val="-5.02645397940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53FB-4009-BAEF-851601E2B566}"/>
                </c:ext>
                <c:ext xmlns:c15="http://schemas.microsoft.com/office/drawing/2012/chart" uri="{CE6537A1-D6FC-4f65-9D91-7224C49458BB}">
                  <c15:layout/>
                </c:ext>
              </c:extLst>
            </c:dLbl>
            <c:dLbl>
              <c:idx val="5"/>
              <c:layout>
                <c:manualLayout>
                  <c:x val="0"/>
                  <c:y val="1.772395488590274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53FB-4009-BAEF-851601E2B566}"/>
                </c:ext>
                <c:ext xmlns:c15="http://schemas.microsoft.com/office/drawing/2012/chart" uri="{CE6537A1-D6FC-4f65-9D91-7224C49458BB}">
                  <c15:layout/>
                </c:ext>
              </c:extLst>
            </c:dLbl>
            <c:dLbl>
              <c:idx val="9"/>
              <c:layout>
                <c:manualLayout>
                  <c:x val="-1.8637992831541324E-2"/>
                  <c:y val="-4.232803351080417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53FB-4009-BAEF-851601E2B566}"/>
                </c:ext>
                <c:ext xmlns:c15="http://schemas.microsoft.com/office/drawing/2012/chart" uri="{CE6537A1-D6FC-4f65-9D91-7224C49458BB}">
                  <c15:layout/>
                </c:ext>
              </c:extLst>
            </c:dLbl>
            <c:dLbl>
              <c:idx val="11"/>
              <c:layout>
                <c:manualLayout>
                  <c:x val="-6.1648745519713159E-2"/>
                  <c:y val="-2.38095188498273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53FB-4009-BAEF-851601E2B566}"/>
                </c:ex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layout/>
                <c15:showLeaderLines val="0"/>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'!$G$4:$G$15</c:f>
              <c:numCache>
                <c:formatCode>#,##0</c:formatCode>
                <c:ptCount val="12"/>
                <c:pt idx="0">
                  <c:v>37773</c:v>
                </c:pt>
                <c:pt idx="1">
                  <c:v>35654</c:v>
                </c:pt>
                <c:pt idx="2">
                  <c:v>40663</c:v>
                </c:pt>
                <c:pt idx="3">
                  <c:v>36524</c:v>
                </c:pt>
                <c:pt idx="4">
                  <c:v>40720</c:v>
                </c:pt>
                <c:pt idx="5">
                  <c:v>54166</c:v>
                </c:pt>
                <c:pt idx="6">
                  <c:v>56168</c:v>
                </c:pt>
                <c:pt idx="7">
                  <c:v>46212</c:v>
                </c:pt>
                <c:pt idx="8">
                  <c:v>39747</c:v>
                </c:pt>
                <c:pt idx="9">
                  <c:v>44864</c:v>
                </c:pt>
                <c:pt idx="10">
                  <c:v>46422</c:v>
                </c:pt>
                <c:pt idx="11">
                  <c:v>54545</c:v>
                </c:pt>
              </c:numCache>
              <c:extLst xmlns:c15="http://schemas.microsoft.com/office/drawing/2012/chart" xmlns:c16r2="http://schemas.microsoft.com/office/drawing/2015/06/chart"/>
            </c:numRef>
          </c:val>
          <c:smooth val="0"/>
          <c:extLst xmlns:c16r2="http://schemas.microsoft.com/office/drawing/2015/06/chart">
            <c:ext xmlns:c16="http://schemas.microsoft.com/office/drawing/2014/chart" uri="{C3380CC4-5D6E-409C-BE32-E72D297353CC}">
              <c16:uniqueId val="{0000000A-53FB-4009-BAEF-851601E2B566}"/>
            </c:ext>
          </c:extLst>
        </c:ser>
        <c:dLbls>
          <c:showLegendKey val="0"/>
          <c:showVal val="0"/>
          <c:showCatName val="0"/>
          <c:showSerName val="0"/>
          <c:showPercent val="0"/>
          <c:showBubbleSize val="0"/>
        </c:dLbls>
        <c:smooth val="0"/>
        <c:axId val="604899792"/>
        <c:axId val="604900336"/>
        <c:extLst xmlns:c16r2="http://schemas.microsoft.com/office/drawing/2015/06/chart">
          <c:ext xmlns:c15="http://schemas.microsoft.com/office/drawing/2012/chart" uri="{02D57815-91ED-43cb-92C2-25804820EDAC}">
            <c15:filteredLineSeries>
              <c15:ser>
                <c:idx val="2"/>
                <c:order val="3"/>
                <c:tx>
                  <c:strRef>
                    <c:extLst xmlns:c16r2="http://schemas.microsoft.com/office/drawing/2015/06/chart">
                      <c:ext uri="{02D57815-91ED-43cb-92C2-25804820EDAC}">
                        <c15:formulaRef>
                          <c15:sqref>'Llegadas '!$K$3</c15:sqref>
                        </c15:formulaRef>
                      </c:ext>
                    </c:extLst>
                    <c:strCache>
                      <c:ptCount val="1"/>
                      <c:pt idx="0">
                        <c:v>2016</c:v>
                      </c:pt>
                    </c:strCache>
                  </c:strRef>
                </c:tx>
                <c:spPr>
                  <a:ln w="22225" cap="rnd">
                    <a:solidFill>
                      <a:schemeClr val="accent1">
                        <a:shade val="76000"/>
                      </a:schemeClr>
                    </a:solidFill>
                    <a:round/>
                  </a:ln>
                  <a:effectLst/>
                </c:spPr>
                <c:marker>
                  <c:symbol val="circle"/>
                  <c:size val="6"/>
                  <c:spPr>
                    <a:solidFill>
                      <a:schemeClr val="lt1"/>
                    </a:solidFill>
                    <a:ln w="15875">
                      <a:solidFill>
                        <a:schemeClr val="accent1">
                          <a:shade val="76000"/>
                        </a:schemeClr>
                      </a:solidFill>
                      <a:round/>
                    </a:ln>
                    <a:effectLst/>
                  </c:spPr>
                </c:marker>
                <c:dLbls>
                  <c:dLbl>
                    <c:idx val="0"/>
                    <c:layout>
                      <c:manualLayout>
                        <c:x val="4.1881861541487715E-5"/>
                        <c:y val="-3.901907282025729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53FB-4009-BAEF-851601E2B566}"/>
                      </c:ext>
                      <c:ext uri="{CE6537A1-D6FC-4f65-9D91-7224C49458BB}"/>
                    </c:extLst>
                  </c:dLbl>
                  <c:dLbl>
                    <c:idx val="1"/>
                    <c:layout>
                      <c:manualLayout>
                        <c:x val="-6.8546270425874189E-4"/>
                        <c:y val="-3.372973508941910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53FB-4009-BAEF-851601E2B566}"/>
                      </c:ext>
                      <c:ext uri="{CE6537A1-D6FC-4f65-9D91-7224C49458BB}"/>
                    </c:extLst>
                  </c:dLbl>
                  <c:dLbl>
                    <c:idx val="2"/>
                    <c:layout>
                      <c:manualLayout>
                        <c:x val="-1.7260745632602376E-4"/>
                        <c:y val="-3.637357072583203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53FB-4009-BAEF-851601E2B566}"/>
                      </c:ext>
                      <c:ext uri="{CE6537A1-D6FC-4f65-9D91-7224C49458BB}"/>
                    </c:extLst>
                  </c:dLbl>
                  <c:dLbl>
                    <c:idx val="3"/>
                    <c:layout>
                      <c:manualLayout>
                        <c:x val="2.8673835125448029E-3"/>
                        <c:y val="-3.968253141637891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53FB-4009-BAEF-851601E2B566}"/>
                      </c:ext>
                      <c:ext uri="{CE6537A1-D6FC-4f65-9D91-7224C49458BB}"/>
                    </c:extLst>
                  </c:dLbl>
                  <c:dLbl>
                    <c:idx val="4"/>
                    <c:layout>
                      <c:manualLayout>
                        <c:x val="-1.863799283154122E-2"/>
                        <c:y val="-4.232803351080407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53FB-4009-BAEF-851601E2B566}"/>
                      </c:ext>
                      <c:ext uri="{CE6537A1-D6FC-4f65-9D91-7224C49458BB}"/>
                    </c:extLst>
                  </c:dLbl>
                  <c:dLbl>
                    <c:idx val="5"/>
                    <c:layout>
                      <c:manualLayout>
                        <c:x val="-1.7204301075268817E-2"/>
                        <c:y val="-3.174602513310312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53FB-4009-BAEF-851601E2B566}"/>
                      </c:ext>
                      <c:ext uri="{CE6537A1-D6FC-4f65-9D91-7224C49458BB}"/>
                    </c:extLst>
                  </c:dLbl>
                  <c:dLbl>
                    <c:idx val="6"/>
                    <c:layout>
                      <c:manualLayout>
                        <c:x val="-1.1469534050179317E-2"/>
                        <c:y val="-3.968253141637891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53FB-4009-BAEF-851601E2B566}"/>
                      </c:ext>
                      <c:ext uri="{CE6537A1-D6FC-4f65-9D91-7224C49458BB}"/>
                    </c:extLst>
                  </c:dLbl>
                  <c:dLbl>
                    <c:idx val="7"/>
                    <c:layout>
                      <c:manualLayout>
                        <c:x val="-4.3010752688173092E-3"/>
                        <c:y val="-3.968253141637891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53FB-4009-BAEF-851601E2B566}"/>
                      </c:ext>
                      <c:ext uri="{CE6537A1-D6FC-4f65-9D91-7224C49458BB}"/>
                    </c:extLst>
                  </c:dLbl>
                  <c:dLbl>
                    <c:idx val="8"/>
                    <c:layout>
                      <c:manualLayout>
                        <c:x val="-1.0035842293906916E-2"/>
                        <c:y val="-4.232803351080417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53FB-4009-BAEF-851601E2B566}"/>
                      </c:ext>
                      <c:ext uri="{CE6537A1-D6FC-4f65-9D91-7224C49458BB}"/>
                    </c:extLst>
                  </c:dLbl>
                  <c:dLbl>
                    <c:idx val="9"/>
                    <c:layout>
                      <c:manualLayout>
                        <c:x val="-7.1684587813620072E-3"/>
                        <c:y val="-4.497353560522943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53FB-4009-BAEF-851601E2B566}"/>
                      </c:ext>
                      <c:ext uri="{CE6537A1-D6FC-4f65-9D91-7224C49458BB}"/>
                    </c:extLst>
                  </c:dLbl>
                  <c:dLbl>
                    <c:idx val="10"/>
                    <c:layout>
                      <c:manualLayout>
                        <c:x val="-1.0035842293906916E-2"/>
                        <c:y val="-5.291004188850521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5-53FB-4009-BAEF-851601E2B566}"/>
                      </c:ext>
                      <c:ext uri="{CE6537A1-D6FC-4f65-9D91-7224C49458BB}"/>
                    </c:extLst>
                  </c:dLbl>
                  <c:dLbl>
                    <c:idx val="11"/>
                    <c:layout>
                      <c:manualLayout>
                        <c:x val="-2.1505376344086127E-2"/>
                        <c:y val="-4.761903769965469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53FB-4009-BAEF-851601E2B566}"/>
                      </c:ext>
                      <c:ext uri="{CE6537A1-D6FC-4f65-9D91-7224C49458BB}"/>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6r2="http://schemas.microsoft.com/office/drawing/2015/06/char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c:ext uri="{02D57815-91ED-43cb-92C2-25804820EDAC}">
                        <c15:formulaRef>
                          <c15:sqref>'Llegadas '!$K$4:$K$15</c15:sqref>
                        </c15:formulaRef>
                      </c:ext>
                    </c:extLst>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xmlns:c16r2="http://schemas.microsoft.com/office/drawing/2015/06/chart">
                  <c:ext xmlns:c16="http://schemas.microsoft.com/office/drawing/2014/chart" uri="{C3380CC4-5D6E-409C-BE32-E72D297353CC}">
                    <c16:uniqueId val="{00000017-53FB-4009-BAEF-851601E2B566}"/>
                  </c:ext>
                </c:extLst>
              </c15:ser>
            </c15:filteredLineSeries>
            <c15:filteredLineSeries>
              <c15:ser>
                <c:idx val="3"/>
                <c:order val="4"/>
                <c:tx>
                  <c:strRef>
                    <c:extLst xmlns:c15="http://schemas.microsoft.com/office/drawing/2012/chart" xmlns:c16r2="http://schemas.microsoft.com/office/drawing/2015/06/chart">
                      <c:ext xmlns:c15="http://schemas.microsoft.com/office/drawing/2012/chart" uri="{02D57815-91ED-43cb-92C2-25804820EDAC}">
                        <c15:formulaRef>
                          <c15:sqref>'Llegadas '!$J$3</c15:sqref>
                        </c15:formulaRef>
                      </c:ext>
                    </c:extLst>
                    <c:strCache>
                      <c:ptCount val="1"/>
                      <c:pt idx="0">
                        <c:v>2015</c:v>
                      </c:pt>
                    </c:strCache>
                  </c:strRef>
                </c:tx>
                <c:spPr>
                  <a:ln w="22225" cap="rnd">
                    <a:solidFill>
                      <a:schemeClr val="accent1">
                        <a:shade val="92000"/>
                      </a:schemeClr>
                    </a:solidFill>
                    <a:round/>
                  </a:ln>
                  <a:effectLst/>
                </c:spPr>
                <c:marker>
                  <c:symbol val="none"/>
                </c:marker>
                <c:dLbls>
                  <c:dLbl>
                    <c:idx val="0"/>
                    <c:layout>
                      <c:manualLayout>
                        <c:x val="-1.0998560663787994E-2"/>
                        <c:y val="-5.1155469908871827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8-53FB-4009-BAEF-851601E2B566}"/>
                      </c:ext>
                      <c:ext xmlns:c15="http://schemas.microsoft.com/office/drawing/2012/chart" uri="{CE6537A1-D6FC-4f65-9D91-7224C49458BB}"/>
                    </c:extLst>
                  </c:dLbl>
                  <c:dLbl>
                    <c:idx val="1"/>
                    <c:layout>
                      <c:manualLayout>
                        <c:x val="1.1982324655897334E-2"/>
                        <c:y val="-6.3557837632245401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9-53FB-4009-BAEF-851601E2B566}"/>
                      </c:ext>
                      <c:ext xmlns:c15="http://schemas.microsoft.com/office/drawing/2012/chart" uri="{CE6537A1-D6FC-4f65-9D91-7224C49458BB}"/>
                    </c:extLst>
                  </c:dLbl>
                  <c:dLbl>
                    <c:idx val="2"/>
                    <c:layout>
                      <c:manualLayout>
                        <c:x val="-5.7138825388762414E-3"/>
                        <c:y val="-4.5157262601078489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A-53FB-4009-BAEF-851601E2B566}"/>
                      </c:ext>
                      <c:ext xmlns:c15="http://schemas.microsoft.com/office/drawing/2012/chart" uri="{CE6537A1-D6FC-4f65-9D91-7224C49458BB}"/>
                    </c:extLst>
                  </c:dLbl>
                  <c:dLbl>
                    <c:idx val="3"/>
                    <c:layout>
                      <c:manualLayout>
                        <c:x val="-1.4336917562724014E-2"/>
                        <c:y val="-5.1155469908871924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B-53FB-4009-BAEF-851601E2B566}"/>
                      </c:ext>
                      <c:ext xmlns:c15="http://schemas.microsoft.com/office/drawing/2012/chart" uri="{CE6537A1-D6FC-4f65-9D91-7224C49458BB}"/>
                    </c:extLst>
                  </c:dLbl>
                  <c:dLbl>
                    <c:idx val="4"/>
                    <c:layout>
                      <c:manualLayout>
                        <c:x val="-1.7225185561482288E-2"/>
                        <c:y val="-6.3793679166421036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C-53FB-4009-BAEF-851601E2B566}"/>
                      </c:ext>
                      <c:ext xmlns:c15="http://schemas.microsoft.com/office/drawing/2012/chart" uri="{CE6537A1-D6FC-4f65-9D91-7224C49458BB}"/>
                    </c:extLst>
                  </c:dLbl>
                  <c:dLbl>
                    <c:idx val="5"/>
                    <c:layout>
                      <c:manualLayout>
                        <c:x val="-2.5377360088053511E-2"/>
                        <c:y val="-5.4508383429491429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D-53FB-4009-BAEF-851601E2B566}"/>
                      </c:ext>
                      <c:ext xmlns:c15="http://schemas.microsoft.com/office/drawing/2012/chart" uri="{CE6537A1-D6FC-4f65-9D91-7224C49458BB}"/>
                    </c:extLst>
                  </c:dLbl>
                  <c:dLbl>
                    <c:idx val="6"/>
                    <c:layout>
                      <c:manualLayout>
                        <c:x val="-2.9443061552789772E-2"/>
                        <c:y val="-4.75669608867723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E-53FB-4009-BAEF-851601E2B566}"/>
                      </c:ext>
                      <c:ext xmlns:c15="http://schemas.microsoft.com/office/drawing/2012/chart" uri="{CE6537A1-D6FC-4f65-9D91-7224C49458BB}"/>
                    </c:extLst>
                  </c:dLbl>
                  <c:dLbl>
                    <c:idx val="7"/>
                    <c:layout>
                      <c:manualLayout>
                        <c:x val="-2.807213614427229E-2"/>
                        <c:y val="-5.9915623064695445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F-53FB-4009-BAEF-851601E2B566}"/>
                      </c:ext>
                      <c:ext xmlns:c15="http://schemas.microsoft.com/office/drawing/2012/chart" uri="{CE6537A1-D6FC-4f65-9D91-7224C49458BB}"/>
                    </c:extLst>
                  </c:dLbl>
                  <c:dLbl>
                    <c:idx val="8"/>
                    <c:layout>
                      <c:manualLayout>
                        <c:x val="-1.213399937910987E-2"/>
                        <c:y val="-5.3710358348881833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20-53FB-4009-BAEF-851601E2B566}"/>
                      </c:ext>
                      <c:ext xmlns:c15="http://schemas.microsoft.com/office/drawing/2012/chart" uri="{CE6537A1-D6FC-4f65-9D91-7224C49458BB}"/>
                    </c:extLst>
                  </c:dLbl>
                  <c:dLbl>
                    <c:idx val="9"/>
                    <c:layout>
                      <c:manualLayout>
                        <c:x val="-7.3201817514747195E-3"/>
                        <c:y val="-4.225825058154177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21-53FB-4009-BAEF-851601E2B566}"/>
                      </c:ext>
                      <c:ext xmlns:c15="http://schemas.microsoft.com/office/drawing/2012/chart" uri="{CE6537A1-D6FC-4f65-9D91-7224C49458BB}"/>
                    </c:extLst>
                  </c:dLbl>
                  <c:dLbl>
                    <c:idx val="10"/>
                    <c:layout>
                      <c:manualLayout>
                        <c:x val="-1.1982324655897356E-2"/>
                        <c:y val="-6.632122187712558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22-53FB-4009-BAEF-851601E2B566}"/>
                      </c:ext>
                      <c:ext xmlns:c15="http://schemas.microsoft.com/office/drawing/2012/chart" uri="{CE6537A1-D6FC-4f65-9D91-7224C49458BB}"/>
                    </c:extLst>
                  </c:dLbl>
                  <c:dLbl>
                    <c:idx val="11"/>
                    <c:layout>
                      <c:manualLayout>
                        <c:x val="-2.5612846781249119E-2"/>
                        <c:y val="-5.803106736010772E-2"/>
                      </c:manualLayout>
                    </c:layout>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23-53FB-4009-BAEF-851601E2B566}"/>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5="http://schemas.microsoft.com/office/drawing/2012/chart" xmlns:c16r2="http://schemas.microsoft.com/office/drawing/2015/06/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'Llegadas '!$J$4:$J$15</c15:sqref>
                        </c15:formulaRef>
                      </c:ext>
                    </c:extLst>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numRef>
                </c:val>
                <c:smooth val="0"/>
                <c:extLst xmlns:c15="http://schemas.microsoft.com/office/drawing/2012/chart" xmlns:c16r2="http://schemas.microsoft.com/office/drawing/2015/06/chart">
                  <c:ext xmlns:c16="http://schemas.microsoft.com/office/drawing/2014/chart" uri="{C3380CC4-5D6E-409C-BE32-E72D297353CC}">
                    <c16:uniqueId val="{00000024-53FB-4009-BAEF-851601E2B566}"/>
                  </c:ext>
                </c:extLst>
              </c15:ser>
            </c15:filteredLineSeries>
            <c15:filteredLineSeries>
              <c15:ser>
                <c:idx val="0"/>
                <c:order val="5"/>
                <c:tx>
                  <c:strRef>
                    <c:extLst xmlns:c15="http://schemas.microsoft.com/office/drawing/2012/chart" xmlns:c16r2="http://schemas.microsoft.com/office/drawing/2015/06/chart">
                      <c:ext xmlns:c15="http://schemas.microsoft.com/office/drawing/2012/chart" uri="{02D57815-91ED-43cb-92C2-25804820EDAC}">
                        <c15:formulaRef>
                          <c15:sqref>'Llegadas '!$I$3</c15:sqref>
                        </c15:formulaRef>
                      </c:ext>
                    </c:extLst>
                    <c:strCache>
                      <c:ptCount val="1"/>
                      <c:pt idx="0">
                        <c:v>2014</c:v>
                      </c:pt>
                    </c:strCache>
                  </c:strRef>
                </c:tx>
                <c:spPr>
                  <a:ln w="22225" cap="rnd">
                    <a:solidFill>
                      <a:schemeClr val="accent1">
                        <a:shade val="45000"/>
                      </a:schemeClr>
                    </a:solidFill>
                    <a:round/>
                  </a:ln>
                  <a:effectLst/>
                </c:spPr>
                <c:marker>
                  <c:symbol val="none"/>
                </c:marker>
                <c:cat>
                  <c:strRef>
                    <c:extLst xmlns:c15="http://schemas.microsoft.com/office/drawing/2012/chart" xmlns:c16r2="http://schemas.microsoft.com/office/drawing/2015/06/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'Llegadas '!$I$4:$I$15</c15:sqref>
                        </c15:formulaRef>
                      </c:ext>
                    </c:extLst>
                    <c:numCache>
                      <c:formatCode>#,##0</c:formatCode>
                      <c:ptCount val="12"/>
                      <c:pt idx="0">
                        <c:v>51688</c:v>
                      </c:pt>
                      <c:pt idx="1">
                        <c:v>53622</c:v>
                      </c:pt>
                      <c:pt idx="2">
                        <c:v>51748</c:v>
                      </c:pt>
                      <c:pt idx="3">
                        <c:v>49570</c:v>
                      </c:pt>
                      <c:pt idx="4">
                        <c:v>52174</c:v>
                      </c:pt>
                      <c:pt idx="5">
                        <c:v>58795</c:v>
                      </c:pt>
                      <c:pt idx="6">
                        <c:v>71099</c:v>
                      </c:pt>
                      <c:pt idx="7">
                        <c:v>57790</c:v>
                      </c:pt>
                      <c:pt idx="8">
                        <c:v>55854</c:v>
                      </c:pt>
                      <c:pt idx="9">
                        <c:v>59469</c:v>
                      </c:pt>
                      <c:pt idx="10">
                        <c:v>63281</c:v>
                      </c:pt>
                      <c:pt idx="11">
                        <c:v>77956</c:v>
                      </c:pt>
                    </c:numCache>
                  </c:numRef>
                </c:val>
                <c:smooth val="0"/>
                <c:extLst xmlns:c15="http://schemas.microsoft.com/office/drawing/2012/chart" xmlns:c16r2="http://schemas.microsoft.com/office/drawing/2015/06/chart">
                  <c:ext xmlns:c16="http://schemas.microsoft.com/office/drawing/2014/chart" uri="{C3380CC4-5D6E-409C-BE32-E72D297353CC}">
                    <c16:uniqueId val="{00000025-53FB-4009-BAEF-851601E2B566}"/>
                  </c:ext>
                </c:extLst>
              </c15:ser>
            </c15:filteredLineSeries>
            <c15:filteredLineSeries>
              <c15:ser>
                <c:idx val="4"/>
                <c:order val="6"/>
                <c:tx>
                  <c:strRef>
                    <c:extLst xmlns:c15="http://schemas.microsoft.com/office/drawing/2012/chart" xmlns:c16r2="http://schemas.microsoft.com/office/drawing/2015/06/chart">
                      <c:ext xmlns:c15="http://schemas.microsoft.com/office/drawing/2012/chart" uri="{02D57815-91ED-43cb-92C2-25804820EDAC}">
                        <c15:formulaRef>
                          <c15:sqref>'Llegadas '!$H$3</c15:sqref>
                        </c15:formulaRef>
                      </c:ext>
                    </c:extLst>
                    <c:strCache>
                      <c:ptCount val="1"/>
                      <c:pt idx="0">
                        <c:v>2013</c:v>
                      </c:pt>
                    </c:strCache>
                  </c:strRef>
                </c:tx>
                <c:spPr>
                  <a:ln w="22225" cap="rnd">
                    <a:solidFill>
                      <a:schemeClr val="accent1">
                        <a:tint val="93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5="http://schemas.microsoft.com/office/drawing/2012/chart" xmlns:c16r2="http://schemas.microsoft.com/office/drawing/2015/06/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'Llegadas '!$H$4:$H$15</c15:sqref>
                        </c15:formulaRef>
                      </c:ext>
                    </c:extLst>
                    <c:numCache>
                      <c:formatCode>#,##0</c:formatCode>
                      <c:ptCount val="12"/>
                      <c:pt idx="0">
                        <c:v>46137</c:v>
                      </c:pt>
                      <c:pt idx="1">
                        <c:v>43174</c:v>
                      </c:pt>
                      <c:pt idx="2">
                        <c:v>49027</c:v>
                      </c:pt>
                      <c:pt idx="3">
                        <c:v>41634</c:v>
                      </c:pt>
                      <c:pt idx="4">
                        <c:v>48103</c:v>
                      </c:pt>
                      <c:pt idx="5">
                        <c:v>61054</c:v>
                      </c:pt>
                      <c:pt idx="6">
                        <c:v>64119</c:v>
                      </c:pt>
                      <c:pt idx="7">
                        <c:v>52709</c:v>
                      </c:pt>
                      <c:pt idx="8">
                        <c:v>49386</c:v>
                      </c:pt>
                      <c:pt idx="9">
                        <c:v>52967</c:v>
                      </c:pt>
                      <c:pt idx="10">
                        <c:v>56278</c:v>
                      </c:pt>
                      <c:pt idx="11">
                        <c:v>64370</c:v>
                      </c:pt>
                    </c:numCache>
                  </c:numRef>
                </c:val>
                <c:smooth val="0"/>
                <c:extLst xmlns:c15="http://schemas.microsoft.com/office/drawing/2012/chart" xmlns:c16r2="http://schemas.microsoft.com/office/drawing/2015/06/chart">
                  <c:ext xmlns:c16="http://schemas.microsoft.com/office/drawing/2014/chart" uri="{C3380CC4-5D6E-409C-BE32-E72D297353CC}">
                    <c16:uniqueId val="{00000026-53FB-4009-BAEF-851601E2B566}"/>
                  </c:ext>
                </c:extLst>
              </c15:ser>
            </c15:filteredLineSeries>
          </c:ext>
        </c:extLst>
      </c:lineChart>
      <c:catAx>
        <c:axId val="604899792"/>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EC"/>
          </a:p>
        </c:txPr>
        <c:crossAx val="604900336"/>
        <c:crosses val="autoZero"/>
        <c:auto val="1"/>
        <c:lblAlgn val="ctr"/>
        <c:lblOffset val="100"/>
        <c:noMultiLvlLbl val="0"/>
      </c:catAx>
      <c:valAx>
        <c:axId val="604900336"/>
        <c:scaling>
          <c:orientation val="minMax"/>
          <c:min val="35000"/>
        </c:scaling>
        <c:delete val="0"/>
        <c:axPos val="l"/>
        <c:majorGridlines>
          <c:spPr>
            <a:ln w="9525" cap="flat" cmpd="sng" algn="ctr">
              <a:solidFill>
                <a:schemeClr val="dk1">
                  <a:lumMod val="15000"/>
                  <a:lumOff val="85000"/>
                  <a:alpha val="54000"/>
                </a:schemeClr>
              </a:solidFill>
              <a:round/>
            </a:ln>
            <a:effectLst/>
          </c:spPr>
        </c:majorGridlines>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crossAx val="604899792"/>
        <c:crosses val="autoZero"/>
        <c:crossBetween val="between"/>
        <c:majorUnit val="10000"/>
      </c:valAx>
      <c:spPr>
        <a:pattFill prst="ltDnDiag">
          <a:fgClr>
            <a:schemeClr val="dk1">
              <a:lumMod val="15000"/>
              <a:lumOff val="85000"/>
            </a:schemeClr>
          </a:fgClr>
          <a:bgClr>
            <a:schemeClr val="lt1"/>
          </a:bgClr>
        </a:pattFill>
        <a:ln>
          <a:solidFill>
            <a:schemeClr val="accent1">
              <a:alpha val="99000"/>
            </a:schemeClr>
          </a:solidFill>
        </a:ln>
        <a:effectLst/>
      </c:spPr>
    </c:plotArea>
    <c:legend>
      <c:legendPos val="b"/>
      <c:layout>
        <c:manualLayout>
          <c:xMode val="edge"/>
          <c:yMode val="edge"/>
          <c:x val="0.34805400439846507"/>
          <c:y val="0.91483904915825831"/>
          <c:w val="0.22873316826374254"/>
          <c:h val="2.572496325159579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'Aloj-Hab-Plazas'!$E$25</c:f>
          <c:strCache>
            <c:ptCount val="1"/>
            <c:pt idx="0">
              <c:v># de HABITACIONES</c:v>
            </c:pt>
          </c:strCache>
        </c:strRef>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C"/>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
        <c:idx val="6"/>
        <c:spPr>
          <a:solidFill>
            <a:schemeClr val="accent1"/>
          </a:solidFill>
          <a:ln w="25400">
            <a:solidFill>
              <a:schemeClr val="lt1"/>
            </a:solidFill>
          </a:ln>
          <a:effectLst/>
          <a:sp3d contourW="25400">
            <a:contourClr>
              <a:schemeClr val="lt1"/>
            </a:contourClr>
          </a:sp3d>
        </c:spPr>
      </c:pivotFmt>
      <c:pivotFmt>
        <c:idx val="7"/>
        <c:spPr>
          <a:solidFill>
            <a:schemeClr val="accent1"/>
          </a:solidFill>
          <a:ln w="25400">
            <a:solidFill>
              <a:schemeClr val="lt1"/>
            </a:solidFill>
          </a:ln>
          <a:effectLst/>
          <a:sp3d contourW="25400">
            <a:contourClr>
              <a:schemeClr val="lt1"/>
            </a:contourClr>
          </a:sp3d>
        </c:spPr>
      </c:pivotFmt>
      <c:pivotFmt>
        <c:idx val="8"/>
        <c:spPr>
          <a:solidFill>
            <a:schemeClr val="accent1"/>
          </a:solidFill>
          <a:ln w="25400">
            <a:solidFill>
              <a:schemeClr val="lt1"/>
            </a:solidFill>
          </a:ln>
          <a:effectLst/>
          <a:sp3d contourW="25400">
            <a:contourClr>
              <a:schemeClr val="lt1"/>
            </a:contourClr>
          </a:sp3d>
        </c:spPr>
      </c:pivotFmt>
      <c:pivotFmt>
        <c:idx val="9"/>
        <c:spPr>
          <a:solidFill>
            <a:schemeClr val="accent1"/>
          </a:solidFill>
          <a:ln w="25400">
            <a:solidFill>
              <a:schemeClr val="lt1"/>
            </a:solidFill>
          </a:ln>
          <a:effectLst/>
          <a:sp3d contourW="25400">
            <a:contourClr>
              <a:schemeClr val="lt1"/>
            </a:contourClr>
          </a:sp3d>
        </c:spPr>
      </c:pivotFmt>
      <c:pivotFmt>
        <c:idx val="10"/>
        <c:spPr>
          <a:solidFill>
            <a:schemeClr val="accent1"/>
          </a:solidFill>
          <a:ln w="25400">
            <a:solidFill>
              <a:schemeClr val="lt1"/>
            </a:solidFill>
          </a:ln>
          <a:effectLst/>
          <a:sp3d contourW="25400">
            <a:contourClr>
              <a:schemeClr val="lt1"/>
            </a:contourClr>
          </a:sp3d>
        </c:spPr>
      </c:pivotFmt>
      <c:pivotFmt>
        <c:idx val="11"/>
        <c:spPr>
          <a:solidFill>
            <a:schemeClr val="accent1"/>
          </a:solidFill>
          <a:ln w="25400">
            <a:solidFill>
              <a:schemeClr val="lt1"/>
            </a:solidFill>
          </a:ln>
          <a:effectLst/>
          <a:sp3d contourW="25400">
            <a:contourClr>
              <a:schemeClr val="lt1"/>
            </a:contourClr>
          </a:sp3d>
        </c:spPr>
      </c:pivotFmt>
      <c:pivotFmt>
        <c:idx val="12"/>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0665242866302451E-2"/>
          <c:y val="0.29368892161636989"/>
          <c:w val="0.91062187242639925"/>
          <c:h val="0.6494153968351529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E05E-4432-9FA0-DA42BEC8E56D}"/>
              </c:ext>
            </c:extLst>
          </c:dPt>
          <c:dPt>
            <c:idx val="1"/>
            <c:bubble3D val="0"/>
            <c:spPr>
              <a:solidFill>
                <a:schemeClr val="accent2"/>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E05E-4432-9FA0-DA42BEC8E56D}"/>
              </c:ext>
            </c:extLst>
          </c:dPt>
          <c:dPt>
            <c:idx val="2"/>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E05E-4432-9FA0-DA42BEC8E56D}"/>
              </c:ext>
            </c:extLst>
          </c:dPt>
          <c:dPt>
            <c:idx val="3"/>
            <c:bubble3D val="0"/>
            <c:spPr>
              <a:solidFill>
                <a:schemeClr val="accent4"/>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7-E05E-4432-9FA0-DA42BEC8E56D}"/>
              </c:ext>
            </c:extLst>
          </c:dPt>
          <c:dPt>
            <c:idx val="4"/>
            <c:bubble3D val="0"/>
            <c:spPr>
              <a:solidFill>
                <a:schemeClr val="accent5"/>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9-E05E-4432-9FA0-DA42BEC8E56D}"/>
              </c:ext>
            </c:extLst>
          </c:dPt>
          <c:dPt>
            <c:idx val="5"/>
            <c:bubble3D val="0"/>
            <c:spPr>
              <a:solidFill>
                <a:schemeClr val="accent6"/>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B-E05E-4432-9FA0-DA42BEC8E56D}"/>
              </c:ext>
            </c:extLst>
          </c:dPt>
          <c:dLbls>
            <c:dLbl>
              <c:idx val="0"/>
              <c:layout>
                <c:manualLayout>
                  <c:x val="4.2501266645265844E-2"/>
                  <c:y val="-6.5501544551052476E-2"/>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1-E05E-4432-9FA0-DA42BEC8E56D}"/>
                </c:ext>
                <c:ext xmlns:c15="http://schemas.microsoft.com/office/drawing/2012/chart" uri="{CE6537A1-D6FC-4f65-9D91-7224C49458BB}">
                  <c15:layout/>
                </c:ext>
              </c:extLst>
            </c:dLbl>
            <c:dLbl>
              <c:idx val="1"/>
              <c:layout>
                <c:manualLayout>
                  <c:x val="5.5293094623880483E-2"/>
                  <c:y val="-7.9572248793885483E-2"/>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3-E05E-4432-9FA0-DA42BEC8E56D}"/>
                </c:ext>
                <c:ext xmlns:c15="http://schemas.microsoft.com/office/drawing/2012/chart" uri="{CE6537A1-D6FC-4f65-9D91-7224C49458BB}">
                  <c15:layout/>
                </c:ext>
              </c:extLst>
            </c:dLbl>
            <c:dLbl>
              <c:idx val="2"/>
              <c:layout>
                <c:manualLayout>
                  <c:x val="0.10689216175414576"/>
                  <c:y val="-8.7205849441302427E-3"/>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5-E05E-4432-9FA0-DA42BEC8E56D}"/>
                </c:ext>
                <c:ext xmlns:c15="http://schemas.microsoft.com/office/drawing/2012/chart" uri="{CE6537A1-D6FC-4f65-9D91-7224C49458BB}">
                  <c15:layout/>
                </c:ext>
              </c:extLst>
            </c:dLbl>
            <c:dLbl>
              <c:idx val="3"/>
              <c:layout>
                <c:manualLayout>
                  <c:x val="-0.13480837881008831"/>
                  <c:y val="-0.1592304229803812"/>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7-E05E-4432-9FA0-DA42BEC8E56D}"/>
                </c:ext>
                <c:ext xmlns:c15="http://schemas.microsoft.com/office/drawing/2012/chart" uri="{CE6537A1-D6FC-4f65-9D91-7224C49458BB}">
                  <c15:layout/>
                </c:ext>
              </c:extLst>
            </c:dLbl>
            <c:dLbl>
              <c:idx val="4"/>
              <c:layout>
                <c:manualLayout>
                  <c:x val="-8.9256592034509474E-2"/>
                  <c:y val="2.1691949605038036E-2"/>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9-E05E-4432-9FA0-DA42BEC8E56D}"/>
                </c:ex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15:layout/>
              </c:ext>
            </c:extLst>
          </c:dLbls>
          <c:cat>
            <c:strRef>
              <c:f>'Aloj-Hab-Plazas'!$C$26:$C$31</c:f>
              <c:strCache>
                <c:ptCount val="6"/>
                <c:pt idx="0">
                  <c:v>5 ESTRELLAS</c:v>
                </c:pt>
                <c:pt idx="1">
                  <c:v>4 ESTRELLAS</c:v>
                </c:pt>
                <c:pt idx="2">
                  <c:v>3 ESTRELLAS</c:v>
                </c:pt>
                <c:pt idx="3">
                  <c:v>2 ESTRELLAS</c:v>
                </c:pt>
                <c:pt idx="4">
                  <c:v>1 ESTRELLA</c:v>
                </c:pt>
                <c:pt idx="5">
                  <c:v>CATEGORIA ÚNICA</c:v>
                </c:pt>
              </c:strCache>
            </c:strRef>
          </c:cat>
          <c:val>
            <c:numRef>
              <c:f>'Aloj-Hab-Plazas'!$E$26:$E$31</c:f>
              <c:numCache>
                <c:formatCode>#,##0</c:formatCode>
                <c:ptCount val="6"/>
                <c:pt idx="0">
                  <c:v>1941</c:v>
                </c:pt>
                <c:pt idx="1">
                  <c:v>1791</c:v>
                </c:pt>
                <c:pt idx="2">
                  <c:v>2042</c:v>
                </c:pt>
                <c:pt idx="3">
                  <c:v>5172</c:v>
                </c:pt>
                <c:pt idx="4">
                  <c:v>2762</c:v>
                </c:pt>
                <c:pt idx="5">
                  <c:v>52</c:v>
                </c:pt>
              </c:numCache>
            </c:numRef>
          </c:val>
          <c:extLst xmlns:c16r2="http://schemas.microsoft.com/office/drawing/2015/06/chart">
            <c:ext xmlns:c16="http://schemas.microsoft.com/office/drawing/2014/chart" uri="{C3380CC4-5D6E-409C-BE32-E72D297353CC}">
              <c16:uniqueId val="{0000000C-E05E-4432-9FA0-DA42BEC8E56D}"/>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orientation="portrait"/>
  </c:printSettings>
  <c:extLst xmlns:c16r2="http://schemas.microsoft.com/office/drawing/2015/06/chart"/>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a:sp3d/>
        </c:spPr>
        <c:marker>
          <c:symbol val="none"/>
        </c:marker>
      </c:pivotFmt>
      <c:pivotFmt>
        <c:idx val="1"/>
        <c:spPr>
          <a:solidFill>
            <a:schemeClr val="accent1"/>
          </a:solidFill>
          <a:ln>
            <a:noFill/>
          </a:ln>
          <a:effectLst/>
          <a:sp3d/>
        </c:spPr>
        <c:marker>
          <c:symbol val="none"/>
        </c:marker>
      </c:pivotFmt>
      <c:pivotFmt>
        <c:idx val="2"/>
        <c:spPr>
          <a:solidFill>
            <a:schemeClr val="accent1"/>
          </a:solidFill>
          <a:ln>
            <a:noFill/>
          </a:ln>
          <a:effectLst/>
          <a:sp3d/>
        </c:spPr>
        <c:marker>
          <c:symbol val="none"/>
        </c:marker>
      </c:pivotFmt>
      <c:pivotFmt>
        <c:idx val="3"/>
        <c:spPr>
          <a:solidFill>
            <a:schemeClr val="accent1"/>
          </a:solidFill>
          <a:ln>
            <a:noFill/>
          </a:ln>
          <a:effectLst/>
          <a:sp3d/>
        </c:spPr>
        <c:marker>
          <c:symbol val="none"/>
        </c:marker>
      </c:pivotFmt>
      <c:pivotFmt>
        <c:idx val="4"/>
        <c:spPr>
          <a:solidFill>
            <a:schemeClr val="accent1"/>
          </a:solidFill>
          <a:ln>
            <a:noFill/>
          </a:ln>
          <a:effectLst/>
          <a:sp3d/>
        </c:spPr>
        <c:marker>
          <c:symbol val="none"/>
        </c:marker>
      </c:pivotFmt>
      <c:pivotFmt>
        <c:idx val="5"/>
        <c:spPr>
          <a:solidFill>
            <a:schemeClr val="accent1"/>
          </a:solidFill>
          <a:ln>
            <a:noFill/>
          </a:ln>
          <a:effectLst/>
          <a:sp3d/>
        </c:spPr>
        <c:marker>
          <c:symbol val="none"/>
        </c:marker>
      </c:pivotFmt>
      <c:pivotFmt>
        <c:idx val="6"/>
        <c:spPr>
          <a:solidFill>
            <a:schemeClr val="accent1"/>
          </a:solidFill>
          <a:ln>
            <a:noFill/>
          </a:ln>
          <a:effectLst/>
          <a:sp3d/>
        </c:spPr>
        <c:marker>
          <c:symbol val="none"/>
        </c:marker>
      </c:pivotFmt>
      <c:pivotFmt>
        <c:idx val="7"/>
        <c:spPr>
          <a:solidFill>
            <a:schemeClr val="accent1"/>
          </a:solidFill>
          <a:ln>
            <a:noFill/>
          </a:ln>
          <a:effectLst/>
          <a:sp3d/>
        </c:spPr>
        <c:marker>
          <c:symbol val="none"/>
        </c:marker>
      </c:pivotFmt>
      <c:pivotFmt>
        <c:idx val="8"/>
        <c:spPr>
          <a:solidFill>
            <a:schemeClr val="accent1"/>
          </a:solidFill>
          <a:ln>
            <a:noFill/>
          </a:ln>
          <a:effectLst/>
          <a:sp3d/>
        </c:spPr>
        <c:marker>
          <c:symbol val="none"/>
        </c:marker>
      </c:pivotFmt>
      <c:pivotFmt>
        <c:idx val="9"/>
        <c:spPr>
          <a:solidFill>
            <a:schemeClr val="accent1"/>
          </a:solidFill>
          <a:ln>
            <a:noFill/>
          </a:ln>
          <a:effectLst/>
          <a:sp3d/>
        </c:spPr>
        <c:marker>
          <c:symbol val="none"/>
        </c:marker>
      </c:pivotFmt>
      <c:pivotFmt>
        <c:idx val="10"/>
        <c:spPr>
          <a:solidFill>
            <a:schemeClr val="accent1"/>
          </a:solidFill>
          <a:ln>
            <a:noFill/>
          </a:ln>
          <a:effectLst/>
          <a:sp3d/>
        </c:spPr>
        <c:marker>
          <c:symbol val="none"/>
        </c:marker>
      </c:pivotFmt>
      <c:pivotFmt>
        <c:idx val="11"/>
        <c:spPr>
          <a:solidFill>
            <a:schemeClr val="accent1"/>
          </a:solidFill>
          <a:ln>
            <a:noFill/>
          </a:ln>
          <a:effectLst/>
          <a:sp3d/>
        </c:spPr>
        <c:marker>
          <c:symbol val="none"/>
        </c:marker>
      </c:pivotFmt>
      <c:pivotFmt>
        <c:idx val="12"/>
        <c:spPr>
          <a:solidFill>
            <a:schemeClr val="accent1"/>
          </a:solidFill>
          <a:ln>
            <a:noFill/>
          </a:ln>
          <a:effectLst/>
          <a:sp3d/>
        </c:spPr>
        <c:marker>
          <c:symbol val="none"/>
        </c:marker>
      </c:pivotFmt>
      <c:pivotFmt>
        <c:idx val="13"/>
        <c:spPr>
          <a:solidFill>
            <a:schemeClr val="accent1"/>
          </a:solidFill>
          <a:ln>
            <a:noFill/>
          </a:ln>
          <a:effectLst/>
          <a:sp3d/>
        </c:spPr>
        <c:marker>
          <c:symbol val="none"/>
        </c:marker>
      </c:pivotFmt>
      <c:pivotFmt>
        <c:idx val="14"/>
        <c:spPr>
          <a:solidFill>
            <a:schemeClr val="accent1"/>
          </a:solidFill>
          <a:ln>
            <a:noFill/>
          </a:ln>
          <a:effectLst/>
          <a:sp3d/>
        </c:spPr>
        <c:marker>
          <c:symbol val="none"/>
        </c:marker>
      </c:pivotFmt>
      <c:pivotFmt>
        <c:idx val="15"/>
        <c:spPr>
          <a:solidFill>
            <a:schemeClr val="accent1"/>
          </a:solidFill>
          <a:ln>
            <a:noFill/>
          </a:ln>
          <a:effectLst/>
          <a:sp3d/>
        </c:spPr>
        <c:marker>
          <c:symbol val="none"/>
        </c:marker>
      </c:pivotFmt>
      <c:pivotFmt>
        <c:idx val="16"/>
        <c:spPr>
          <a:solidFill>
            <a:schemeClr val="accent1"/>
          </a:solidFill>
          <a:ln>
            <a:noFill/>
          </a:ln>
          <a:effectLst/>
          <a:sp3d/>
        </c:spPr>
        <c:marker>
          <c:symbol val="none"/>
        </c:marker>
      </c:pivotFmt>
      <c:pivotFmt>
        <c:idx val="17"/>
        <c:spPr>
          <a:solidFill>
            <a:schemeClr val="accent1"/>
          </a:solidFill>
          <a:ln>
            <a:noFill/>
          </a:ln>
          <a:effectLst/>
          <a:sp3d/>
        </c:spPr>
        <c:marker>
          <c:symbol val="none"/>
        </c:marker>
      </c:pivotFmt>
      <c:pivotFmt>
        <c:idx val="18"/>
        <c:spPr>
          <a:solidFill>
            <a:schemeClr val="accent1"/>
          </a:solidFill>
          <a:ln>
            <a:noFill/>
          </a:ln>
          <a:effectLst/>
          <a:sp3d/>
        </c:spPr>
        <c:marker>
          <c:symbol val="none"/>
        </c:marker>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5 ESTRELLAS</c:v>
          </c:tx>
          <c:spPr>
            <a:solidFill>
              <a:schemeClr val="accent1"/>
            </a:solidFill>
            <a:ln>
              <a:noFill/>
            </a:ln>
            <a:effectLst/>
            <a:sp3d/>
          </c:spPr>
          <c:invertIfNegative val="0"/>
          <c:cat>
            <c:strLit>
              <c:ptCount val="8"/>
              <c:pt idx="0">
                <c:v>CAMPAMENTO TURÍSTICO</c:v>
              </c:pt>
              <c:pt idx="1">
                <c:v>CASA DE HUÉSPEDES</c:v>
              </c:pt>
              <c:pt idx="2">
                <c:v>HACIENDA TURÍSTICA</c:v>
              </c:pt>
              <c:pt idx="3">
                <c:v>HOSTAL</c:v>
              </c:pt>
              <c:pt idx="4">
                <c:v>HOSTERÍA</c:v>
              </c:pt>
              <c:pt idx="5">
                <c:v>HOTEL</c:v>
              </c:pt>
              <c:pt idx="6">
                <c:v>LODGE</c:v>
              </c:pt>
              <c:pt idx="7">
                <c:v>PENSIÓN</c:v>
              </c:pt>
            </c:strLit>
          </c:cat>
          <c:val>
            <c:numLit>
              <c:formatCode>General</c:formatCode>
              <c:ptCount val="8"/>
              <c:pt idx="0">
                <c:v>0</c:v>
              </c:pt>
              <c:pt idx="1">
                <c:v>0</c:v>
              </c:pt>
              <c:pt idx="2">
                <c:v>3</c:v>
              </c:pt>
              <c:pt idx="3">
                <c:v>0</c:v>
              </c:pt>
              <c:pt idx="4">
                <c:v>3</c:v>
              </c:pt>
              <c:pt idx="5">
                <c:v>13</c:v>
              </c:pt>
              <c:pt idx="6">
                <c:v>2</c:v>
              </c:pt>
              <c:pt idx="7">
                <c:v>0</c:v>
              </c:pt>
            </c:numLit>
          </c:val>
          <c:extLst xmlns:c16r2="http://schemas.microsoft.com/office/drawing/2015/06/chart">
            <c:ext xmlns:c16="http://schemas.microsoft.com/office/drawing/2014/chart" uri="{C3380CC4-5D6E-409C-BE32-E72D297353CC}">
              <c16:uniqueId val="{00000000-4EEB-4634-A52B-74ACBEA8E87B}"/>
            </c:ext>
          </c:extLst>
        </c:ser>
        <c:ser>
          <c:idx val="1"/>
          <c:order val="1"/>
          <c:tx>
            <c:v>4 ESTRELLAS</c:v>
          </c:tx>
          <c:spPr>
            <a:solidFill>
              <a:schemeClr val="accent2"/>
            </a:solidFill>
            <a:ln>
              <a:noFill/>
            </a:ln>
            <a:effectLst/>
            <a:sp3d/>
          </c:spPr>
          <c:invertIfNegative val="0"/>
          <c:cat>
            <c:strLit>
              <c:ptCount val="8"/>
              <c:pt idx="0">
                <c:v>CAMPAMENTO TURÍSTICO</c:v>
              </c:pt>
              <c:pt idx="1">
                <c:v>CASA DE HUÉSPEDES</c:v>
              </c:pt>
              <c:pt idx="2">
                <c:v>HACIENDA TURÍSTICA</c:v>
              </c:pt>
              <c:pt idx="3">
                <c:v>HOSTAL</c:v>
              </c:pt>
              <c:pt idx="4">
                <c:v>HOSTERÍA</c:v>
              </c:pt>
              <c:pt idx="5">
                <c:v>HOTEL</c:v>
              </c:pt>
              <c:pt idx="6">
                <c:v>LODGE</c:v>
              </c:pt>
              <c:pt idx="7">
                <c:v>PENSIÓN</c:v>
              </c:pt>
            </c:strLit>
          </c:cat>
          <c:val>
            <c:numLit>
              <c:formatCode>General</c:formatCode>
              <c:ptCount val="8"/>
              <c:pt idx="0">
                <c:v>0</c:v>
              </c:pt>
              <c:pt idx="1">
                <c:v>0</c:v>
              </c:pt>
              <c:pt idx="2">
                <c:v>1</c:v>
              </c:pt>
              <c:pt idx="3">
                <c:v>0</c:v>
              </c:pt>
              <c:pt idx="4">
                <c:v>8</c:v>
              </c:pt>
              <c:pt idx="5">
                <c:v>32</c:v>
              </c:pt>
              <c:pt idx="6">
                <c:v>3</c:v>
              </c:pt>
              <c:pt idx="7">
                <c:v>0</c:v>
              </c:pt>
            </c:numLit>
          </c:val>
        </c:ser>
        <c:ser>
          <c:idx val="2"/>
          <c:order val="2"/>
          <c:tx>
            <c:v>3 ESTRELLAS</c:v>
          </c:tx>
          <c:spPr>
            <a:solidFill>
              <a:schemeClr val="accent3"/>
            </a:solidFill>
            <a:ln>
              <a:noFill/>
            </a:ln>
            <a:effectLst/>
            <a:sp3d/>
          </c:spPr>
          <c:invertIfNegative val="0"/>
          <c:cat>
            <c:strLit>
              <c:ptCount val="8"/>
              <c:pt idx="0">
                <c:v>CAMPAMENTO TURÍSTICO</c:v>
              </c:pt>
              <c:pt idx="1">
                <c:v>CASA DE HUÉSPEDES</c:v>
              </c:pt>
              <c:pt idx="2">
                <c:v>HACIENDA TURÍSTICA</c:v>
              </c:pt>
              <c:pt idx="3">
                <c:v>HOSTAL</c:v>
              </c:pt>
              <c:pt idx="4">
                <c:v>HOSTERÍA</c:v>
              </c:pt>
              <c:pt idx="5">
                <c:v>HOTEL</c:v>
              </c:pt>
              <c:pt idx="6">
                <c:v>LODGE</c:v>
              </c:pt>
              <c:pt idx="7">
                <c:v>PENSIÓN</c:v>
              </c:pt>
            </c:strLit>
          </c:cat>
          <c:val>
            <c:numLit>
              <c:formatCode>General</c:formatCode>
              <c:ptCount val="8"/>
              <c:pt idx="0">
                <c:v>0</c:v>
              </c:pt>
              <c:pt idx="1">
                <c:v>0</c:v>
              </c:pt>
              <c:pt idx="2">
                <c:v>2</c:v>
              </c:pt>
              <c:pt idx="3">
                <c:v>26</c:v>
              </c:pt>
              <c:pt idx="4">
                <c:v>16</c:v>
              </c:pt>
              <c:pt idx="5">
                <c:v>54</c:v>
              </c:pt>
              <c:pt idx="6">
                <c:v>1</c:v>
              </c:pt>
              <c:pt idx="7">
                <c:v>0</c:v>
              </c:pt>
            </c:numLit>
          </c:val>
        </c:ser>
        <c:ser>
          <c:idx val="3"/>
          <c:order val="3"/>
          <c:tx>
            <c:v>2 ESTRELLAS</c:v>
          </c:tx>
          <c:spPr>
            <a:solidFill>
              <a:schemeClr val="accent4"/>
            </a:solidFill>
            <a:ln>
              <a:noFill/>
            </a:ln>
            <a:effectLst/>
            <a:sp3d/>
          </c:spPr>
          <c:invertIfNegative val="0"/>
          <c:cat>
            <c:strLit>
              <c:ptCount val="8"/>
              <c:pt idx="0">
                <c:v>CAMPAMENTO TURÍSTICO</c:v>
              </c:pt>
              <c:pt idx="1">
                <c:v>CASA DE HUÉSPEDES</c:v>
              </c:pt>
              <c:pt idx="2">
                <c:v>HACIENDA TURÍSTICA</c:v>
              </c:pt>
              <c:pt idx="3">
                <c:v>HOSTAL</c:v>
              </c:pt>
              <c:pt idx="4">
                <c:v>HOSTERÍA</c:v>
              </c:pt>
              <c:pt idx="5">
                <c:v>HOTEL</c:v>
              </c:pt>
              <c:pt idx="6">
                <c:v>LODGE</c:v>
              </c:pt>
              <c:pt idx="7">
                <c:v>PENSIÓN</c:v>
              </c:pt>
            </c:strLit>
          </c:cat>
          <c:val>
            <c:numLit>
              <c:formatCode>General</c:formatCode>
              <c:ptCount val="8"/>
              <c:pt idx="0">
                <c:v>0</c:v>
              </c:pt>
              <c:pt idx="1">
                <c:v>0</c:v>
              </c:pt>
              <c:pt idx="2">
                <c:v>0</c:v>
              </c:pt>
              <c:pt idx="3">
                <c:v>279</c:v>
              </c:pt>
              <c:pt idx="4">
                <c:v>0</c:v>
              </c:pt>
              <c:pt idx="5">
                <c:v>33</c:v>
              </c:pt>
              <c:pt idx="6">
                <c:v>0</c:v>
              </c:pt>
              <c:pt idx="7">
                <c:v>0</c:v>
              </c:pt>
            </c:numLit>
          </c:val>
        </c:ser>
        <c:ser>
          <c:idx val="4"/>
          <c:order val="4"/>
          <c:tx>
            <c:v>1 ESTRELLAS</c:v>
          </c:tx>
          <c:spPr>
            <a:solidFill>
              <a:schemeClr val="accent5"/>
            </a:solidFill>
            <a:ln>
              <a:noFill/>
            </a:ln>
            <a:effectLst/>
            <a:sp3d/>
          </c:spPr>
          <c:invertIfNegative val="0"/>
          <c:cat>
            <c:strLit>
              <c:ptCount val="8"/>
              <c:pt idx="0">
                <c:v>CAMPAMENTO TURÍSTICO</c:v>
              </c:pt>
              <c:pt idx="1">
                <c:v>CASA DE HUÉSPEDES</c:v>
              </c:pt>
              <c:pt idx="2">
                <c:v>HACIENDA TURÍSTICA</c:v>
              </c:pt>
              <c:pt idx="3">
                <c:v>HOSTAL</c:v>
              </c:pt>
              <c:pt idx="4">
                <c:v>HOSTERÍA</c:v>
              </c:pt>
              <c:pt idx="5">
                <c:v>HOTEL</c:v>
              </c:pt>
              <c:pt idx="6">
                <c:v>LODGE</c:v>
              </c:pt>
              <c:pt idx="7">
                <c:v>PENSIÓN</c:v>
              </c:pt>
            </c:strLit>
          </c:cat>
          <c:val>
            <c:numLit>
              <c:formatCode>General</c:formatCode>
              <c:ptCount val="8"/>
              <c:pt idx="0">
                <c:v>0</c:v>
              </c:pt>
              <c:pt idx="1">
                <c:v>0</c:v>
              </c:pt>
              <c:pt idx="2">
                <c:v>0</c:v>
              </c:pt>
              <c:pt idx="3">
                <c:v>199</c:v>
              </c:pt>
              <c:pt idx="4">
                <c:v>0</c:v>
              </c:pt>
              <c:pt idx="5">
                <c:v>0</c:v>
              </c:pt>
              <c:pt idx="6">
                <c:v>0</c:v>
              </c:pt>
              <c:pt idx="7">
                <c:v>0</c:v>
              </c:pt>
            </c:numLit>
          </c:val>
        </c:ser>
        <c:ser>
          <c:idx val="5"/>
          <c:order val="5"/>
          <c:tx>
            <c:v>ÚNICA</c:v>
          </c:tx>
          <c:spPr>
            <a:solidFill>
              <a:schemeClr val="accent6"/>
            </a:solidFill>
            <a:ln>
              <a:noFill/>
            </a:ln>
            <a:effectLst/>
            <a:sp3d/>
          </c:spPr>
          <c:invertIfNegative val="0"/>
          <c:cat>
            <c:strLit>
              <c:ptCount val="8"/>
              <c:pt idx="0">
                <c:v>CAMPAMENTO TURÍSTICO</c:v>
              </c:pt>
              <c:pt idx="1">
                <c:v>CASA DE HUÉSPEDES</c:v>
              </c:pt>
              <c:pt idx="2">
                <c:v>HACIENDA TURÍSTICA</c:v>
              </c:pt>
              <c:pt idx="3">
                <c:v>HOSTAL</c:v>
              </c:pt>
              <c:pt idx="4">
                <c:v>HOSTERÍA</c:v>
              </c:pt>
              <c:pt idx="5">
                <c:v>HOTEL</c:v>
              </c:pt>
              <c:pt idx="6">
                <c:v>LODGE</c:v>
              </c:pt>
              <c:pt idx="7">
                <c:v>PENSIÓN</c:v>
              </c:pt>
            </c:strLit>
          </c:cat>
          <c:val>
            <c:numLit>
              <c:formatCode>General</c:formatCode>
              <c:ptCount val="8"/>
              <c:pt idx="0">
                <c:v>3</c:v>
              </c:pt>
              <c:pt idx="1">
                <c:v>4</c:v>
              </c:pt>
              <c:pt idx="2">
                <c:v>0</c:v>
              </c:pt>
              <c:pt idx="3">
                <c:v>0</c:v>
              </c:pt>
              <c:pt idx="4">
                <c:v>0</c:v>
              </c:pt>
              <c:pt idx="5">
                <c:v>0</c:v>
              </c:pt>
              <c:pt idx="6">
                <c:v>0</c:v>
              </c:pt>
              <c:pt idx="7">
                <c:v>0</c:v>
              </c:pt>
            </c:numLit>
          </c:val>
        </c:ser>
        <c:ser>
          <c:idx val="6"/>
          <c:order val="6"/>
          <c:tx>
            <c:v>PRIMERA</c:v>
          </c:tx>
          <c:spPr>
            <a:solidFill>
              <a:schemeClr val="accent1">
                <a:lumMod val="60000"/>
              </a:schemeClr>
            </a:solidFill>
            <a:ln>
              <a:noFill/>
            </a:ln>
            <a:effectLst/>
            <a:sp3d/>
          </c:spPr>
          <c:invertIfNegative val="0"/>
          <c:cat>
            <c:strLit>
              <c:ptCount val="8"/>
              <c:pt idx="0">
                <c:v>CAMPAMENTO TURÍSTICO</c:v>
              </c:pt>
              <c:pt idx="1">
                <c:v>CASA DE HUÉSPEDES</c:v>
              </c:pt>
              <c:pt idx="2">
                <c:v>HACIENDA TURÍSTICA</c:v>
              </c:pt>
              <c:pt idx="3">
                <c:v>HOSTAL</c:v>
              </c:pt>
              <c:pt idx="4">
                <c:v>HOSTERÍA</c:v>
              </c:pt>
              <c:pt idx="5">
                <c:v>HOTEL</c:v>
              </c:pt>
              <c:pt idx="6">
                <c:v>LODGE</c:v>
              </c:pt>
              <c:pt idx="7">
                <c:v>PENSIÓN</c:v>
              </c:pt>
            </c:strLit>
          </c:cat>
          <c:val>
            <c:numLit>
              <c:formatCode>General</c:formatCode>
              <c:ptCount val="8"/>
              <c:pt idx="0">
                <c:v>0</c:v>
              </c:pt>
              <c:pt idx="1">
                <c:v>0</c:v>
              </c:pt>
              <c:pt idx="2">
                <c:v>0</c:v>
              </c:pt>
              <c:pt idx="3">
                <c:v>0</c:v>
              </c:pt>
              <c:pt idx="4">
                <c:v>0</c:v>
              </c:pt>
              <c:pt idx="5">
                <c:v>0</c:v>
              </c:pt>
              <c:pt idx="6">
                <c:v>0</c:v>
              </c:pt>
              <c:pt idx="7">
                <c:v>1</c:v>
              </c:pt>
            </c:numLit>
          </c:val>
        </c:ser>
        <c:ser>
          <c:idx val="7"/>
          <c:order val="7"/>
          <c:tx>
            <c:v>TERCERA</c:v>
          </c:tx>
          <c:spPr>
            <a:solidFill>
              <a:schemeClr val="accent2">
                <a:lumMod val="60000"/>
              </a:schemeClr>
            </a:solidFill>
            <a:ln>
              <a:noFill/>
            </a:ln>
            <a:effectLst/>
            <a:sp3d/>
          </c:spPr>
          <c:invertIfNegative val="0"/>
          <c:cat>
            <c:strLit>
              <c:ptCount val="8"/>
              <c:pt idx="0">
                <c:v>CAMPAMENTO TURÍSTICO</c:v>
              </c:pt>
              <c:pt idx="1">
                <c:v>CASA DE HUÉSPEDES</c:v>
              </c:pt>
              <c:pt idx="2">
                <c:v>HACIENDA TURÍSTICA</c:v>
              </c:pt>
              <c:pt idx="3">
                <c:v>HOSTAL</c:v>
              </c:pt>
              <c:pt idx="4">
                <c:v>HOSTERÍA</c:v>
              </c:pt>
              <c:pt idx="5">
                <c:v>HOTEL</c:v>
              </c:pt>
              <c:pt idx="6">
                <c:v>LODGE</c:v>
              </c:pt>
              <c:pt idx="7">
                <c:v>PENSIÓN</c:v>
              </c:pt>
            </c:strLit>
          </c:cat>
          <c:val>
            <c:numLit>
              <c:formatCode>General</c:formatCode>
              <c:ptCount val="8"/>
              <c:pt idx="0">
                <c:v>0</c:v>
              </c:pt>
              <c:pt idx="1">
                <c:v>0</c:v>
              </c:pt>
              <c:pt idx="2">
                <c:v>0</c:v>
              </c:pt>
              <c:pt idx="3">
                <c:v>0</c:v>
              </c:pt>
              <c:pt idx="4">
                <c:v>0</c:v>
              </c:pt>
              <c:pt idx="5">
                <c:v>0</c:v>
              </c:pt>
              <c:pt idx="6">
                <c:v>0</c:v>
              </c:pt>
              <c:pt idx="7">
                <c:v>1</c:v>
              </c:pt>
            </c:numLit>
          </c:val>
        </c:ser>
        <c:dLbls>
          <c:showLegendKey val="0"/>
          <c:showVal val="0"/>
          <c:showCatName val="0"/>
          <c:showSerName val="0"/>
          <c:showPercent val="0"/>
          <c:showBubbleSize val="0"/>
        </c:dLbls>
        <c:gapWidth val="150"/>
        <c:shape val="box"/>
        <c:axId val="689550032"/>
        <c:axId val="689549488"/>
        <c:axId val="0"/>
      </c:bar3DChart>
      <c:catAx>
        <c:axId val="68955003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89549488"/>
        <c:crosses val="autoZero"/>
        <c:auto val="1"/>
        <c:lblAlgn val="ctr"/>
        <c:lblOffset val="100"/>
        <c:noMultiLvlLbl val="0"/>
      </c:catAx>
      <c:valAx>
        <c:axId val="6895494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895500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Lst>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2069288389513111E-2"/>
          <c:y val="0.15938844348197628"/>
          <c:w val="0.82350187265917607"/>
          <c:h val="0.71671350737376227"/>
        </c:manualLayout>
      </c:layout>
      <c:pie3DChart>
        <c:varyColors val="1"/>
        <c:ser>
          <c:idx val="0"/>
          <c:order val="0"/>
          <c:tx>
            <c:strRef>
              <c:f>'Aloj x categoria'!$C$5</c:f>
              <c:strCache>
                <c:ptCount val="1"/>
                <c:pt idx="0">
                  <c:v>ALOJAMIENTO</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3-B688-484A-AEF9-AB8BE641772B}"/>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5-B688-484A-AEF9-AB8BE641772B}"/>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6-B688-484A-AEF9-AB8BE641772B}"/>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7-B688-484A-AEF9-AB8BE641772B}"/>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8-B688-484A-AEF9-AB8BE641772B}"/>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4-B688-484A-AEF9-AB8BE641772B}"/>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2-B688-484A-AEF9-AB8BE641772B}"/>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1-B688-484A-AEF9-AB8BE641772B}"/>
              </c:ext>
            </c:extLst>
          </c:dPt>
          <c:dLbls>
            <c:dLbl>
              <c:idx val="0"/>
              <c:layout>
                <c:manualLayout>
                  <c:x val="-5.6179775280898965E-2"/>
                  <c:y val="4.381530165149995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3-B688-484A-AEF9-AB8BE641772B}"/>
                </c:ext>
                <c:ext xmlns:c15="http://schemas.microsoft.com/office/drawing/2012/chart" uri="{CE6537A1-D6FC-4f65-9D91-7224C49458BB}">
                  <c15:layout/>
                </c:ext>
              </c:extLst>
            </c:dLbl>
            <c:dLbl>
              <c:idx val="1"/>
              <c:layout>
                <c:manualLayout>
                  <c:x val="-7.4906367041198504E-2"/>
                  <c:y val="2.359285473542298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5-B688-484A-AEF9-AB8BE641772B}"/>
                </c:ext>
                <c:ext xmlns:c15="http://schemas.microsoft.com/office/drawing/2012/chart" uri="{CE6537A1-D6FC-4f65-9D91-7224C49458BB}">
                  <c15:layout/>
                </c:ext>
              </c:extLst>
            </c:dLbl>
            <c:dLbl>
              <c:idx val="2"/>
              <c:layout>
                <c:manualLayout>
                  <c:x val="-2.5749063670411985E-2"/>
                  <c:y val="5.392652510953825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6-B688-484A-AEF9-AB8BE641772B}"/>
                </c:ext>
                <c:ext xmlns:c15="http://schemas.microsoft.com/office/drawing/2012/chart" uri="{CE6537A1-D6FC-4f65-9D91-7224C49458BB}">
                  <c15:layout/>
                </c:ext>
              </c:extLst>
            </c:dLbl>
            <c:dLbl>
              <c:idx val="3"/>
              <c:layout>
                <c:manualLayout>
                  <c:x val="-0.16151685393258428"/>
                  <c:y val="4.7185709470845973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7-B688-484A-AEF9-AB8BE641772B}"/>
                </c:ext>
                <c:ext xmlns:c15="http://schemas.microsoft.com/office/drawing/2012/chart" uri="{CE6537A1-D6FC-4f65-9D91-7224C49458BB}">
                  <c15:layout/>
                </c:ext>
              </c:extLst>
            </c:dLbl>
            <c:dLbl>
              <c:idx val="4"/>
              <c:layout>
                <c:manualLayout>
                  <c:x val="2.3408239700374533E-2"/>
                  <c:y val="-0.27637344118638357"/>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8-B688-484A-AEF9-AB8BE641772B}"/>
                </c:ext>
                <c:ext xmlns:c15="http://schemas.microsoft.com/office/drawing/2012/chart" uri="{CE6537A1-D6FC-4f65-9D91-7224C49458BB}">
                  <c15:layout/>
                </c:ext>
              </c:extLst>
            </c:dLbl>
            <c:dLbl>
              <c:idx val="5"/>
              <c:layout>
                <c:manualLayout>
                  <c:x val="0.21301498127340807"/>
                  <c:y val="-0.15166835187057634"/>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4-B688-484A-AEF9-AB8BE641772B}"/>
                </c:ext>
                <c:ext xmlns:c15="http://schemas.microsoft.com/office/drawing/2012/chart" uri="{CE6537A1-D6FC-4f65-9D91-7224C49458BB}">
                  <c15:layout/>
                </c:ext>
              </c:extLst>
            </c:dLbl>
            <c:dLbl>
              <c:idx val="6"/>
              <c:layout>
                <c:manualLayout>
                  <c:x val="0.11938202247190995"/>
                  <c:y val="-5.3926525109538131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B688-484A-AEF9-AB8BE641772B}"/>
                </c:ext>
                <c:ext xmlns:c15="http://schemas.microsoft.com/office/drawing/2012/chart" uri="{CE6537A1-D6FC-4f65-9D91-7224C49458BB}">
                  <c15:layout/>
                </c:ext>
              </c:extLst>
            </c:dLbl>
            <c:dLbl>
              <c:idx val="7"/>
              <c:layout>
                <c:manualLayout>
                  <c:x val="0.10767790262172268"/>
                  <c:y val="5.0556117290192111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1-B688-484A-AEF9-AB8BE641772B}"/>
                </c:ext>
                <c:ext xmlns:c15="http://schemas.microsoft.com/office/drawing/2012/chart" uri="{CE6537A1-D6FC-4f65-9D91-7224C49458BB}">
                  <c15:layout/>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'Aloj x categoria'!$C$8:$J$8</c:f>
              <c:strCache>
                <c:ptCount val="8"/>
                <c:pt idx="0">
                  <c:v>5 ESTRELLAS</c:v>
                </c:pt>
                <c:pt idx="1">
                  <c:v>4 ESTRELLAS</c:v>
                </c:pt>
                <c:pt idx="2">
                  <c:v>3 ESTRELLAS</c:v>
                </c:pt>
                <c:pt idx="3">
                  <c:v>2 ESTRELLAS</c:v>
                </c:pt>
                <c:pt idx="4">
                  <c:v>1 ESTRELLAS</c:v>
                </c:pt>
                <c:pt idx="5">
                  <c:v>ÚNICA</c:v>
                </c:pt>
                <c:pt idx="6">
                  <c:v>PRIMERA</c:v>
                </c:pt>
                <c:pt idx="7">
                  <c:v>TERCERA</c:v>
                </c:pt>
              </c:strCache>
            </c:strRef>
          </c:cat>
          <c:val>
            <c:numRef>
              <c:f>'Aloj x categoria'!$C$17:$J$17</c:f>
              <c:numCache>
                <c:formatCode>#,##0</c:formatCode>
                <c:ptCount val="8"/>
                <c:pt idx="0">
                  <c:v>21</c:v>
                </c:pt>
                <c:pt idx="1">
                  <c:v>44</c:v>
                </c:pt>
                <c:pt idx="2">
                  <c:v>99</c:v>
                </c:pt>
                <c:pt idx="3">
                  <c:v>312</c:v>
                </c:pt>
                <c:pt idx="4">
                  <c:v>199</c:v>
                </c:pt>
                <c:pt idx="5">
                  <c:v>7</c:v>
                </c:pt>
                <c:pt idx="6">
                  <c:v>1</c:v>
                </c:pt>
                <c:pt idx="7">
                  <c:v>1</c:v>
                </c:pt>
              </c:numCache>
            </c:numRef>
          </c:val>
          <c:extLst xmlns:c16r2="http://schemas.microsoft.com/office/drawing/2015/06/chart">
            <c:ext xmlns:c16="http://schemas.microsoft.com/office/drawing/2014/chart" uri="{C3380CC4-5D6E-409C-BE32-E72D297353CC}">
              <c16:uniqueId val="{00000000-B688-484A-AEF9-AB8BE641772B}"/>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[WEB-UIO_cifras_2019_vr12feb2019.xlsx]perfil-mas visitado-2015!Tabla dinámica4</c:name>
    <c:fmtId val="16"/>
  </c:pivotSource>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Lugar más visitado</a:t>
            </a:r>
          </a:p>
          <a:p>
            <a:pPr>
              <a:defRPr/>
            </a:pPr>
            <a:r>
              <a:rPr lang="en-US"/>
              <a:t>Urbano- detallado</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C"/>
        </a:p>
      </c:txPr>
    </c:title>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
        <c:idx val="1"/>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s>
    <c:plotArea>
      <c:layout/>
      <c:barChart>
        <c:barDir val="col"/>
        <c:grouping val="clustered"/>
        <c:varyColors val="0"/>
        <c:ser>
          <c:idx val="0"/>
          <c:order val="0"/>
          <c:tx>
            <c:strRef>
              <c:f>'perfil-mas visitado-2015'!$S$34</c:f>
              <c:strCache>
                <c:ptCount val="1"/>
                <c:pt idx="0">
                  <c:v>Total</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'perfil-mas visitado-2015'!$R$35:$R$39</c:f>
              <c:strCache>
                <c:ptCount val="4"/>
                <c:pt idx="0">
                  <c:v>2 Plaza Foch - zona rosa</c:v>
                </c:pt>
                <c:pt idx="1">
                  <c:v>2 La Mariscal</c:v>
                </c:pt>
                <c:pt idx="2">
                  <c:v>2 Mercado artesanal</c:v>
                </c:pt>
                <c:pt idx="3">
                  <c:v>2 Otro lugar</c:v>
                </c:pt>
              </c:strCache>
            </c:strRef>
          </c:cat>
          <c:val>
            <c:numRef>
              <c:f>'perfil-mas visitado-2015'!$S$35:$S$39</c:f>
              <c:numCache>
                <c:formatCode>_(* #,##0_);_(* \(#,##0\);_(* "-"??_);_(@_)</c:formatCode>
                <c:ptCount val="4"/>
                <c:pt idx="0">
                  <c:v>8232</c:v>
                </c:pt>
                <c:pt idx="1">
                  <c:v>3222</c:v>
                </c:pt>
                <c:pt idx="2">
                  <c:v>316</c:v>
                </c:pt>
                <c:pt idx="3">
                  <c:v>161</c:v>
                </c:pt>
              </c:numCache>
            </c:numRef>
          </c:val>
          <c:extLst xmlns:c16r2="http://schemas.microsoft.com/office/drawing/2015/06/chart">
            <c:ext xmlns:c16="http://schemas.microsoft.com/office/drawing/2014/chart" uri="{C3380CC4-5D6E-409C-BE32-E72D297353CC}">
              <c16:uniqueId val="{00000000-4266-4B4C-8E73-40C777EA4616}"/>
            </c:ext>
          </c:extLst>
        </c:ser>
        <c:dLbls>
          <c:showLegendKey val="0"/>
          <c:showVal val="0"/>
          <c:showCatName val="0"/>
          <c:showSerName val="0"/>
          <c:showPercent val="0"/>
          <c:showBubbleSize val="0"/>
        </c:dLbls>
        <c:gapWidth val="315"/>
        <c:overlap val="-40"/>
        <c:axId val="689539696"/>
        <c:axId val="689545136"/>
      </c:barChart>
      <c:catAx>
        <c:axId val="689539696"/>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689545136"/>
        <c:crosses val="autoZero"/>
        <c:auto val="1"/>
        <c:lblAlgn val="ctr"/>
        <c:lblOffset val="100"/>
        <c:noMultiLvlLbl val="0"/>
      </c:catAx>
      <c:valAx>
        <c:axId val="689545136"/>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689539696"/>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extLst xmlns:c16r2="http://schemas.microsoft.com/office/drawing/2015/06/char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[WEB-UIO_cifras_2019_vr12feb2019.xlsx]perfil-mas visitado-2015!Tabla dinámica5</c:name>
    <c:fmtId val="8"/>
  </c:pivotSource>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US"/>
              <a:t>lugares más visitados</a:t>
            </a:r>
          </a:p>
        </c:rich>
      </c:tx>
      <c:overlay val="0"/>
      <c:spPr>
        <a:noFill/>
        <a:ln>
          <a:noFill/>
        </a:ln>
        <a:effectLst/>
      </c:spPr>
    </c:title>
    <c:autoTitleDeleted val="0"/>
    <c:pivotFmts>
      <c:pivotFmt>
        <c:idx val="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2"/>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3"/>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4"/>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pivotFmt>
      <c:pivotFmt>
        <c:idx val="5"/>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pivotFmt>
      <c:pivotFmt>
        <c:idx val="6"/>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pivotFmt>
      <c:pivotFmt>
        <c:idx val="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1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12"/>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13"/>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14"/>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15"/>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Lbl>
          <c:idx val="0"/>
          <c:layout>
            <c:manualLayout>
              <c:x val="0.48717978625633107"/>
              <c:y val="7.97457237893569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6"/>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Lbl>
          <c:idx val="0"/>
          <c:layout>
            <c:manualLayout>
              <c:x val="-6.1552948251104009E-2"/>
              <c:y val="3.5116255982440232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1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Lbl>
          <c:idx val="0"/>
          <c:layout>
            <c:manualLayout>
              <c:x val="0.32918391271923675"/>
              <c:y val="-5.240524916515845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20"/>
        <c:dLbl>
          <c:idx val="0"/>
          <c:layout>
            <c:manualLayout>
              <c:x val="-0.24142659198746361"/>
              <c:y val="-1.91534090227253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21"/>
        <c:dLbl>
          <c:idx val="0"/>
          <c:layout>
            <c:manualLayout>
              <c:x val="0.10203294208955127"/>
              <c:y val="-5.2405249165158471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s>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215393484301523E-2"/>
          <c:y val="0.30916139466298814"/>
          <c:w val="0.77839851674075822"/>
          <c:h val="0.66244072934364528"/>
        </c:manualLayout>
      </c:layout>
      <c:pie3DChart>
        <c:varyColors val="1"/>
        <c:ser>
          <c:idx val="0"/>
          <c:order val="0"/>
          <c:tx>
            <c:strRef>
              <c:f>'perfil-mas visitado-2015'!$R$1</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6r2="http://schemas.microsoft.com/office/drawing/2015/06/chart">
              <c:ext xmlns:c16="http://schemas.microsoft.com/office/drawing/2014/chart" uri="{C3380CC4-5D6E-409C-BE32-E72D297353CC}">
                <c16:uniqueId val="{00000001-9C67-423F-9C5D-C3984A0D2C2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6r2="http://schemas.microsoft.com/office/drawing/2015/06/chart">
              <c:ext xmlns:c16="http://schemas.microsoft.com/office/drawing/2014/chart" uri="{C3380CC4-5D6E-409C-BE32-E72D297353CC}">
                <c16:uniqueId val="{00000003-9C67-423F-9C5D-C3984A0D2C2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6r2="http://schemas.microsoft.com/office/drawing/2015/06/chart">
              <c:ext xmlns:c16="http://schemas.microsoft.com/office/drawing/2014/chart" uri="{C3380CC4-5D6E-409C-BE32-E72D297353CC}">
                <c16:uniqueId val="{00000005-9C67-423F-9C5D-C3984A0D2C21}"/>
              </c:ext>
            </c:extLst>
          </c:dPt>
          <c:dPt>
            <c:idx val="3"/>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7-9C67-423F-9C5D-C3984A0D2C2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9-9C67-423F-9C5D-C3984A0D2C21}"/>
              </c:ext>
            </c:extLst>
          </c:dPt>
          <c:dPt>
            <c:idx val="5"/>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6r2="http://schemas.microsoft.com/office/drawing/2015/06/chart">
              <c:ext xmlns:c16="http://schemas.microsoft.com/office/drawing/2014/chart" uri="{C3380CC4-5D6E-409C-BE32-E72D297353CC}">
                <c16:uniqueId val="{0000000B-9C67-423F-9C5D-C3984A0D2C21}"/>
              </c:ext>
            </c:extLst>
          </c:dPt>
          <c:dPt>
            <c:idx val="6"/>
            <c:bubble3D val="0"/>
            <c:extLst xmlns:c16r2="http://schemas.microsoft.com/office/drawing/2015/06/chart">
              <c:ext xmlns:c16="http://schemas.microsoft.com/office/drawing/2014/chart" uri="{C3380CC4-5D6E-409C-BE32-E72D297353CC}">
                <c16:uniqueId val="{0000000C-9C67-423F-9C5D-C3984A0D2C21}"/>
              </c:ext>
            </c:extLst>
          </c:dPt>
          <c:dPt>
            <c:idx val="7"/>
            <c:bubble3D val="0"/>
            <c:extLst xmlns:c16r2="http://schemas.microsoft.com/office/drawing/2015/06/chart">
              <c:ext xmlns:c16="http://schemas.microsoft.com/office/drawing/2014/chart" uri="{C3380CC4-5D6E-409C-BE32-E72D297353CC}">
                <c16:uniqueId val="{0000000D-9C67-423F-9C5D-C3984A0D2C21}"/>
              </c:ext>
            </c:extLst>
          </c:dPt>
          <c:dPt>
            <c:idx val="8"/>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xmlns:c16r2="http://schemas.microsoft.com/office/drawing/2015/06/chart">
              <c:ext xmlns:c16="http://schemas.microsoft.com/office/drawing/2014/chart" uri="{C3380CC4-5D6E-409C-BE32-E72D297353CC}">
                <c16:uniqueId val="{0000000F-9C67-423F-9C5D-C3984A0D2C21}"/>
              </c:ext>
            </c:extLst>
          </c:dPt>
          <c:dLbls>
            <c:dLbl>
              <c:idx val="3"/>
              <c:layout>
                <c:manualLayout>
                  <c:x val="-6.1552948251104009E-2"/>
                  <c:y val="3.5116255982440232E-2"/>
                </c:manualLayout>
              </c:layout>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dLbl>
              <c:idx val="4"/>
              <c:layout>
                <c:manualLayout>
                  <c:x val="0.48717978625633107"/>
                  <c:y val="7.9745723789356987E-2"/>
                </c:manualLayout>
              </c:layout>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dLbl>
              <c:idx val="6"/>
              <c:layout>
                <c:manualLayout>
                  <c:x val="0.10203294208955127"/>
                  <c:y val="-5.2405249165158471E-2"/>
                </c:manualLayout>
              </c:layout>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dLbl>
              <c:idx val="7"/>
              <c:layout>
                <c:manualLayout>
                  <c:x val="-0.24142659198746361"/>
                  <c:y val="-1.9153409022725387E-2"/>
                </c:manualLayout>
              </c:layout>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dLbl>
              <c:idx val="8"/>
              <c:layout>
                <c:manualLayout>
                  <c:x val="0.32918391271923675"/>
                  <c:y val="-5.240524916515845E-2"/>
                </c:manualLayout>
              </c:layout>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visitado-2015'!$Q$2:$Q$11</c:f>
              <c:strCache>
                <c:ptCount val="9"/>
                <c:pt idx="0">
                  <c:v>1. CENTRO HISTÓRICO</c:v>
                </c:pt>
                <c:pt idx="1">
                  <c:v>3. LOS MIRADORES</c:v>
                </c:pt>
                <c:pt idx="2">
                  <c:v>2. LA MARISCAL</c:v>
                </c:pt>
                <c:pt idx="3">
                  <c:v>5. PARQUES</c:v>
                </c:pt>
                <c:pt idx="4">
                  <c:v>4. IGLESIAS, MUSEOS, TEATROS</c:v>
                </c:pt>
                <c:pt idx="5">
                  <c:v>7. BARRIOS TRADICIONALES</c:v>
                </c:pt>
                <c:pt idx="6">
                  <c:v>8. OTROS LUGARES NE</c:v>
                </c:pt>
                <c:pt idx="7">
                  <c:v>6. CENTROS DEPORTIVOS</c:v>
                </c:pt>
                <c:pt idx="8">
                  <c:v>8. CENTROS DEPORTIVOS</c:v>
                </c:pt>
              </c:strCache>
            </c:strRef>
          </c:cat>
          <c:val>
            <c:numRef>
              <c:f>'perfil-mas visitado-2015'!$R$2:$R$11</c:f>
              <c:numCache>
                <c:formatCode>_(* #,##0_);_(* \(#,##0\);_(* "-"??_);_(@_)</c:formatCode>
                <c:ptCount val="9"/>
                <c:pt idx="0">
                  <c:v>78800.937329999957</c:v>
                </c:pt>
                <c:pt idx="1">
                  <c:v>12317</c:v>
                </c:pt>
                <c:pt idx="2">
                  <c:v>11931</c:v>
                </c:pt>
                <c:pt idx="3">
                  <c:v>7522</c:v>
                </c:pt>
                <c:pt idx="4">
                  <c:v>4147</c:v>
                </c:pt>
                <c:pt idx="5">
                  <c:v>1384</c:v>
                </c:pt>
                <c:pt idx="6">
                  <c:v>570.08790999999997</c:v>
                </c:pt>
                <c:pt idx="7">
                  <c:v>531</c:v>
                </c:pt>
                <c:pt idx="8">
                  <c:v>60</c:v>
                </c:pt>
              </c:numCache>
            </c:numRef>
          </c:val>
          <c:extLst xmlns:c16r2="http://schemas.microsoft.com/office/drawing/2015/06/chart">
            <c:ext xmlns:c16="http://schemas.microsoft.com/office/drawing/2014/chart" uri="{C3380CC4-5D6E-409C-BE32-E72D297353CC}">
              <c16:uniqueId val="{00000010-9C67-423F-9C5D-C3984A0D2C2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xmlns:c16r2="http://schemas.microsoft.com/office/drawing/2015/06/chart">
    <c:ext xmlns:c14="http://schemas.microsoft.com/office/drawing/2007/8/2/chart" uri="{781A3756-C4B2-4CAC-9D66-4F8BD8637D16}">
      <c14:pivotOptions>
        <c14:dropZoneFilter val="1"/>
        <c14:dropZoneData val="1"/>
        <c14:dropZoneSeries val="1"/>
        <c14:dropZonesVisible val="1"/>
      </c14:pivotOptions>
    </c:ext>
  </c:extLst>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visitado-2016'!$U$7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visitado-2016'!$O$4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6r2="http://schemas.microsoft.com/office/drawing/2015/06/char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6r2="http://schemas.microsoft.com/office/drawing/2015/06/char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6r2="http://schemas.microsoft.com/office/drawing/2015/06/char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6r2="http://schemas.microsoft.com/office/drawing/2015/06/char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6r2="http://schemas.microsoft.com/office/drawing/2015/06/char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xmlns:c16r2="http://schemas.microsoft.com/office/drawing/2015/06/char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466D-48D8-8C52-882251EB8CC6}"/>
                </c:ext>
                <c:ext xmlns:c15="http://schemas.microsoft.com/office/drawing/2012/chart" uri="{CE6537A1-D6FC-4f65-9D91-7224C49458BB}"/>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466D-48D8-8C52-882251EB8CC6}"/>
                </c:ext>
                <c:ext xmlns:c15="http://schemas.microsoft.com/office/drawing/2012/chart" uri="{CE6537A1-D6FC-4f65-9D91-7224C49458BB}"/>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466D-48D8-8C52-882251EB8CC6}"/>
                </c:ext>
                <c:ext xmlns:c15="http://schemas.microsoft.com/office/drawing/2012/chart" uri="{CE6537A1-D6FC-4f65-9D91-7224C49458BB}"/>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466D-48D8-8C52-882251EB8CC6}"/>
                </c:ext>
                <c:ext xmlns:c15="http://schemas.microsoft.com/office/drawing/2012/chart" uri="{CE6537A1-D6FC-4f65-9D91-7224C49458BB}"/>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466D-48D8-8C52-882251EB8CC6}"/>
                </c:ext>
                <c:ext xmlns:c15="http://schemas.microsoft.com/office/drawing/2012/chart" uri="{CE6537A1-D6FC-4f65-9D91-7224C49458BB}"/>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466D-48D8-8C52-882251EB8CC6}"/>
                </c:ext>
                <c:ext xmlns:c15="http://schemas.microsoft.com/office/drawing/2012/chart" uri="{CE6537A1-D6FC-4f65-9D91-7224C49458BB}"/>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466D-48D8-8C52-882251EB8CC6}"/>
                </c:ext>
                <c:ext xmlns:c15="http://schemas.microsoft.com/office/drawing/2012/chart" uri="{CE6537A1-D6FC-4f65-9D91-7224C49458BB}"/>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466D-48D8-8C52-882251EB8CC6}"/>
                </c:ext>
                <c:ext xmlns:c15="http://schemas.microsoft.com/office/drawing/2012/chart" uri="{CE6537A1-D6FC-4f65-9D91-7224C49458BB}"/>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'perfil-mas visitado-2016'!$T$8:$T$15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visitado-2016'!$W$8:$W$15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xmlns:c16r2="http://schemas.microsoft.com/office/drawing/2015/06/char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1-2CCC-4E3D-87CA-2F609A995CD1}"/>
                </c:ext>
                <c:ext xmlns:c15="http://schemas.microsoft.com/office/drawing/2012/chart" uri="{CE6537A1-D6FC-4f65-9D91-7224C49458BB}"/>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3-2CCC-4E3D-87CA-2F609A995CD1}"/>
                </c:ext>
                <c:ext xmlns:c15="http://schemas.microsoft.com/office/drawing/2012/chart" uri="{CE6537A1-D6FC-4f65-9D91-7224C49458BB}"/>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5-2CCC-4E3D-87CA-2F609A995CD1}"/>
                </c:ext>
                <c:ext xmlns:c15="http://schemas.microsoft.com/office/drawing/2012/chart" uri="{CE6537A1-D6FC-4f65-9D91-7224C49458BB}"/>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7-2CCC-4E3D-87CA-2F609A995CD1}"/>
                </c:ext>
                <c:ext xmlns:c15="http://schemas.microsoft.com/office/drawing/2012/chart" uri="{CE6537A1-D6FC-4f65-9D91-7224C49458BB}"/>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9-2CCC-4E3D-87CA-2F609A995CD1}"/>
                </c:ext>
                <c:ext xmlns:c15="http://schemas.microsoft.com/office/drawing/2012/chart" uri="{CE6537A1-D6FC-4f65-9D91-7224C49458BB}"/>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B-2CCC-4E3D-87CA-2F609A995CD1}"/>
                </c:ext>
                <c:ext xmlns:c15="http://schemas.microsoft.com/office/drawing/2012/chart" uri="{CE6537A1-D6FC-4f65-9D91-7224C49458BB}"/>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D-2CCC-4E3D-87CA-2F609A995CD1}"/>
                </c:ext>
                <c:ext xmlns:c15="http://schemas.microsoft.com/office/drawing/2012/chart" uri="{CE6537A1-D6FC-4f65-9D91-7224C49458BB}"/>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F-2CCC-4E3D-87CA-2F609A995CD1}"/>
                </c:ext>
                <c:ext xmlns:c15="http://schemas.microsoft.com/office/drawing/2012/chart" uri="{CE6537A1-D6FC-4f65-9D91-7224C49458BB}"/>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1-2CCC-4E3D-87CA-2F609A995CD1}"/>
                </c:ext>
                <c:ext xmlns:c15="http://schemas.microsoft.com/office/drawing/2012/chart" uri="{CE6537A1-D6FC-4f65-9D91-7224C49458BB}"/>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3-2CCC-4E3D-87CA-2F609A995CD1}"/>
                </c:ext>
                <c:ext xmlns:c15="http://schemas.microsoft.com/office/drawing/2012/chart" uri="{CE6537A1-D6FC-4f65-9D91-7224C49458BB}"/>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5-2CCC-4E3D-87CA-2F609A995CD1}"/>
                </c:ext>
                <c:ext xmlns:c15="http://schemas.microsoft.com/office/drawing/2012/chart" uri="{CE6537A1-D6FC-4f65-9D91-7224C49458BB}"/>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7-2CCC-4E3D-87CA-2F609A995CD1}"/>
                </c:ext>
                <c:ext xmlns:c15="http://schemas.microsoft.com/office/drawing/2012/chart" uri="{CE6537A1-D6FC-4f65-9D91-7224C49458BB}"/>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B-2CCC-4E3D-87CA-2F609A995CD1}"/>
                </c:ext>
                <c:ext xmlns:c15="http://schemas.microsoft.com/office/drawing/2012/chart" uri="{CE6537A1-D6FC-4f65-9D91-7224C49458BB}"/>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D-2CCC-4E3D-87CA-2F609A995CD1}"/>
                </c:ext>
                <c:ext xmlns:c15="http://schemas.microsoft.com/office/drawing/2012/chart" uri="{CE6537A1-D6FC-4f65-9D91-7224C49458BB}"/>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F-2CCC-4E3D-87CA-2F609A995CD1}"/>
                </c:ext>
                <c:ext xmlns:c15="http://schemas.microsoft.com/office/drawing/2012/chart" uri="{CE6537A1-D6FC-4f65-9D91-7224C49458BB}"/>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21-2CCC-4E3D-87CA-2F609A995CD1}"/>
                </c:ext>
                <c:ext xmlns:c15="http://schemas.microsoft.com/office/drawing/2012/chart" uri="{CE6537A1-D6FC-4f65-9D91-7224C49458BB}"/>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23-2CCC-4E3D-87CA-2F609A995CD1}"/>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xmlns:c16r2="http://schemas.microsoft.com/office/drawing/2015/06/chart">
            <c:ext xmlns:c16="http://schemas.microsoft.com/office/drawing/2014/chart" uri="{C3380CC4-5D6E-409C-BE32-E72D297353CC}">
              <c16:uniqueId val="{00000024-2CCC-4E3D-87CA-2F609A995CD1}"/>
            </c:ext>
          </c:extLst>
        </c:ser>
        <c:ser>
          <c:idx val="0"/>
          <c:order val="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'perfil-Alrededor_parroquia-2015'!$I$11:$I$28</c:f>
            </c:numRef>
          </c:val>
          <c:extLst xmlns:c16r2="http://schemas.microsoft.com/office/drawing/2015/06/chart">
            <c:ext xmlns:c16="http://schemas.microsoft.com/office/drawing/2014/chart" uri="{C3380CC4-5D6E-409C-BE32-E72D297353CC}">
              <c16:uniqueId val="{00000025-2CCC-4E3D-87CA-2F609A995CD1}"/>
            </c:ext>
          </c:extLst>
        </c:ser>
        <c:ser>
          <c:idx val="2"/>
          <c:order val="2"/>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'perfil-Alrededor_parroquia-2015'!$J$11:$J$28</c:f>
            </c:numRef>
          </c:val>
          <c:extLst xmlns:c16r2="http://schemas.microsoft.com/office/drawing/2015/06/chart">
            <c:ext xmlns:c16="http://schemas.microsoft.com/office/drawing/2014/chart" uri="{C3380CC4-5D6E-409C-BE32-E72D297353CC}">
              <c16:uniqueId val="{00000026-2CCC-4E3D-87CA-2F609A995CD1}"/>
            </c:ext>
          </c:extLst>
        </c:ser>
        <c:ser>
          <c:idx val="3"/>
          <c:order val="3"/>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'perfil-Alrededor_parroquia-2015'!$K$11:$K$28</c:f>
            </c:numRef>
          </c:val>
          <c:extLst xmlns:c16r2="http://schemas.microsoft.com/office/drawing/2015/06/chart">
            <c:ext xmlns:c16="http://schemas.microsoft.com/office/drawing/2014/chart" uri="{C3380CC4-5D6E-409C-BE32-E72D297353CC}">
              <c16:uniqueId val="{00000027-2CCC-4E3D-87CA-2F609A995CD1}"/>
            </c:ext>
          </c:extLst>
        </c:ser>
        <c:ser>
          <c:idx val="4"/>
          <c:order val="4"/>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'perfil-Alrededor_parroquia-2015'!$L$11:$L$28</c:f>
            </c:numRef>
          </c:val>
          <c:extLst xmlns:c16r2="http://schemas.microsoft.com/office/drawing/2015/06/chart">
            <c:ext xmlns:c16="http://schemas.microsoft.com/office/drawing/2014/chart" uri="{C3380CC4-5D6E-409C-BE32-E72D297353CC}">
              <c16:uniqueId val="{00000028-2CCC-4E3D-87CA-2F609A995CD1}"/>
            </c:ext>
          </c:extLst>
        </c:ser>
        <c:ser>
          <c:idx val="5"/>
          <c:order val="5"/>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'perfil-Alrededor_parroquia-2015'!$M$11:$M$28</c:f>
            </c:numRef>
          </c:val>
          <c:extLst xmlns:c16r2="http://schemas.microsoft.com/office/drawing/2015/06/chart">
            <c:ext xmlns:c16="http://schemas.microsoft.com/office/drawing/2014/chart" uri="{C3380CC4-5D6E-409C-BE32-E72D297353CC}">
              <c16:uniqueId val="{00000029-2CCC-4E3D-87CA-2F609A995CD1}"/>
            </c:ext>
          </c:extLst>
        </c:ser>
        <c:ser>
          <c:idx val="6"/>
          <c:order val="6"/>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'perfil-Alrededor_parroquia-2015'!$N$11:$N$28</c:f>
            </c:numRef>
          </c:val>
          <c:extLst xmlns:c16r2="http://schemas.microsoft.com/office/drawing/2015/06/chart">
            <c:ext xmlns:c16="http://schemas.microsoft.com/office/drawing/2014/chart" uri="{C3380CC4-5D6E-409C-BE32-E72D297353CC}">
              <c16:uniqueId val="{0000002A-2CCC-4E3D-87CA-2F609A995CD1}"/>
            </c:ext>
          </c:extLst>
        </c:ser>
        <c:ser>
          <c:idx val="7"/>
          <c:order val="7"/>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'perfil-Alrededor_parroquia-2015'!$O$11:$O$28</c:f>
            </c:numRef>
          </c:val>
          <c:extLst xmlns:c16r2="http://schemas.microsoft.com/office/drawing/2015/06/chart">
            <c:ext xmlns:c16="http://schemas.microsoft.com/office/drawing/2014/chart" uri="{C3380CC4-5D6E-409C-BE32-E72D297353CC}">
              <c16:uniqueId val="{0000002B-2CCC-4E3D-87CA-2F609A995CD1}"/>
            </c:ext>
          </c:extLst>
        </c:ser>
        <c:ser>
          <c:idx val="8"/>
          <c:order val="8"/>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'perfil-Alrededor_parroquia-2015'!$P$11:$P$28</c:f>
            </c:numRef>
          </c:val>
          <c:extLst xmlns:c16r2="http://schemas.microsoft.com/office/drawing/2015/06/chart">
            <c:ext xmlns:c16="http://schemas.microsoft.com/office/drawing/2014/chart" uri="{C3380CC4-5D6E-409C-BE32-E72D297353CC}">
              <c16:uniqueId val="{0000002C-2CCC-4E3D-87CA-2F609A995CD1}"/>
            </c:ext>
          </c:extLst>
        </c:ser>
        <c:ser>
          <c:idx val="9"/>
          <c:order val="9"/>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'perfil-Alrededor_parroquia-2015'!$Q$11:$Q$28</c:f>
            </c:numRef>
          </c:val>
          <c:extLst xmlns:c16r2="http://schemas.microsoft.com/office/drawing/2015/06/chart">
            <c:ext xmlns:c16="http://schemas.microsoft.com/office/drawing/2014/chart" uri="{C3380CC4-5D6E-409C-BE32-E72D297353CC}">
              <c16:uniqueId val="{0000002D-2CCC-4E3D-87CA-2F609A995CD1}"/>
            </c:ext>
          </c:extLst>
        </c:ser>
        <c:ser>
          <c:idx val="10"/>
          <c:order val="10"/>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'perfil-Alrededor_parroquia-2015'!$R$11:$R$28</c:f>
            </c:numRef>
          </c:val>
          <c:extLst xmlns:c16r2="http://schemas.microsoft.com/office/drawing/2015/06/chart">
            <c:ext xmlns:c16="http://schemas.microsoft.com/office/drawing/2014/chart" uri="{C3380CC4-5D6E-409C-BE32-E72D297353CC}">
              <c16:uniqueId val="{0000002E-2CCC-4E3D-87CA-2F609A995CD1}"/>
            </c:ext>
          </c:extLst>
        </c:ser>
        <c:ser>
          <c:idx val="11"/>
          <c:order val="1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'perfil-Alrededor_parroquia-2015'!$S$11:$S$28</c:f>
            </c:numRef>
          </c:val>
          <c:extLst xmlns:c16r2="http://schemas.microsoft.com/office/drawing/2015/06/char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a:p>
            <a:pPr>
              <a:defRPr/>
            </a:pPr>
            <a:r>
              <a:rPr lang="en-US"/>
              <a:t>Ago-2015</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'Perfil-otras-cyties-2015'!$A$12:$A$26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'Perfil-otras-cyties-2015'!$B$12:$B$26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xmlns:c16r2="http://schemas.microsoft.com/office/drawing/2015/06/char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689552752"/>
        <c:axId val="689544592"/>
        <c:axId val="0"/>
      </c:bar3DChart>
      <c:catAx>
        <c:axId val="689552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689544592"/>
        <c:crosses val="autoZero"/>
        <c:auto val="1"/>
        <c:lblAlgn val="ctr"/>
        <c:lblOffset val="100"/>
        <c:noMultiLvlLbl val="0"/>
      </c:catAx>
      <c:valAx>
        <c:axId val="6895445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6895527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barChart>
        <c:barDir val="col"/>
        <c:grouping val="clustered"/>
        <c:varyColors val="0"/>
        <c:ser>
          <c:idx val="1"/>
          <c:order val="0"/>
          <c:spPr>
            <a:gradFill rotWithShape="1">
              <a:gsLst>
                <a:gs pos="0">
                  <a:schemeClr val="accent4">
                    <a:tint val="77000"/>
                    <a:tint val="50000"/>
                    <a:satMod val="300000"/>
                  </a:schemeClr>
                </a:gs>
                <a:gs pos="35000">
                  <a:schemeClr val="accent4">
                    <a:tint val="77000"/>
                    <a:tint val="37000"/>
                    <a:satMod val="300000"/>
                  </a:schemeClr>
                </a:gs>
                <a:gs pos="100000">
                  <a:schemeClr val="accent4">
                    <a:tint val="77000"/>
                    <a:tint val="15000"/>
                    <a:satMod val="350000"/>
                  </a:schemeClr>
                </a:gs>
              </a:gsLst>
              <a:lin ang="16200000" scaled="1"/>
            </a:gradFill>
            <a:ln w="9525" cap="flat" cmpd="sng" algn="ctr">
              <a:solidFill>
                <a:schemeClr val="accent4">
                  <a:tint val="77000"/>
                  <a:shade val="95000"/>
                </a:schemeClr>
              </a:solidFill>
              <a:round/>
            </a:ln>
            <a:effectLst>
              <a:outerShdw blurRad="40000" dist="20000" dir="5400000" rotWithShape="0">
                <a:srgbClr val="000000">
                  <a:alpha val="38000"/>
                </a:srgbClr>
              </a:outerShdw>
            </a:effectLst>
          </c:spPr>
          <c:invertIfNegative val="0"/>
          <c:dPt>
            <c:idx val="6"/>
            <c:invertIfNegative val="0"/>
            <c:bubble3D val="0"/>
            <c:extLst xmlns:c16r2="http://schemas.microsoft.com/office/drawing/2015/06/chart">
              <c:ext xmlns:c16="http://schemas.microsoft.com/office/drawing/2014/chart" uri="{C3380CC4-5D6E-409C-BE32-E72D297353CC}">
                <c16:uniqueId val="{00000000-E8DD-4E08-9052-49EFD97CD5C0}"/>
              </c:ext>
            </c:extLst>
          </c:dPt>
          <c:dPt>
            <c:idx val="7"/>
            <c:invertIfNegative val="0"/>
            <c:bubble3D val="0"/>
            <c:extLst xmlns:c16r2="http://schemas.microsoft.com/office/drawing/2015/06/char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w="9525" cap="flat" cmpd="sng" algn="ctr">
                <a:solidFill>
                  <a:schemeClr val="accent6">
                    <a:shade val="95000"/>
                    <a:satMod val="105000"/>
                  </a:schemeClr>
                </a:solidFill>
                <a:prstDash val="solid"/>
                <a:round/>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3-E8DD-4E08-9052-49EFD97CD5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'perfil-Ingre_divisa-2015'!$B$7:$L$7</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'perfil-Ingre_divisa-2015'!$B$18:$L$18</c:f>
              <c:numCache>
                <c:formatCode>_(* #,##0_);_(* \(#,##0\);_(* "-"??_);_(@_)</c:formatCode>
                <c:ptCount val="11"/>
                <c:pt idx="0">
                  <c:v>229.47777715951403</c:v>
                </c:pt>
                <c:pt idx="1">
                  <c:v>282.79960968089517</c:v>
                </c:pt>
                <c:pt idx="2">
                  <c:v>230.19217395042233</c:v>
                </c:pt>
                <c:pt idx="3">
                  <c:v>281.39827475544178</c:v>
                </c:pt>
                <c:pt idx="4">
                  <c:v>297.0865944875157</c:v>
                </c:pt>
                <c:pt idx="5">
                  <c:v>326.08048142306973</c:v>
                </c:pt>
                <c:pt idx="6">
                  <c:v>437.39520600457314</c:v>
                </c:pt>
                <c:pt idx="7">
                  <c:v>402.95932772507791</c:v>
                </c:pt>
                <c:pt idx="8">
                  <c:v>476.88278732000003</c:v>
                </c:pt>
                <c:pt idx="9">
                  <c:v>496.11003242000004</c:v>
                </c:pt>
                <c:pt idx="10">
                  <c:v>526.1692714400001</c:v>
                </c:pt>
              </c:numCache>
            </c:numRef>
          </c:val>
          <c:extLst xmlns:c16r2="http://schemas.microsoft.com/office/drawing/2015/06/chart">
            <c:ext xmlns:c16="http://schemas.microsoft.com/office/drawing/2014/chart" uri="{C3380CC4-5D6E-409C-BE32-E72D297353CC}">
              <c16:uniqueId val="{00000004-E8DD-4E08-9052-49EFD97CD5C0}"/>
            </c:ext>
          </c:extLst>
        </c:ser>
        <c:dLbls>
          <c:showLegendKey val="0"/>
          <c:showVal val="1"/>
          <c:showCatName val="0"/>
          <c:showSerName val="0"/>
          <c:showPercent val="0"/>
          <c:showBubbleSize val="0"/>
        </c:dLbls>
        <c:gapWidth val="100"/>
        <c:overlap val="-24"/>
        <c:axId val="689546224"/>
        <c:axId val="689542416"/>
      </c:barChart>
      <c:catAx>
        <c:axId val="689546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689542416"/>
        <c:crosses val="autoZero"/>
        <c:auto val="1"/>
        <c:lblAlgn val="ctr"/>
        <c:lblOffset val="100"/>
        <c:noMultiLvlLbl val="0"/>
      </c:catAx>
      <c:valAx>
        <c:axId val="68954241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6895462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'perfil-Ingre_divisa-2015'!$C$6:$L$6</c:f>
              <c:strCache>
                <c:ptCount val="10"/>
                <c:pt idx="0">
                  <c:v>2009 junio</c:v>
                </c:pt>
                <c:pt idx="1">
                  <c:v>2010 junio </c:v>
                </c:pt>
                <c:pt idx="2">
                  <c:v>2011 agosto</c:v>
                </c:pt>
                <c:pt idx="3">
                  <c:v>2012 junio</c:v>
                </c:pt>
                <c:pt idx="4">
                  <c:v>2013 junio</c:v>
                </c:pt>
                <c:pt idx="5">
                  <c:v>2014 Agosto</c:v>
                </c:pt>
                <c:pt idx="6">
                  <c:v>2015 Agosto</c:v>
                </c:pt>
                <c:pt idx="7">
                  <c:v>2016 Diciembre</c:v>
                </c:pt>
                <c:pt idx="8">
                  <c:v>2017 (estimado) total</c:v>
                </c:pt>
                <c:pt idx="9">
                  <c:v>2018 (estimado) total</c:v>
                </c:pt>
              </c:strCache>
            </c:strRef>
          </c:cat>
          <c:val>
            <c:numRef>
              <c:f>'perfil-Ingre_divisa-2015'!$C$19:$L$19</c:f>
              <c:numCache>
                <c:formatCode>0%</c:formatCode>
                <c:ptCount val="10"/>
                <c:pt idx="0">
                  <c:v>0.23236163946418298</c:v>
                </c:pt>
                <c:pt idx="1">
                  <c:v>-0.18602372114245103</c:v>
                </c:pt>
                <c:pt idx="2">
                  <c:v>0.22244935579802982</c:v>
                </c:pt>
                <c:pt idx="3">
                  <c:v>5.5751300343644061E-2</c:v>
                </c:pt>
                <c:pt idx="4">
                  <c:v>9.7594060026738871E-2</c:v>
                </c:pt>
                <c:pt idx="5">
                  <c:v>0.34137193399527432</c:v>
                </c:pt>
                <c:pt idx="6">
                  <c:v>-7.8729436918280271E-2</c:v>
                </c:pt>
                <c:pt idx="7">
                  <c:v>0.18345141682725097</c:v>
                </c:pt>
                <c:pt idx="8">
                  <c:v>4.0318597381242993E-2</c:v>
                </c:pt>
                <c:pt idx="9">
                  <c:v>6.0589863247418219E-2</c:v>
                </c:pt>
              </c:numCache>
            </c:numRef>
          </c:val>
          <c:smooth val="0"/>
          <c:extLst xmlns:c16r2="http://schemas.microsoft.com/office/drawing/2015/06/char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689546768"/>
        <c:axId val="689547856"/>
      </c:lineChart>
      <c:catAx>
        <c:axId val="6895467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689547856"/>
        <c:crosses val="autoZero"/>
        <c:auto val="1"/>
        <c:lblAlgn val="ctr"/>
        <c:lblOffset val="100"/>
        <c:noMultiLvlLbl val="0"/>
      </c:catAx>
      <c:valAx>
        <c:axId val="68954785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68954676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'Llegadas '!$A$1</c:f>
              <c:strCache>
                <c:ptCount val="1"/>
                <c:pt idx="0">
                  <c:v>Llegadas internacionales de turistas no residentes (#)</c:v>
                </c:pt>
              </c:strCache>
            </c:strRef>
          </c:tx>
          <c:spPr>
            <a:gradFill>
              <a:gsLst>
                <a:gs pos="100000">
                  <a:schemeClr val="accent1">
                    <a:alpha val="0"/>
                  </a:schemeClr>
                </a:gs>
                <a:gs pos="50000">
                  <a:schemeClr val="accent1"/>
                </a:gs>
              </a:gsLst>
              <a:lin ang="5400000" scaled="0"/>
            </a:gradFill>
            <a:ln>
              <a:noFill/>
            </a:ln>
            <a:effectLst/>
            <a:sp3d/>
          </c:spPr>
          <c:invertIfNegative val="0"/>
          <c:dPt>
            <c:idx val="9"/>
            <c:invertIfNegative val="0"/>
            <c:bubble3D val="0"/>
            <c:spPr>
              <a:gradFill>
                <a:gsLst>
                  <a:gs pos="100000">
                    <a:schemeClr val="accent1">
                      <a:alpha val="0"/>
                    </a:schemeClr>
                  </a:gs>
                  <a:gs pos="50000">
                    <a:schemeClr val="accent1"/>
                  </a:gs>
                </a:gsLst>
                <a:lin ang="5400000" scaled="0"/>
              </a:gradFill>
              <a:ln>
                <a:noFill/>
              </a:ln>
              <a:effectLst/>
              <a:sp3d/>
            </c:spPr>
            <c:extLst xmlns:c16r2="http://schemas.microsoft.com/office/drawing/2015/06/chart">
              <c:ext xmlns:c16="http://schemas.microsoft.com/office/drawing/2014/chart" uri="{C3380CC4-5D6E-409C-BE32-E72D297353CC}">
                <c16:uniqueId val="{00000001-E9D0-4CBE-884A-25C16A07F342}"/>
              </c:ext>
            </c:extLst>
          </c:dPt>
          <c:dPt>
            <c:idx val="10"/>
            <c:invertIfNegative val="0"/>
            <c:bubble3D val="0"/>
            <c:spPr>
              <a:solidFill>
                <a:schemeClr val="accent6">
                  <a:lumMod val="60000"/>
                  <a:lumOff val="40000"/>
                </a:schemeClr>
              </a:solidFill>
              <a:ln>
                <a:noFill/>
              </a:ln>
              <a:effectLst/>
              <a:sp3d/>
            </c:spPr>
            <c:extLst xmlns:c16r2="http://schemas.microsoft.com/office/drawing/2015/06/chart">
              <c:ext xmlns:c16="http://schemas.microsoft.com/office/drawing/2014/chart" uri="{C3380CC4-5D6E-409C-BE32-E72D297353CC}">
                <c16:uniqueId val="{00000003-E9D0-4CBE-884A-25C16A07F342}"/>
              </c:ext>
            </c:extLst>
          </c:dPt>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'Llegadas '!$B$3:$N$3</c:f>
              <c:strCache>
                <c:ptCount val="13"/>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 (e)</c:v>
                </c:pt>
              </c:strCache>
            </c:strRef>
          </c:cat>
          <c:val>
            <c:numRef>
              <c:f>'Llegadas '!$B$16:$N$16</c:f>
              <c:numCache>
                <c:formatCode>#,##0</c:formatCode>
                <c:ptCount val="13"/>
                <c:pt idx="0">
                  <c:v>417853</c:v>
                </c:pt>
                <c:pt idx="1">
                  <c:v>471499</c:v>
                </c:pt>
                <c:pt idx="2">
                  <c:v>461865</c:v>
                </c:pt>
                <c:pt idx="3">
                  <c:v>474221</c:v>
                </c:pt>
                <c:pt idx="4">
                  <c:v>487378</c:v>
                </c:pt>
                <c:pt idx="5">
                  <c:v>533458</c:v>
                </c:pt>
                <c:pt idx="6">
                  <c:v>628958</c:v>
                </c:pt>
                <c:pt idx="7">
                  <c:v>703015</c:v>
                </c:pt>
                <c:pt idx="8">
                  <c:v>712877</c:v>
                </c:pt>
                <c:pt idx="9">
                  <c:v>627626</c:v>
                </c:pt>
                <c:pt idx="10">
                  <c:v>652931</c:v>
                </c:pt>
                <c:pt idx="11">
                  <c:v>692492</c:v>
                </c:pt>
                <c:pt idx="12">
                  <c:v>712849</c:v>
                </c:pt>
              </c:numCache>
            </c:numRef>
          </c:val>
          <c:extLst xmlns:c16r2="http://schemas.microsoft.com/office/drawing/2015/06/chart">
            <c:ext xmlns:c16="http://schemas.microsoft.com/office/drawing/2014/chart" uri="{C3380CC4-5D6E-409C-BE32-E72D297353CC}">
              <c16:uniqueId val="{00000004-E9D0-4CBE-884A-25C16A07F342}"/>
            </c:ext>
          </c:extLst>
        </c:ser>
        <c:dLbls>
          <c:showLegendKey val="0"/>
          <c:showVal val="0"/>
          <c:showCatName val="0"/>
          <c:showSerName val="0"/>
          <c:showPercent val="0"/>
          <c:showBubbleSize val="0"/>
        </c:dLbls>
        <c:gapWidth val="150"/>
        <c:gapDepth val="0"/>
        <c:shape val="box"/>
        <c:axId val="755362160"/>
        <c:axId val="755362704"/>
        <c:axId val="0"/>
      </c:bar3DChart>
      <c:catAx>
        <c:axId val="7553621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55362704"/>
        <c:crosses val="autoZero"/>
        <c:auto val="1"/>
        <c:lblAlgn val="ctr"/>
        <c:lblOffset val="100"/>
        <c:noMultiLvlLbl val="0"/>
      </c:catAx>
      <c:valAx>
        <c:axId val="755362704"/>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55362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45CE-43B2-ACCA-21BEB6731782}"/>
                </c:ext>
                <c:ext xmlns:c15="http://schemas.microsoft.com/office/drawing/2012/chart" uri="{CE6537A1-D6FC-4f65-9D91-7224C49458BB}"/>
              </c:extLst>
            </c:dLbl>
            <c:dLbl>
              <c:idx val="1"/>
              <c:layout>
                <c:manualLayout>
                  <c:x val="5.0991017190422205E-2"/>
                  <c:y val="-0.10571490975478846"/>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45CE-43B2-ACCA-21BEB6731782}"/>
                </c:ext>
                <c:ext xmlns:c15="http://schemas.microsoft.com/office/drawing/2012/chart" uri="{CE6537A1-D6FC-4f65-9D91-7224C49458BB}"/>
              </c:extLst>
            </c:dLbl>
            <c:dLbl>
              <c:idx val="2"/>
              <c:layout>
                <c:manualLayout>
                  <c:x val="-0.39166444444444853"/>
                  <c:y val="-1.5344044141512654E-3"/>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45CE-43B2-ACCA-21BEB6731782}"/>
                </c:ext>
                <c:ext xmlns:c15="http://schemas.microsoft.com/office/drawing/2012/chart" uri="{CE6537A1-D6FC-4f65-9D91-7224C49458BB}"/>
              </c:extLst>
            </c:dLbl>
            <c:dLbl>
              <c:idx val="3"/>
              <c:layout>
                <c:manualLayout>
                  <c:x val="-5.5691163604549433E-2"/>
                  <c:y val="2.133522213714786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45CE-43B2-ACCA-21BEB6731782}"/>
                </c:ext>
                <c:ext xmlns:c15="http://schemas.microsoft.com/office/drawing/2012/chart" uri="{CE6537A1-D6FC-4f65-9D91-7224C49458BB}"/>
              </c:extLst>
            </c:dLbl>
            <c:dLbl>
              <c:idx val="4"/>
              <c:layout>
                <c:manualLayout>
                  <c:x val="-0.24032981481481483"/>
                  <c:y val="0.11782835659417938"/>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45CE-43B2-ACCA-21BEB6731782}"/>
                </c:ext>
                <c:ext xmlns:c15="http://schemas.microsoft.com/office/drawing/2012/chart" uri="{CE6537A1-D6FC-4f65-9D91-7224C49458BB}"/>
              </c:extLst>
            </c:dLbl>
            <c:dLbl>
              <c:idx val="5"/>
              <c:layout>
                <c:manualLayout>
                  <c:x val="-5.7886384891543727E-2"/>
                  <c:y val="1.3940126856837187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45CE-43B2-ACCA-21BEB6731782}"/>
                </c:ext>
                <c:ext xmlns:c15="http://schemas.microsoft.com/office/drawing/2012/chart" uri="{CE6537A1-D6FC-4f65-9D91-7224C49458BB}"/>
              </c:extLst>
            </c:dLbl>
            <c:dLbl>
              <c:idx val="6"/>
              <c:layout>
                <c:manualLayout>
                  <c:x val="-0.30288435185185769"/>
                  <c:y val="0.21694309206967646"/>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45CE-43B2-ACCA-21BEB6731782}"/>
                </c:ext>
                <c:ext xmlns:c15="http://schemas.microsoft.com/office/drawing/2012/chart" uri="{CE6537A1-D6FC-4f65-9D91-7224C49458BB}"/>
              </c:extLst>
            </c:dLbl>
            <c:dLbl>
              <c:idx val="7"/>
              <c:layout>
                <c:manualLayout>
                  <c:x val="-9.1205237276374931E-2"/>
                  <c:y val="-4.5903185036227173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45CE-43B2-ACCA-21BEB6731782}"/>
                </c:ext>
                <c:ext xmlns:c15="http://schemas.microsoft.com/office/drawing/2012/chart" uri="{CE6537A1-D6FC-4f65-9D91-7224C49458BB}"/>
              </c:extLst>
            </c:dLbl>
            <c:dLbl>
              <c:idx val="8"/>
              <c:layout>
                <c:manualLayout>
                  <c:x val="-0.27001907407407438"/>
                  <c:y val="-3.0563669804176416E-5"/>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1-45CE-43B2-ACCA-21BEB6731782}"/>
                </c:ext>
                <c:ext xmlns:c15="http://schemas.microsoft.com/office/drawing/2012/chart" uri="{CE6537A1-D6FC-4f65-9D91-7224C49458BB}"/>
              </c:extLst>
            </c:dLbl>
            <c:dLbl>
              <c:idx val="9"/>
              <c:layout>
                <c:manualLayout>
                  <c:x val="-0.2348223148148148"/>
                  <c:y val="-0.11289408200800606"/>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3-45CE-43B2-ACCA-21BEB6731782}"/>
                </c:ext>
                <c:ext xmlns:c15="http://schemas.microsoft.com/office/drawing/2012/chart" uri="{CE6537A1-D6FC-4f65-9D91-7224C49458BB}"/>
              </c:extLst>
            </c:dLbl>
            <c:dLbl>
              <c:idx val="10"/>
              <c:layout>
                <c:manualLayout>
                  <c:x val="1.9586485510037468E-2"/>
                  <c:y val="-6.1106997480891205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5-45CE-43B2-ACCA-21BEB6731782}"/>
                </c:ext>
                <c:ext xmlns:c15="http://schemas.microsoft.com/office/drawing/2012/chart" uri="{CE6537A1-D6FC-4f65-9D91-7224C49458BB}"/>
              </c:extLst>
            </c:dLbl>
            <c:dLbl>
              <c:idx val="11"/>
              <c:layout>
                <c:manualLayout>
                  <c:x val="-3.6951645269244784E-2"/>
                  <c:y val="-5.4110398081872992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7-45CE-43B2-ACCA-21BEB6731782}"/>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'perfil-Dist_Gasto-2015'!$A$5:$A$15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'perfil-Dist_Gasto-2015'!$L$5:$L$15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xmlns:c16r2="http://schemas.microsoft.com/office/drawing/2015/06/char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'perfil-Dist_Gasto-2015'!$G$3</c:f>
              <c:strCache>
                <c:ptCount val="1"/>
                <c:pt idx="0">
                  <c:v>2013</c:v>
                </c:pt>
              </c:strCache>
            </c:strRef>
          </c:tx>
          <c:spPr>
            <a:solidFill>
              <a:schemeClr val="accent6">
                <a:alpha val="70000"/>
              </a:schemeClr>
            </a:solidFill>
            <a:ln>
              <a:noFill/>
            </a:ln>
            <a:effectLst/>
          </c:spPr>
          <c:invertIfNegative val="0"/>
          <c:cat>
            <c:strRef>
              <c:f>('perfil-Dist_Gasto-2015'!$A$5:$A$8,'perfil-Dist_Gasto-2015'!$A$10,'perfil-Dist_Gasto-2015'!$A$12,'perfil-Dist_Gasto-2015'!$A$16)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('perfil-Dist_Gasto-2015'!$G$5:$G$8,'perfil-Dist_Gasto-2015'!$G$10,'perfil-Dist_Gasto-2015'!$G$12,'perfil-Dist_Gasto-2015'!$G$16)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xmlns:c16r2="http://schemas.microsoft.com/office/drawing/2015/06/chart">
            <c:ext xmlns:c16="http://schemas.microsoft.com/office/drawing/2014/chart" uri="{C3380CC4-5D6E-409C-BE32-E72D297353CC}">
              <c16:uniqueId val="{00000000-EE32-471C-9943-3A14AB78C8EF}"/>
            </c:ext>
          </c:extLst>
        </c:ser>
        <c:ser>
          <c:idx val="0"/>
          <c:order val="1"/>
          <c:tx>
            <c:strRef>
              <c:f>'perfil-Dist_Gasto-2015'!$H$3</c:f>
              <c:strCache>
                <c:ptCount val="1"/>
                <c:pt idx="0">
                  <c:v>2014</c:v>
                </c:pt>
              </c:strCache>
            </c:strRef>
          </c:tx>
          <c:spPr>
            <a:solidFill>
              <a:schemeClr val="accent1">
                <a:alpha val="70000"/>
              </a:schemeClr>
            </a:solidFill>
            <a:ln>
              <a:noFill/>
            </a:ln>
            <a:effectLst/>
          </c:spPr>
          <c:invertIfNegative val="0"/>
          <c:val>
            <c:numRef>
              <c:f>('perfil-Dist_Gasto-2015'!$H$5:$H$8,'perfil-Dist_Gasto-2015'!$H$10,'perfil-Dist_Gasto-2015'!$H$12,'perfil-Dist_Gasto-2015'!$H$16)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xmlns:c16r2="http://schemas.microsoft.com/office/drawing/2015/06/char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750026112"/>
        <c:axId val="750022304"/>
      </c:barChart>
      <c:catAx>
        <c:axId val="75002611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750022304"/>
        <c:crosses val="autoZero"/>
        <c:auto val="1"/>
        <c:lblAlgn val="ctr"/>
        <c:lblOffset val="100"/>
        <c:noMultiLvlLbl val="0"/>
      </c:catAx>
      <c:valAx>
        <c:axId val="750022304"/>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75002611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0.174753193025593"/>
          <c:y val="0.28779370383859421"/>
          <c:w val="0.48582364936724914"/>
          <c:h val="0.62231680482019625"/>
        </c:manualLayout>
      </c:layout>
      <c:doughnutChart>
        <c:varyColors val="1"/>
        <c:ser>
          <c:idx val="0"/>
          <c:order val="0"/>
          <c:explosion val="25"/>
          <c:dPt>
            <c:idx val="0"/>
            <c:bubble3D val="0"/>
            <c:explosion val="6"/>
            <c:spPr>
              <a:solidFill>
                <a:schemeClr val="accent1"/>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1-935C-4E3C-B1A7-68B5562AD790}"/>
              </c:ext>
            </c:extLst>
          </c:dPt>
          <c:dPt>
            <c:idx val="1"/>
            <c:bubble3D val="0"/>
            <c:explosion val="15"/>
            <c:spPr>
              <a:solidFill>
                <a:schemeClr val="accent2"/>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3-935C-4E3C-B1A7-68B5562AD790}"/>
              </c:ext>
            </c:extLst>
          </c:dPt>
          <c:dPt>
            <c:idx val="2"/>
            <c:bubble3D val="0"/>
            <c:explosion val="8"/>
            <c:spPr>
              <a:solidFill>
                <a:schemeClr val="accent3"/>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5-935C-4E3C-B1A7-68B5562AD790}"/>
              </c:ext>
            </c:extLst>
          </c:dPt>
          <c:dPt>
            <c:idx val="3"/>
            <c:bubble3D val="0"/>
            <c:spPr>
              <a:solidFill>
                <a:schemeClr val="accent4"/>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7-935C-4E3C-B1A7-68B5562AD790}"/>
              </c:ext>
            </c:extLst>
          </c:dPt>
          <c:dLbls>
            <c:dLbl>
              <c:idx val="0"/>
              <c:layout>
                <c:manualLayout>
                  <c:x val="0.11648079306071871"/>
                  <c:y val="-0.16190472143364043"/>
                </c:manualLayout>
              </c:layout>
              <c:showLegendKey val="0"/>
              <c:showVal val="1"/>
              <c:showCatName val="1"/>
              <c:showSerName val="0"/>
              <c:showPercent val="1"/>
              <c:showBubbleSize val="0"/>
              <c:extLst xmlns:c16r2="http://schemas.microsoft.com/office/drawing/2015/06/chart">
                <c:ext xmlns:c16="http://schemas.microsoft.com/office/drawing/2014/chart" uri="{C3380CC4-5D6E-409C-BE32-E72D297353CC}">
                  <c16:uniqueId val="{00000001-935C-4E3C-B1A7-68B5562AD790}"/>
                </c:ext>
                <c:ext xmlns:c15="http://schemas.microsoft.com/office/drawing/2012/chart" uri="{CE6537A1-D6FC-4f65-9D91-7224C49458BB}"/>
              </c:extLst>
            </c:dLbl>
            <c:dLbl>
              <c:idx val="1"/>
              <c:layout>
                <c:manualLayout>
                  <c:x val="0.16356877323420074"/>
                  <c:y val="-0.11111108333681206"/>
                </c:manualLayout>
              </c:layout>
              <c:showLegendKey val="0"/>
              <c:showVal val="1"/>
              <c:showCatName val="1"/>
              <c:showSerName val="0"/>
              <c:showPercent val="1"/>
              <c:showBubbleSize val="0"/>
              <c:extLst xmlns:c16r2="http://schemas.microsoft.com/office/drawing/2015/06/chart">
                <c:ext xmlns:c16="http://schemas.microsoft.com/office/drawing/2014/chart" uri="{C3380CC4-5D6E-409C-BE32-E72D297353CC}">
                  <c16:uniqueId val="{00000003-935C-4E3C-B1A7-68B5562AD790}"/>
                </c:ext>
                <c:ext xmlns:c15="http://schemas.microsoft.com/office/drawing/2012/chart" uri="{CE6537A1-D6FC-4f65-9D91-7224C49458BB}"/>
              </c:extLst>
            </c:dLbl>
            <c:dLbl>
              <c:idx val="3"/>
              <c:layout>
                <c:manualLayout>
                  <c:x val="-0.18339529120198264"/>
                  <c:y val="-0.13968250476627805"/>
                </c:manualLayout>
              </c:layout>
              <c:showLegendKey val="0"/>
              <c:showVal val="1"/>
              <c:showCatName val="1"/>
              <c:showSerName val="0"/>
              <c:showPercent val="1"/>
              <c:showBubbleSize val="0"/>
              <c:extLst xmlns:c16r2="http://schemas.microsoft.com/office/drawing/2015/06/chart">
                <c:ext xmlns:c16="http://schemas.microsoft.com/office/drawing/2014/chart" uri="{C3380CC4-5D6E-409C-BE32-E72D297353CC}">
                  <c16:uniqueId val="{00000007-935C-4E3C-B1A7-68B5562AD790}"/>
                </c:ext>
                <c:ext xmlns:c15="http://schemas.microsoft.com/office/drawing/2012/chart" uri="{CE6537A1-D6FC-4f65-9D91-7224C49458BB}"/>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xmlns:c16r2="http://schemas.microsoft.com/office/drawing/2015/06/chart">
              <c:ext xmlns:c15="http://schemas.microsoft.com/office/drawing/2012/chart" uri="{CE6537A1-D6FC-4f65-9D91-7224C49458BB}"/>
            </c:extLst>
          </c:dLbls>
          <c:cat>
            <c:strRef>
              <c:f>'perfil-Nvl_Edu 2015'!$C$3:$C$6</c:f>
              <c:strCache>
                <c:ptCount val="4"/>
                <c:pt idx="0">
                  <c:v>Primaria</c:v>
                </c:pt>
                <c:pt idx="1">
                  <c:v>Secundaria</c:v>
                </c:pt>
                <c:pt idx="2">
                  <c:v>Superior</c:v>
                </c:pt>
                <c:pt idx="3">
                  <c:v>Postgrado</c:v>
                </c:pt>
              </c:strCache>
            </c:strRef>
          </c:cat>
          <c:val>
            <c:numRef>
              <c:f>'perfil-Nvl_Edu 2015'!$L$3:$L$6</c:f>
              <c:numCache>
                <c:formatCode>0%</c:formatCode>
                <c:ptCount val="4"/>
                <c:pt idx="0">
                  <c:v>1.2438868716236702E-2</c:v>
                </c:pt>
                <c:pt idx="1">
                  <c:v>0.19852460050928405</c:v>
                </c:pt>
                <c:pt idx="2">
                  <c:v>0.61212288538610038</c:v>
                </c:pt>
                <c:pt idx="3">
                  <c:v>0.17691364538837881</c:v>
                </c:pt>
              </c:numCache>
            </c:numRef>
          </c:val>
          <c:extLst xmlns:c16r2="http://schemas.microsoft.com/office/drawing/2015/06/char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firstSliceAng val="0"/>
        <c:holeSize val="50"/>
      </c:doughnut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NIVEL DE INSTRUCCIÓN</a:t>
            </a:r>
          </a:p>
          <a:p>
            <a:pPr>
              <a:defRPr/>
            </a:pPr>
            <a:r>
              <a:rPr lang="es-EC"/>
              <a:t>DEL TURISTA DE QUITO</a:t>
            </a:r>
          </a:p>
          <a:p>
            <a:pPr>
              <a:defRPr/>
            </a:pPr>
            <a:r>
              <a:rPr lang="es-EC"/>
              <a:t>2015</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barChart>
        <c:barDir val="col"/>
        <c:grouping val="clustered"/>
        <c:varyColors val="0"/>
        <c:ser>
          <c:idx val="0"/>
          <c:order val="0"/>
          <c:tx>
            <c:strRef>
              <c:f>'perfil-Nvl_Edu 2015'!$K$2</c:f>
              <c:strCache>
                <c:ptCount val="1"/>
                <c:pt idx="0">
                  <c:v>2015 agosto</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invertIfNegative val="0"/>
          <c:cat>
            <c:strRef>
              <c:f>'perfil-Nvl_Edu 2015'!$C$3:$C$6</c:f>
              <c:strCache>
                <c:ptCount val="4"/>
                <c:pt idx="0">
                  <c:v>Primaria</c:v>
                </c:pt>
                <c:pt idx="1">
                  <c:v>Secundaria</c:v>
                </c:pt>
                <c:pt idx="2">
                  <c:v>Superior</c:v>
                </c:pt>
                <c:pt idx="3">
                  <c:v>Postgrado</c:v>
                </c:pt>
              </c:strCache>
            </c:strRef>
          </c:cat>
          <c:val>
            <c:numRef>
              <c:f>'perfil-Nvl_Edu 2015'!$K$3:$K$6</c:f>
              <c:numCache>
                <c:formatCode>_(* #,##0_);_(* \(#,##0\);_(* "-"??_);_(@_)</c:formatCode>
                <c:ptCount val="4"/>
                <c:pt idx="0">
                  <c:v>470.01564000000008</c:v>
                </c:pt>
                <c:pt idx="1">
                  <c:v>7501.4592799999991</c:v>
                </c:pt>
                <c:pt idx="2">
                  <c:v>23129.702250000002</c:v>
                </c:pt>
                <c:pt idx="3">
                  <c:v>6684.8667799999967</c:v>
                </c:pt>
              </c:numCache>
            </c:numRef>
          </c:val>
          <c:extLst xmlns:c16r2="http://schemas.microsoft.com/office/drawing/2015/06/chart">
            <c:ext xmlns:c16="http://schemas.microsoft.com/office/drawing/2014/chart" uri="{C3380CC4-5D6E-409C-BE32-E72D297353CC}">
              <c16:uniqueId val="{00000000-65B0-4977-9205-753D6E44D90E}"/>
            </c:ext>
          </c:extLst>
        </c:ser>
        <c:dLbls>
          <c:showLegendKey val="0"/>
          <c:showVal val="0"/>
          <c:showCatName val="0"/>
          <c:showSerName val="0"/>
          <c:showPercent val="0"/>
          <c:showBubbleSize val="0"/>
        </c:dLbls>
        <c:gapWidth val="100"/>
        <c:overlap val="-24"/>
        <c:axId val="750033184"/>
        <c:axId val="750036992"/>
      </c:barChart>
      <c:catAx>
        <c:axId val="7500331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750036992"/>
        <c:crosses val="autoZero"/>
        <c:auto val="1"/>
        <c:lblAlgn val="ctr"/>
        <c:lblOffset val="100"/>
        <c:noMultiLvlLbl val="0"/>
      </c:catAx>
      <c:valAx>
        <c:axId val="75003699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750033184"/>
        <c:crosses val="autoZero"/>
        <c:crossBetween val="between"/>
        <c:maj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0035433070866154E-2"/>
          <c:y val="0.20071684587813798"/>
          <c:w val="0.58888888888888891"/>
          <c:h val="0.75985663082437926"/>
        </c:manualLayout>
      </c:layout>
      <c:pieChart>
        <c:varyColors val="1"/>
        <c:ser>
          <c:idx val="0"/>
          <c:order val="0"/>
          <c:explosion val="25"/>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xmlns:c16r2="http://schemas.microsoft.com/office/drawing/2015/06/chart">
              <c:ext xmlns:c16="http://schemas.microsoft.com/office/drawing/2014/chart" uri="{C3380CC4-5D6E-409C-BE32-E72D297353CC}">
                <c16:uniqueId val="{00000001-A028-4D7E-97D4-45E4B5F1469D}"/>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extLst xmlns:c16r2="http://schemas.microsoft.com/office/drawing/2015/06/chart">
              <c:ext xmlns:c16="http://schemas.microsoft.com/office/drawing/2014/chart" uri="{C3380CC4-5D6E-409C-BE32-E72D297353CC}">
                <c16:uniqueId val="{00000003-A028-4D7E-97D4-45E4B5F1469D}"/>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extLst xmlns:c16r2="http://schemas.microsoft.com/office/drawing/2015/06/chart">
              <c:ext xmlns:c16="http://schemas.microsoft.com/office/drawing/2014/chart" uri="{C3380CC4-5D6E-409C-BE32-E72D297353CC}">
                <c16:uniqueId val="{00000005-A028-4D7E-97D4-45E4B5F1469D}"/>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extLst xmlns:c16r2="http://schemas.microsoft.com/office/drawing/2015/06/chart">
              <c:ext xmlns:c16="http://schemas.microsoft.com/office/drawing/2014/chart" uri="{C3380CC4-5D6E-409C-BE32-E72D297353CC}">
                <c16:uniqueId val="{00000007-A028-4D7E-97D4-45E4B5F146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'perfil-Edad 2015'!$C$3:$C$6</c:f>
              <c:strCache>
                <c:ptCount val="4"/>
                <c:pt idx="0">
                  <c:v> de 17 a 30 años</c:v>
                </c:pt>
                <c:pt idx="1">
                  <c:v> de 31 a 45 años</c:v>
                </c:pt>
                <c:pt idx="2">
                  <c:v> de 46 a 60 años</c:v>
                </c:pt>
                <c:pt idx="3">
                  <c:v> de 61 y más años</c:v>
                </c:pt>
              </c:strCache>
            </c:strRef>
          </c:cat>
          <c:val>
            <c:numRef>
              <c:f>'perfil-Edad 2015'!$L$3:$L$6</c:f>
              <c:numCache>
                <c:formatCode>0%</c:formatCode>
                <c:ptCount val="4"/>
                <c:pt idx="0">
                  <c:v>0.37526121555220571</c:v>
                </c:pt>
                <c:pt idx="1">
                  <c:v>0.36870310932825595</c:v>
                </c:pt>
                <c:pt idx="2">
                  <c:v>0.18031116518218343</c:v>
                </c:pt>
                <c:pt idx="3">
                  <c:v>7.5724509937354953E-2</c:v>
                </c:pt>
              </c:numCache>
            </c:numRef>
          </c:val>
          <c:extLst xmlns:c16r2="http://schemas.microsoft.com/office/drawing/2015/06/char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65322538444449918"/>
          <c:y val="0.41980244404933253"/>
          <c:w val="0.24561671497223986"/>
          <c:h val="0.221774616882567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47166455186478"/>
          <c:y val="0.26343230743315738"/>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6r2="http://schemas.microsoft.com/office/drawing/2015/06/char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6r2="http://schemas.microsoft.com/office/drawing/2015/06/char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6r2="http://schemas.microsoft.com/office/drawing/2015/06/char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6r2="http://schemas.microsoft.com/office/drawing/2015/06/char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6r2="http://schemas.microsoft.com/office/drawing/2015/06/char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xmlns:c16r2="http://schemas.microsoft.com/office/drawing/2015/06/char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xmlns:c16r2="http://schemas.microsoft.com/office/drawing/2015/06/char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xmlns:c16r2="http://schemas.microsoft.com/office/drawing/2015/06/char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xmlns:c16r2="http://schemas.microsoft.com/office/drawing/2015/06/char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xmlns:c16r2="http://schemas.microsoft.com/office/drawing/2015/06/char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xmlns:c16r2="http://schemas.microsoft.com/office/drawing/2015/06/char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A084-4192-AF47-A82E2C4F4933}"/>
                </c:ext>
                <c:ext xmlns:c15="http://schemas.microsoft.com/office/drawing/2012/chart" uri="{CE6537A1-D6FC-4f65-9D91-7224C49458BB}"/>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A084-4192-AF47-A82E2C4F4933}"/>
                </c:ext>
                <c:ext xmlns:c15="http://schemas.microsoft.com/office/drawing/2012/chart" uri="{CE6537A1-D6FC-4f65-9D91-7224C49458BB}"/>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dLbl>
            <c:dLbl>
              <c:idx val="6"/>
              <c:layout>
                <c:manualLayout>
                  <c:x val="-0.11898559037736177"/>
                  <c:y val="4.6790211829581888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A084-4192-AF47-A82E2C4F4933}"/>
                </c:ext>
                <c:ext xmlns:c15="http://schemas.microsoft.com/office/drawing/2012/chart" uri="{CE6537A1-D6FC-4f65-9D91-7224C49458BB}"/>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A084-4192-AF47-A82E2C4F4933}"/>
                </c:ext>
                <c:ext xmlns:c15="http://schemas.microsoft.com/office/drawing/2012/chart" uri="{CE6537A1-D6FC-4f65-9D91-7224C49458BB}"/>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xmlns:c16r2="http://schemas.microsoft.com/office/drawing/2015/06/char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6r2="http://schemas.microsoft.com/office/drawing/2015/06/char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6r2="http://schemas.microsoft.com/office/drawing/2015/06/char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6r2="http://schemas.microsoft.com/office/drawing/2015/06/char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6r2="http://schemas.microsoft.com/office/drawing/2015/06/char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6r2="http://schemas.microsoft.com/office/drawing/2015/06/char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2011-4D6D-988B-BD83DE92A51C}"/>
                </c:ext>
                <c:ext xmlns:c15="http://schemas.microsoft.com/office/drawing/2012/chart" uri="{CE6537A1-D6FC-4f65-9D91-7224C49458BB}"/>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2011-4D6D-988B-BD83DE92A51C}"/>
                </c:ext>
                <c:ext xmlns:c15="http://schemas.microsoft.com/office/drawing/2012/chart" uri="{CE6537A1-D6FC-4f65-9D91-7224C49458BB}"/>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2011-4D6D-988B-BD83DE92A51C}"/>
                </c:ext>
                <c:ext xmlns:c15="http://schemas.microsoft.com/office/drawing/2012/chart" uri="{CE6537A1-D6FC-4f65-9D91-7224C49458BB}"/>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2011-4D6D-988B-BD83DE92A51C}"/>
                </c:ext>
                <c:ext xmlns:c15="http://schemas.microsoft.com/office/drawing/2012/chart" uri="{CE6537A1-D6FC-4f65-9D91-7224C49458BB}"/>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2011-4D6D-988B-BD83DE92A51C}"/>
                </c:ext>
                <c:ext xmlns:c15="http://schemas.microsoft.com/office/drawing/2012/chart" uri="{CE6537A1-D6FC-4f65-9D91-7224C49458BB}"/>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xmlns:c16r2="http://schemas.microsoft.com/office/drawing/2015/06/char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pattFill prst="ltUpDiag">
                <a:fgClr>
                  <a:schemeClr val="accent1"/>
                </a:fgClr>
                <a:bgClr>
                  <a:schemeClr val="accent1">
                    <a:lumMod val="20000"/>
                    <a:lumOff val="80000"/>
                  </a:schemeClr>
                </a:bgClr>
              </a:pattFill>
              <a:ln w="19050">
                <a:solidFill>
                  <a:schemeClr val="lt1"/>
                </a:solidFill>
              </a:ln>
              <a:effectLst>
                <a:innerShdw blurRad="114300">
                  <a:scrgbClr r="0" g="0" b="0"/>
                </a:innerShdw>
              </a:effectLst>
              <a:sp3d contourW="19050">
                <a:contourClr>
                  <a:schemeClr val="lt1"/>
                </a:contourClr>
              </a:sp3d>
            </c:spPr>
            <c:extLst xmlns:c16r2="http://schemas.microsoft.com/office/drawing/2015/06/chart">
              <c:ext xmlns:c16="http://schemas.microsoft.com/office/drawing/2014/chart" uri="{C3380CC4-5D6E-409C-BE32-E72D297353CC}">
                <c16:uniqueId val="{00000001-1899-4898-AE54-A32699286776}"/>
              </c:ext>
            </c:extLst>
          </c:dPt>
          <c:dPt>
            <c:idx val="1"/>
            <c:bubble3D val="0"/>
            <c:spPr>
              <a:pattFill prst="ltUpDiag">
                <a:fgClr>
                  <a:schemeClr val="accent3"/>
                </a:fgClr>
                <a:bgClr>
                  <a:schemeClr val="accent3">
                    <a:lumMod val="20000"/>
                    <a:lumOff val="80000"/>
                  </a:schemeClr>
                </a:bgClr>
              </a:pattFill>
              <a:ln w="19050">
                <a:solidFill>
                  <a:schemeClr val="lt1"/>
                </a:solidFill>
              </a:ln>
              <a:effectLst>
                <a:innerShdw blurRad="114300">
                  <a:scrgbClr r="0" g="0" b="0"/>
                </a:innerShdw>
              </a:effectLst>
              <a:sp3d contourW="19050">
                <a:contourClr>
                  <a:schemeClr val="lt1"/>
                </a:contourClr>
              </a:sp3d>
            </c:spPr>
            <c:extLst xmlns:c16r2="http://schemas.microsoft.com/office/drawing/2015/06/chart">
              <c:ext xmlns:c16="http://schemas.microsoft.com/office/drawing/2014/chart" uri="{C3380CC4-5D6E-409C-BE32-E72D297353CC}">
                <c16:uniqueId val="{00000003-1899-4898-AE54-A3269928677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'perfil-Razon llegada 2015'!$C$7:$C$8</c:f>
              <c:strCache>
                <c:ptCount val="2"/>
                <c:pt idx="0">
                  <c:v>Paso obligado por ser puerto de entrada</c:v>
                </c:pt>
                <c:pt idx="1">
                  <c:v>Destino escogido</c:v>
                </c:pt>
              </c:strCache>
            </c:strRef>
          </c:cat>
          <c:val>
            <c:numRef>
              <c:f>'perfil-Razon llegada 2015'!$L$7:$L$8</c:f>
              <c:numCache>
                <c:formatCode>0%</c:formatCode>
                <c:ptCount val="2"/>
                <c:pt idx="0">
                  <c:v>0.12514364642127582</c:v>
                </c:pt>
                <c:pt idx="1">
                  <c:v>0.87485635357872427</c:v>
                </c:pt>
              </c:numCache>
            </c:numRef>
          </c:val>
          <c:extLst xmlns:c16r2="http://schemas.microsoft.com/office/drawing/2015/06/char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¿CÓMO SE ENTERA SOBRE QUITO?</a:t>
            </a:r>
            <a:endParaRPr lang="es-EC">
              <a:effectLst/>
            </a:endParaRP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6r2="http://schemas.microsoft.com/office/drawing/2015/06/chart">
              <c:ext xmlns:c16="http://schemas.microsoft.com/office/drawing/2014/chart" uri="{C3380CC4-5D6E-409C-BE32-E72D297353CC}">
                <c16:uniqueId val="{00000001-2920-428F-8346-7173486B45CF}"/>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6r2="http://schemas.microsoft.com/office/drawing/2015/06/chart">
              <c:ext xmlns:c16="http://schemas.microsoft.com/office/drawing/2014/chart" uri="{C3380CC4-5D6E-409C-BE32-E72D297353CC}">
                <c16:uniqueId val="{00000003-2920-428F-8346-7173486B45CF}"/>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6r2="http://schemas.microsoft.com/office/drawing/2015/06/chart">
              <c:ext xmlns:c16="http://schemas.microsoft.com/office/drawing/2014/chart" uri="{C3380CC4-5D6E-409C-BE32-E72D297353CC}">
                <c16:uniqueId val="{00000005-2920-428F-8346-7173486B45CF}"/>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6r2="http://schemas.microsoft.com/office/drawing/2015/06/chart">
              <c:ext xmlns:c16="http://schemas.microsoft.com/office/drawing/2014/chart" uri="{C3380CC4-5D6E-409C-BE32-E72D297353CC}">
                <c16:uniqueId val="{00000007-2920-428F-8346-7173486B45CF}"/>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9-2920-428F-8346-7173486B45CF}"/>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B-2920-428F-8346-7173486B45CF}"/>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6r2="http://schemas.microsoft.com/office/drawing/2015/06/chart">
              <c:ext xmlns:c16="http://schemas.microsoft.com/office/drawing/2014/chart" uri="{C3380CC4-5D6E-409C-BE32-E72D297353CC}">
                <c16:uniqueId val="{0000000D-2920-428F-8346-7173486B45CF}"/>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xmlns:c16r2="http://schemas.microsoft.com/office/drawing/2015/06/chart">
              <c:ext xmlns:c16="http://schemas.microsoft.com/office/drawing/2014/chart" uri="{C3380CC4-5D6E-409C-BE32-E72D297353CC}">
                <c16:uniqueId val="{0000000F-2920-428F-8346-7173486B45CF}"/>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xmlns:c16r2="http://schemas.microsoft.com/office/drawing/2015/06/char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2920-428F-8346-7173486B45CF}"/>
                </c:ext>
                <c:ext xmlns:c15="http://schemas.microsoft.com/office/drawing/2012/chart" uri="{CE6537A1-D6FC-4f65-9D91-7224C49458BB}"/>
              </c:extLst>
            </c:dLbl>
            <c:dLbl>
              <c:idx val="1"/>
              <c:layout>
                <c:manualLayout>
                  <c:x val="4.1343919753763232E-2"/>
                  <c:y val="-4.0341090696996318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2920-428F-8346-7173486B45CF}"/>
                </c:ext>
                <c:ext xmlns:c15="http://schemas.microsoft.com/office/drawing/2012/chart" uri="{CE6537A1-D6FC-4f65-9D91-7224C49458BB}"/>
              </c:extLst>
            </c:dLbl>
            <c:dLbl>
              <c:idx val="2"/>
              <c:layout>
                <c:manualLayout>
                  <c:x val="3.4544337946614677E-2"/>
                  <c:y val="-3.733426655001458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2920-428F-8346-7173486B45CF}"/>
                </c:ext>
                <c:ext xmlns:c15="http://schemas.microsoft.com/office/drawing/2012/chart" uri="{CE6537A1-D6FC-4f65-9D91-7224C49458BB}"/>
              </c:extLst>
            </c:dLbl>
            <c:dLbl>
              <c:idx val="3"/>
              <c:layout>
                <c:manualLayout>
                  <c:x val="4.7060879228536474E-2"/>
                  <c:y val="-4.4026829979585888E-3"/>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2920-428F-8346-7173486B45CF}"/>
                </c:ext>
                <c:ext xmlns:c15="http://schemas.microsoft.com/office/drawing/2012/chart" uri="{CE6537A1-D6FC-4f65-9D91-7224C49458BB}"/>
              </c:extLst>
            </c:dLbl>
            <c:dLbl>
              <c:idx val="4"/>
              <c:layout>
                <c:manualLayout>
                  <c:x val="0.18968642847220699"/>
                  <c:y val="-0.15947856517935258"/>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2920-428F-8346-7173486B45CF}"/>
                </c:ext>
                <c:ext xmlns:c15="http://schemas.microsoft.com/office/drawing/2012/chart" uri="{CE6537A1-D6FC-4f65-9D91-7224C49458BB}"/>
              </c:extLst>
            </c:dLbl>
            <c:dLbl>
              <c:idx val="5"/>
              <c:layout>
                <c:manualLayout>
                  <c:x val="-4.492634103188356E-2"/>
                  <c:y val="7.749384660250802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2920-428F-8346-7173486B45CF}"/>
                </c:ext>
                <c:ext xmlns:c15="http://schemas.microsoft.com/office/drawing/2012/chart" uri="{CE6537A1-D6FC-4f65-9D91-7224C49458BB}"/>
              </c:extLst>
            </c:dLbl>
            <c:dLbl>
              <c:idx val="6"/>
              <c:layout>
                <c:manualLayout>
                  <c:x val="-4.3699105856893246E-2"/>
                  <c:y val="1.1717002041411489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2920-428F-8346-7173486B45CF}"/>
                </c:ext>
                <c:ext xmlns:c15="http://schemas.microsoft.com/office/drawing/2012/chart" uri="{CE6537A1-D6FC-4f65-9D91-7224C49458BB}"/>
              </c:extLst>
            </c:dLbl>
            <c:dLbl>
              <c:idx val="7"/>
              <c:layout>
                <c:manualLayout>
                  <c:x val="-2.1823525541201584E-3"/>
                  <c:y val="-7.165517643627882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2920-428F-8346-7173486B45CF}"/>
                </c:ext>
                <c:ext xmlns:c15="http://schemas.microsoft.com/office/drawing/2012/chart" uri="{CE6537A1-D6FC-4f65-9D91-7224C49458BB}"/>
              </c:extLst>
            </c:dLbl>
            <c:dLbl>
              <c:idx val="8"/>
              <c:layout>
                <c:manualLayout>
                  <c:x val="6.1675549609223605E-2"/>
                  <c:y val="-4.2031379410906997E-2"/>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1-2920-428F-8346-7173486B45CF}"/>
                </c:ext>
                <c:ext xmlns:c15="http://schemas.microsoft.com/office/drawing/2012/chart" uri="{CE6537A1-D6FC-4f65-9D91-7224C49458BB}"/>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'perfil-Medio Info-2015'!$C$21:$C$29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Info-2015'!$M$21:$M$29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xmlns:c16r2="http://schemas.microsoft.com/office/drawing/2015/06/char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047734390946146E-2"/>
          <c:y val="0.42921474494153133"/>
          <c:w val="0.76176267440254197"/>
          <c:h val="0.5624631037199872"/>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1-1B1B-42B8-8E90-46E40B0B1F84}"/>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3-1B1B-42B8-8E90-46E40B0B1F84}"/>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1B1B-42B8-8E90-46E40B0B1F84}"/>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dLblPos val="inEnd"/>
            <c:showLegendKey val="0"/>
            <c:showVal val="1"/>
            <c:showCatName val="1"/>
            <c:showSerName val="0"/>
            <c:showPercent val="0"/>
            <c:showBubbleSize val="0"/>
            <c:showLeaderLines val="0"/>
            <c:extLst xmlns:c16r2="http://schemas.microsoft.com/office/drawing/2015/06/chart">
              <c:ext xmlns:c15="http://schemas.microsoft.com/office/drawing/2012/chart" uri="{CE6537A1-D6FC-4f65-9D91-7224C49458BB}"/>
            </c:extLst>
          </c:dLbls>
          <c:cat>
            <c:strRef>
              <c:f>'perfil-viaja con 2015'!$C$3:$C$5</c:f>
              <c:strCache>
                <c:ptCount val="3"/>
                <c:pt idx="0">
                  <c:v>Solo</c:v>
                </c:pt>
                <c:pt idx="1">
                  <c:v>Con Familia</c:v>
                </c:pt>
                <c:pt idx="2">
                  <c:v>Con amigos</c:v>
                </c:pt>
              </c:strCache>
            </c:strRef>
          </c:cat>
          <c:val>
            <c:numRef>
              <c:f>'perfil-viaja con 2015'!$L$3:$L$5</c:f>
              <c:numCache>
                <c:formatCode>0%</c:formatCode>
                <c:ptCount val="3"/>
                <c:pt idx="0">
                  <c:v>0.57373568740068503</c:v>
                </c:pt>
                <c:pt idx="1">
                  <c:v>0.23574623374525358</c:v>
                </c:pt>
                <c:pt idx="2">
                  <c:v>0.19051807885406136</c:v>
                </c:pt>
              </c:numCache>
            </c:numRef>
          </c:val>
          <c:extLst xmlns:c16r2="http://schemas.microsoft.com/office/drawing/2015/06/char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s-EC" sz="1600" b="1" i="0" u="none" strike="noStrike" cap="none" normalizeH="0" baseline="0">
                <a:effectLst/>
              </a:rPr>
              <a:t>Llegadas de Turistas al DMQ (mensual)</a:t>
            </a:r>
            <a:endParaRPr lang="es-EC"/>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EC"/>
        </a:p>
      </c:txPr>
    </c:title>
    <c:autoTitleDeleted val="0"/>
    <c:plotArea>
      <c:layout>
        <c:manualLayout>
          <c:layoutTarget val="inner"/>
          <c:xMode val="edge"/>
          <c:yMode val="edge"/>
          <c:x val="3.724707298712248E-2"/>
          <c:y val="5.8847470716551165E-2"/>
          <c:w val="0.94568626177963155"/>
          <c:h val="0.832250329696679"/>
        </c:manualLayout>
      </c:layout>
      <c:lineChart>
        <c:grouping val="standard"/>
        <c:varyColors val="0"/>
        <c:ser>
          <c:idx val="8"/>
          <c:order val="8"/>
          <c:tx>
            <c:strRef>
              <c:f>'Llegadas '!$J$3</c:f>
              <c:strCache>
                <c:ptCount val="1"/>
                <c:pt idx="0">
                  <c:v>2015</c:v>
                </c:pt>
              </c:strCache>
              <c:extLst xmlns:c15="http://schemas.microsoft.com/office/drawing/2012/chart" xmlns:c16r2="http://schemas.microsoft.com/office/drawing/2015/06/chart"/>
            </c:strRef>
          </c:tx>
          <c:spPr>
            <a:ln w="22225" cap="rnd">
              <a:solidFill>
                <a:schemeClr val="accent6">
                  <a:lumMod val="80000"/>
                  <a:lumOff val="20000"/>
                </a:schemeClr>
              </a:solidFill>
              <a:prstDash val="sysDot"/>
              <a:round/>
            </a:ln>
            <a:effectLst/>
          </c:spPr>
          <c:marker>
            <c:symbol val="none"/>
          </c:marker>
          <c:dLbls>
            <c:dLbl>
              <c:idx val="1"/>
              <c:layout>
                <c:manualLayout>
                  <c:x val="1.9294848187336738E-17"/>
                  <c:y val="-3.158620970955112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999-40E5-A884-CFC3FEBED263}"/>
                </c:ext>
                <c:ext xmlns:c15="http://schemas.microsoft.com/office/drawing/2012/chart" uri="{CE6537A1-D6FC-4f65-9D91-7224C49458BB}"/>
              </c:extLst>
            </c:dLbl>
            <c:dLbl>
              <c:idx val="5"/>
              <c:layout>
                <c:manualLayout>
                  <c:x val="-3.157375268138652E-2"/>
                  <c:y val="-3.790345165146134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999-40E5-A884-CFC3FEBED263}"/>
                </c:ext>
                <c:ext xmlns:c15="http://schemas.microsoft.com/office/drawing/2012/chart" uri="{CE6537A1-D6FC-4f65-9D91-7224C49458BB}"/>
              </c:extLst>
            </c:dLbl>
            <c:dLbl>
              <c:idx val="6"/>
              <c:layout>
                <c:manualLayout>
                  <c:x val="-7.7179392749346954E-17"/>
                  <c:y val="-2.211034679668578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999-40E5-A884-CFC3FEBED263}"/>
                </c:ext>
                <c:ext xmlns:c15="http://schemas.microsoft.com/office/drawing/2012/chart" uri="{CE6537A1-D6FC-4f65-9D91-7224C49458BB}"/>
              </c:extLst>
            </c:dLbl>
            <c:dLbl>
              <c:idx val="7"/>
              <c:layout>
                <c:manualLayout>
                  <c:x val="5.262292113564407E-3"/>
                  <c:y val="-3.158620970955117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999-40E5-A884-CFC3FEBED263}"/>
                </c:ext>
                <c:ext xmlns:c15="http://schemas.microsoft.com/office/drawing/2012/chart" uri="{CE6537A1-D6FC-4f65-9D91-7224C49458BB}"/>
              </c:extLst>
            </c:dLbl>
            <c:dLbl>
              <c:idx val="9"/>
              <c:layout>
                <c:manualLayout>
                  <c:x val="-1.2629501072554578E-2"/>
                  <c:y val="-4.737931456432668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999-40E5-A884-CFC3FEBED263}"/>
                </c:ext>
                <c:ext xmlns:c15="http://schemas.microsoft.com/office/drawing/2012/chart" uri="{CE6537A1-D6FC-4f65-9D91-7224C49458BB}"/>
              </c:extLst>
            </c:dLbl>
            <c:dLbl>
              <c:idx val="11"/>
              <c:layout>
                <c:manualLayout>
                  <c:x val="-3.1573752681386446E-3"/>
                  <c:y val="-4.106207262241649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999-40E5-A884-CFC3FEBED263}"/>
                </c:ext>
                <c:ext xmlns:c15="http://schemas.microsoft.com/office/drawing/2012/chart" uri="{CE6537A1-D6FC-4f65-9D91-7224C49458BB}"/>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xmlns:c16r2="http://schemas.microsoft.com/office/drawing/2015/06/chart"/>
            </c:strRef>
          </c:cat>
          <c:val>
            <c:numRef>
              <c:f>'Llegadas '!$J$4:$J$15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extLst xmlns:c15="http://schemas.microsoft.com/office/drawing/2012/chart" xmlns:c16r2="http://schemas.microsoft.com/office/drawing/2015/06/chart"/>
            </c:numRef>
          </c:val>
          <c:smooth val="0"/>
          <c:extLst xmlns:c16r2="http://schemas.microsoft.com/office/drawing/2015/06/chart">
            <c:ext xmlns:c16="http://schemas.microsoft.com/office/drawing/2014/chart" uri="{C3380CC4-5D6E-409C-BE32-E72D297353CC}">
              <c16:uniqueId val="{00000006-1999-40E5-A884-CFC3FEBED263}"/>
            </c:ext>
          </c:extLst>
        </c:ser>
        <c:ser>
          <c:idx val="9"/>
          <c:order val="9"/>
          <c:tx>
            <c:strRef>
              <c:f>'Llegadas '!$K$3</c:f>
              <c:strCache>
                <c:ptCount val="1"/>
                <c:pt idx="0">
                  <c:v>2016</c:v>
                </c:pt>
              </c:strCache>
            </c:strRef>
          </c:tx>
          <c:spPr>
            <a:ln w="22225" cap="rnd">
              <a:solidFill>
                <a:schemeClr val="accent2">
                  <a:lumMod val="80000"/>
                </a:schemeClr>
              </a:solidFill>
              <a:round/>
            </a:ln>
            <a:effectLst/>
          </c:spPr>
          <c:marker>
            <c:symbol val="none"/>
          </c:marker>
          <c:dLbls>
            <c:dLbl>
              <c:idx val="2"/>
              <c:layout>
                <c:manualLayout>
                  <c:x val="0"/>
                  <c:y val="-1.579310485477550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999-40E5-A884-CFC3FEBED263}"/>
                </c:ext>
                <c:ext xmlns:c15="http://schemas.microsoft.com/office/drawing/2012/chart" uri="{CE6537A1-D6FC-4f65-9D91-7224C49458BB}"/>
              </c:extLst>
            </c:dLbl>
            <c:dLbl>
              <c:idx val="4"/>
              <c:layout>
                <c:manualLayout>
                  <c:x val="-2.1049168454257629E-3"/>
                  <c:y val="5.369655650623690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999-40E5-A884-CFC3FEBED263}"/>
                </c:ext>
                <c:ext xmlns:c15="http://schemas.microsoft.com/office/drawing/2012/chart" uri="{CE6537A1-D6FC-4f65-9D91-7224C49458BB}"/>
              </c:extLst>
            </c:dLbl>
            <c:dLbl>
              <c:idx val="9"/>
              <c:layout>
                <c:manualLayout>
                  <c:x val="-6.3147505362772891E-3"/>
                  <c:y val="5.053793553528167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1999-40E5-A884-CFC3FEBED263}"/>
                </c:ext>
                <c:ext xmlns:c15="http://schemas.microsoft.com/office/drawing/2012/chart" uri="{CE6537A1-D6FC-4f65-9D91-7224C49458BB}"/>
              </c:extLst>
            </c:dLbl>
            <c:dLbl>
              <c:idx val="11"/>
              <c:layout>
                <c:manualLayout>
                  <c:x val="-1.5435878549869391E-16"/>
                  <c:y val="1.895172582573067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1999-40E5-A884-CFC3FEBED263}"/>
                </c:ext>
                <c:ext xmlns:c15="http://schemas.microsoft.com/office/drawing/2012/chart" uri="{CE6537A1-D6FC-4f65-9D91-7224C49458BB}"/>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xmlns:c16r2="http://schemas.microsoft.com/office/drawing/2015/06/chart">
            <c:ext xmlns:c16="http://schemas.microsoft.com/office/drawing/2014/chart" uri="{C3380CC4-5D6E-409C-BE32-E72D297353CC}">
              <c16:uniqueId val="{0000000B-1999-40E5-A884-CFC3FEBED263}"/>
            </c:ext>
          </c:extLst>
        </c:ser>
        <c:ser>
          <c:idx val="10"/>
          <c:order val="10"/>
          <c:tx>
            <c:strRef>
              <c:f>'Llegadas '!$L$3</c:f>
              <c:strCache>
                <c:ptCount val="1"/>
                <c:pt idx="0">
                  <c:v>2017</c:v>
                </c:pt>
              </c:strCache>
              <c:extLst xmlns:c15="http://schemas.microsoft.com/office/drawing/2012/chart" xmlns:c16r2="http://schemas.microsoft.com/office/drawing/2015/06/chart"/>
            </c:strRef>
          </c:tx>
          <c:spPr>
            <a:ln w="22225" cap="rnd">
              <a:solidFill>
                <a:schemeClr val="accent4">
                  <a:lumMod val="80000"/>
                </a:schemeClr>
              </a:solidFill>
              <a:round/>
            </a:ln>
            <a:effectLst/>
          </c:spPr>
          <c:marker>
            <c:symbol val="circle"/>
            <c:size val="6"/>
            <c:spPr>
              <a:solidFill>
                <a:schemeClr val="lt1"/>
              </a:solidFill>
              <a:ln w="15875">
                <a:solidFill>
                  <a:schemeClr val="accent4">
                    <a:lumMod val="80000"/>
                  </a:schemeClr>
                </a:solidFill>
                <a:round/>
              </a:ln>
              <a:effectLst/>
            </c:spPr>
          </c:marker>
          <c:dLbls>
            <c:dLbl>
              <c:idx val="0"/>
              <c:layout>
                <c:manualLayout>
                  <c:x val="-1.9294848187336738E-17"/>
                  <c:y val="2.211034679668578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1999-40E5-A884-CFC3FEBED263}"/>
                </c:ext>
                <c:ext xmlns:c15="http://schemas.microsoft.com/office/drawing/2012/chart" uri="{CE6537A1-D6FC-4f65-9D91-7224C49458BB}"/>
              </c:extLst>
            </c:dLbl>
            <c:dLbl>
              <c:idx val="2"/>
              <c:layout>
                <c:manualLayout>
                  <c:x val="-6.3147505362772891E-3"/>
                  <c:y val="4.737931456432668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1999-40E5-A884-CFC3FEBED263}"/>
                </c:ext>
                <c:ext xmlns:c15="http://schemas.microsoft.com/office/drawing/2012/chart" uri="{CE6537A1-D6FC-4f65-9D91-7224C49458BB}"/>
              </c:extLst>
            </c:dLbl>
            <c:dLbl>
              <c:idx val="3"/>
              <c:layout>
                <c:manualLayout>
                  <c:x val="-2.1049168454258015E-3"/>
                  <c:y val="1.263448388382033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1999-40E5-A884-CFC3FEBED263}"/>
                </c:ext>
                <c:ext xmlns:c15="http://schemas.microsoft.com/office/drawing/2012/chart" uri="{CE6537A1-D6FC-4f65-9D91-7224C49458BB}"/>
              </c:extLst>
            </c:dLbl>
            <c:dLbl>
              <c:idx val="4"/>
              <c:layout>
                <c:manualLayout>
                  <c:x val="-3.1573752681386446E-3"/>
                  <c:y val="-3.158620970955124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999-40E5-A884-CFC3FEBED263}"/>
                </c:ext>
                <c:ext xmlns:c15="http://schemas.microsoft.com/office/drawing/2012/chart" uri="{CE6537A1-D6FC-4f65-9D91-7224C49458BB}"/>
              </c:extLst>
            </c:dLbl>
            <c:dLbl>
              <c:idx val="7"/>
              <c:spPr>
                <a:solidFill>
                  <a:schemeClr val="accent5"/>
                </a:solidFill>
                <a:ln w="38100" cap="flat" cmpd="sng" algn="ctr">
                  <a:solidFill>
                    <a:schemeClr val="lt1"/>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1"/>
              <c:showCatName val="0"/>
              <c:showSerName val="0"/>
              <c:showPercent val="0"/>
              <c:showBubbleSize val="0"/>
            </c:dLbl>
            <c:dLbl>
              <c:idx val="8"/>
              <c:spPr>
                <a:solidFill>
                  <a:schemeClr val="accent5"/>
                </a:solidFill>
                <a:ln w="38100" cap="flat" cmpd="sng" algn="ctr">
                  <a:solidFill>
                    <a:schemeClr val="lt1"/>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1"/>
              <c:showCatName val="0"/>
              <c:showSerName val="0"/>
              <c:showPercent val="0"/>
              <c:showBubbleSize val="0"/>
            </c:dLbl>
            <c:dLbl>
              <c:idx val="9"/>
              <c:spPr>
                <a:solidFill>
                  <a:schemeClr val="accent5"/>
                </a:solidFill>
                <a:ln w="38100" cap="flat" cmpd="sng" algn="ctr">
                  <a:solidFill>
                    <a:schemeClr val="lt1"/>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1"/>
              <c:showCatName val="0"/>
              <c:showSerName val="0"/>
              <c:showPercent val="0"/>
              <c:showBubbleSize val="0"/>
            </c:dLbl>
            <c:dLbl>
              <c:idx val="10"/>
              <c:layout>
                <c:manualLayout>
                  <c:x val="-1.0524584227128814E-3"/>
                  <c:y val="-3.4744830680506232E-2"/>
                </c:manualLayout>
              </c:layout>
              <c:spPr>
                <a:solidFill>
                  <a:schemeClr val="accent5"/>
                </a:solidFill>
                <a:ln w="38100" cap="flat" cmpd="sng" algn="ctr">
                  <a:solidFill>
                    <a:schemeClr val="lt1"/>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1999-40E5-A884-CFC3FEBED263}"/>
                </c:ext>
                <c:ext xmlns:c15="http://schemas.microsoft.com/office/drawing/2012/chart" uri="{CE6537A1-D6FC-4f65-9D91-7224C49458BB}"/>
              </c:extLst>
            </c:dLbl>
            <c:dLbl>
              <c:idx val="11"/>
              <c:spPr>
                <a:solidFill>
                  <a:schemeClr val="accent5"/>
                </a:solidFill>
                <a:ln w="38100" cap="flat" cmpd="sng" algn="ctr">
                  <a:solidFill>
                    <a:schemeClr val="lt1"/>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1"/>
              <c:showCatName val="0"/>
              <c:showSerName val="0"/>
              <c:showPercent val="0"/>
              <c:showBubbleSize val="0"/>
            </c:dLbl>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xmlns:c16r2="http://schemas.microsoft.com/office/drawing/2015/06/chart"/>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extLst xmlns:c15="http://schemas.microsoft.com/office/drawing/2012/chart" xmlns:c16r2="http://schemas.microsoft.com/office/drawing/2015/06/chart"/>
            </c:numRef>
          </c:val>
          <c:smooth val="0"/>
          <c:extLst xmlns:c16r2="http://schemas.microsoft.com/office/drawing/2015/06/chart">
            <c:ext xmlns:c16="http://schemas.microsoft.com/office/drawing/2014/chart" uri="{C3380CC4-5D6E-409C-BE32-E72D297353CC}">
              <c16:uniqueId val="{00000015-1999-40E5-A884-CFC3FEBED263}"/>
            </c:ext>
          </c:extLst>
        </c:ser>
        <c:ser>
          <c:idx val="11"/>
          <c:order val="11"/>
          <c:tx>
            <c:strRef>
              <c:f>'Llegadas '!$M$3</c:f>
              <c:strCache>
                <c:ptCount val="1"/>
                <c:pt idx="0">
                  <c:v>2018</c:v>
                </c:pt>
              </c:strCache>
            </c:strRef>
          </c:tx>
          <c:spPr>
            <a:ln w="22225" cap="rnd">
              <a:solidFill>
                <a:schemeClr val="tx1"/>
              </a:solidFill>
              <a:round/>
            </a:ln>
            <a:effectLst/>
          </c:spPr>
          <c:marker>
            <c:symbol val="none"/>
          </c:marker>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xmlns:c16r2="http://schemas.microsoft.com/office/drawing/2015/06/chart">
            <c:ext xmlns:c16="http://schemas.microsoft.com/office/drawing/2014/chart" uri="{C3380CC4-5D6E-409C-BE32-E72D297353CC}">
              <c16:uniqueId val="{00000016-1999-40E5-A884-CFC3FEBED263}"/>
            </c:ext>
          </c:extLst>
        </c:ser>
        <c:ser>
          <c:idx val="12"/>
          <c:order val="12"/>
          <c:tx>
            <c:strRef>
              <c:f>'Llegadas '!$N$3</c:f>
              <c:strCache>
                <c:ptCount val="1"/>
                <c:pt idx="0">
                  <c:v>2019 (e)</c:v>
                </c:pt>
              </c:strCache>
            </c:strRef>
          </c:tx>
          <c:spPr>
            <a:ln w="22225" cap="rnd">
              <a:solidFill>
                <a:srgbClr val="00B050"/>
              </a:solidFill>
              <a:round/>
            </a:ln>
            <a:effectLst/>
          </c:spPr>
          <c:marker>
            <c:symbol val="none"/>
          </c:marker>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'Llegadas '!$N$4:$N$15</c:f>
              <c:numCache>
                <c:formatCode>#,##0</c:formatCode>
                <c:ptCount val="12"/>
                <c:pt idx="0">
                  <c:v>52976</c:v>
                </c:pt>
                <c:pt idx="1">
                  <c:v>54669.68</c:v>
                </c:pt>
                <c:pt idx="2">
                  <c:v>60480.160000000003</c:v>
                </c:pt>
                <c:pt idx="3">
                  <c:v>47644</c:v>
                </c:pt>
                <c:pt idx="4">
                  <c:v>56077.84</c:v>
                </c:pt>
                <c:pt idx="5">
                  <c:v>73444.800000000003</c:v>
                </c:pt>
                <c:pt idx="6">
                  <c:v>75808.72</c:v>
                </c:pt>
                <c:pt idx="7">
                  <c:v>56550</c:v>
                </c:pt>
                <c:pt idx="8">
                  <c:v>52018.720000000001</c:v>
                </c:pt>
                <c:pt idx="9">
                  <c:v>55179.28</c:v>
                </c:pt>
                <c:pt idx="10">
                  <c:v>56908.800000000003</c:v>
                </c:pt>
                <c:pt idx="11">
                  <c:v>71091</c:v>
                </c:pt>
              </c:numCache>
            </c:numRef>
          </c:val>
          <c:smooth val="0"/>
          <c:extLst xmlns:c16r2="http://schemas.microsoft.com/office/drawing/2015/06/chart">
            <c:ext xmlns:c16="http://schemas.microsoft.com/office/drawing/2014/chart" uri="{C3380CC4-5D6E-409C-BE32-E72D297353CC}">
              <c16:uniqueId val="{00000017-1999-40E5-A884-CFC3FEBED263}"/>
            </c:ext>
          </c:extLst>
        </c:ser>
        <c:dLbls>
          <c:showLegendKey val="0"/>
          <c:showVal val="0"/>
          <c:showCatName val="0"/>
          <c:showSerName val="0"/>
          <c:showPercent val="0"/>
          <c:showBubbleSize val="0"/>
        </c:dLbls>
        <c:smooth val="0"/>
        <c:axId val="755364336"/>
        <c:axId val="755365424"/>
        <c:extLst xmlns:c16r2="http://schemas.microsoft.com/office/drawing/2015/06/chart">
          <c:ext xmlns:c15="http://schemas.microsoft.com/office/drawing/2012/chart" uri="{02D57815-91ED-43cb-92C2-25804820EDAC}">
            <c15:filteredLineSeries>
              <c15:ser>
                <c:idx val="0"/>
                <c:order val="0"/>
                <c:tx>
                  <c:strRef>
                    <c:extLst xmlns:c16r2="http://schemas.microsoft.com/office/drawing/2015/06/chart">
                      <c:ext uri="{02D57815-91ED-43cb-92C2-25804820EDAC}">
                        <c15:formulaRef>
                          <c15:sqref>'Llegadas '!$B$3</c15:sqref>
                        </c15:formulaRef>
                      </c:ext>
                    </c:extLst>
                    <c:strCache>
                      <c:ptCount val="1"/>
                      <c:pt idx="0">
                        <c:v>2007</c:v>
                      </c:pt>
                    </c:strCache>
                  </c:strRef>
                </c:tx>
                <c:spPr>
                  <a:ln w="22225" cap="rnd">
                    <a:solidFill>
                      <a:schemeClr val="accent2"/>
                    </a:solidFill>
                    <a:round/>
                  </a:ln>
                  <a:effectLst/>
                </c:spPr>
                <c:marker>
                  <c:symbol val="circle"/>
                  <c:size val="6"/>
                  <c:spPr>
                    <a:solidFill>
                      <a:schemeClr val="lt1"/>
                    </a:solidFill>
                    <a:ln w="15875">
                      <a:solidFill>
                        <a:schemeClr val="accent2"/>
                      </a:solidFill>
                      <a:round/>
                    </a:ln>
                    <a:effectLst/>
                  </c:spPr>
                </c:marker>
                <c:cat>
                  <c:strRef>
                    <c:extLst xmlns:c16r2="http://schemas.microsoft.com/office/drawing/2015/06/char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c:ext uri="{02D57815-91ED-43cb-92C2-25804820EDAC}">
                        <c15:formulaRef>
                          <c15:sqref>'Llegadas '!$B$4:$B$15</c15:sqref>
                        </c15:formulaRef>
                      </c:ext>
                    </c:extLst>
                    <c:numCache>
                      <c:formatCode>#,##0</c:formatCode>
                      <c:ptCount val="12"/>
                      <c:pt idx="0">
                        <c:v>29447</c:v>
                      </c:pt>
                      <c:pt idx="1">
                        <c:v>29249</c:v>
                      </c:pt>
                      <c:pt idx="2">
                        <c:v>32536</c:v>
                      </c:pt>
                      <c:pt idx="3">
                        <c:v>26929</c:v>
                      </c:pt>
                      <c:pt idx="4">
                        <c:v>28526</c:v>
                      </c:pt>
                      <c:pt idx="5">
                        <c:v>41105</c:v>
                      </c:pt>
                      <c:pt idx="6">
                        <c:v>49933</c:v>
                      </c:pt>
                      <c:pt idx="7">
                        <c:v>42244</c:v>
                      </c:pt>
                      <c:pt idx="8">
                        <c:v>31407</c:v>
                      </c:pt>
                      <c:pt idx="9">
                        <c:v>33891</c:v>
                      </c:pt>
                      <c:pt idx="10">
                        <c:v>35806</c:v>
                      </c:pt>
                      <c:pt idx="11">
                        <c:v>36780</c:v>
                      </c:pt>
                    </c:numCache>
                  </c:numRef>
                </c:val>
                <c:smooth val="0"/>
                <c:extLst xmlns:c16r2="http://schemas.microsoft.com/office/drawing/2015/06/chart">
                  <c:ext xmlns:c16="http://schemas.microsoft.com/office/drawing/2014/chart" uri="{C3380CC4-5D6E-409C-BE32-E72D297353CC}">
                    <c16:uniqueId val="{00000018-1999-40E5-A884-CFC3FEBED263}"/>
                  </c:ext>
                </c:extLst>
              </c15:ser>
            </c15:filteredLineSeries>
            <c15:filteredLin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'Llegadas '!$C$3</c15:sqref>
                        </c15:formulaRef>
                      </c:ext>
                    </c:extLst>
                    <c:strCache>
                      <c:ptCount val="1"/>
                      <c:pt idx="0">
                        <c:v>2008</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cat>
                  <c:strRef>
                    <c:extLst xmlns:c15="http://schemas.microsoft.com/office/drawing/2012/chart" xmlns:c16r2="http://schemas.microsoft.com/office/drawing/2015/06/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'Llegadas '!$C$4:$C$15</c15:sqref>
                        </c15:formulaRef>
                      </c:ext>
                    </c:extLst>
                    <c:numCache>
                      <c:formatCode>#,##0</c:formatCode>
                      <c:ptCount val="12"/>
                      <c:pt idx="0">
                        <c:v>34991</c:v>
                      </c:pt>
                      <c:pt idx="1">
                        <c:v>46490</c:v>
                      </c:pt>
                      <c:pt idx="2">
                        <c:v>36805</c:v>
                      </c:pt>
                      <c:pt idx="3">
                        <c:v>31105</c:v>
                      </c:pt>
                      <c:pt idx="4">
                        <c:v>35598</c:v>
                      </c:pt>
                      <c:pt idx="5">
                        <c:v>45584</c:v>
                      </c:pt>
                      <c:pt idx="6">
                        <c:v>50484</c:v>
                      </c:pt>
                      <c:pt idx="7">
                        <c:v>43576</c:v>
                      </c:pt>
                      <c:pt idx="8">
                        <c:v>34318</c:v>
                      </c:pt>
                      <c:pt idx="9">
                        <c:v>36977</c:v>
                      </c:pt>
                      <c:pt idx="10">
                        <c:v>38290</c:v>
                      </c:pt>
                      <c:pt idx="11">
                        <c:v>37281</c:v>
                      </c:pt>
                    </c:numCache>
                  </c:numRef>
                </c:val>
                <c:smooth val="0"/>
                <c:extLst xmlns:c15="http://schemas.microsoft.com/office/drawing/2012/chart" xmlns:c16r2="http://schemas.microsoft.com/office/drawing/2015/06/chart">
                  <c:ext xmlns:c16="http://schemas.microsoft.com/office/drawing/2014/chart" uri="{C3380CC4-5D6E-409C-BE32-E72D297353CC}">
                    <c16:uniqueId val="{00000019-1999-40E5-A884-CFC3FEBED263}"/>
                  </c:ext>
                </c:extLst>
              </c15:ser>
            </c15:filteredLineSeries>
            <c15:filteredLin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'Llegadas '!$D$3</c15:sqref>
                        </c15:formulaRef>
                      </c:ext>
                    </c:extLst>
                    <c:strCache>
                      <c:ptCount val="1"/>
                      <c:pt idx="0">
                        <c:v>2009</c:v>
                      </c:pt>
                    </c:strCache>
                  </c:strRef>
                </c:tx>
                <c:spPr>
                  <a:ln w="22225" cap="rnd">
                    <a:solidFill>
                      <a:schemeClr val="accent6"/>
                    </a:solidFill>
                    <a:round/>
                  </a:ln>
                  <a:effectLst/>
                </c:spPr>
                <c:marker>
                  <c:symbol val="circle"/>
                  <c:size val="6"/>
                  <c:spPr>
                    <a:solidFill>
                      <a:schemeClr val="lt1"/>
                    </a:solidFill>
                    <a:ln w="15875">
                      <a:solidFill>
                        <a:schemeClr val="accent6"/>
                      </a:solidFill>
                      <a:round/>
                    </a:ln>
                    <a:effectLst/>
                  </c:spPr>
                </c:marker>
                <c:cat>
                  <c:strRef>
                    <c:extLst xmlns:c15="http://schemas.microsoft.com/office/drawing/2012/chart" xmlns:c16r2="http://schemas.microsoft.com/office/drawing/2015/06/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'Llegadas '!$D$4:$D$15</c15:sqref>
                        </c15:formulaRef>
                      </c:ext>
                    </c:extLst>
                    <c:numCache>
                      <c:formatCode>#,##0</c:formatCode>
                      <c:ptCount val="12"/>
                      <c:pt idx="0">
                        <c:v>35904</c:v>
                      </c:pt>
                      <c:pt idx="1">
                        <c:v>32995</c:v>
                      </c:pt>
                      <c:pt idx="2">
                        <c:v>34242</c:v>
                      </c:pt>
                      <c:pt idx="3">
                        <c:v>33161</c:v>
                      </c:pt>
                      <c:pt idx="4">
                        <c:v>32773</c:v>
                      </c:pt>
                      <c:pt idx="5">
                        <c:v>46796</c:v>
                      </c:pt>
                      <c:pt idx="6">
                        <c:v>50069</c:v>
                      </c:pt>
                      <c:pt idx="7">
                        <c:v>44378</c:v>
                      </c:pt>
                      <c:pt idx="8">
                        <c:v>33494</c:v>
                      </c:pt>
                      <c:pt idx="9">
                        <c:v>35959</c:v>
                      </c:pt>
                      <c:pt idx="10">
                        <c:v>38401</c:v>
                      </c:pt>
                      <c:pt idx="11">
                        <c:v>43693</c:v>
                      </c:pt>
                    </c:numCache>
                  </c:numRef>
                </c:val>
                <c:smooth val="0"/>
                <c:extLst xmlns:c15="http://schemas.microsoft.com/office/drawing/2012/chart" xmlns:c16r2="http://schemas.microsoft.com/office/drawing/2015/06/chart">
                  <c:ext xmlns:c16="http://schemas.microsoft.com/office/drawing/2014/chart" uri="{C3380CC4-5D6E-409C-BE32-E72D297353CC}">
                    <c16:uniqueId val="{0000001A-1999-40E5-A884-CFC3FEBED263}"/>
                  </c:ext>
                </c:extLst>
              </c15:ser>
            </c15:filteredLineSeries>
            <c15:filteredLin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'Llegadas '!$E$3</c15:sqref>
                        </c15:formulaRef>
                      </c:ext>
                    </c:extLst>
                    <c:strCache>
                      <c:ptCount val="1"/>
                      <c:pt idx="0">
                        <c:v>2010</c:v>
                      </c:pt>
                    </c:strCache>
                  </c:strRef>
                </c:tx>
                <c:spPr>
                  <a:ln w="22225" cap="rnd">
                    <a:solidFill>
                      <a:schemeClr val="accent2">
                        <a:lumMod val="60000"/>
                      </a:schemeClr>
                    </a:solidFill>
                    <a:round/>
                  </a:ln>
                  <a:effectLst/>
                </c:spPr>
                <c:marker>
                  <c:symbol val="circle"/>
                  <c:size val="6"/>
                  <c:spPr>
                    <a:solidFill>
                      <a:schemeClr val="lt1"/>
                    </a:solidFill>
                    <a:ln w="15875">
                      <a:solidFill>
                        <a:schemeClr val="accent2">
                          <a:lumMod val="60000"/>
                        </a:schemeClr>
                      </a:solidFill>
                      <a:round/>
                    </a:ln>
                    <a:effectLst/>
                  </c:spPr>
                </c:marker>
                <c:cat>
                  <c:strRef>
                    <c:extLst xmlns:c15="http://schemas.microsoft.com/office/drawing/2012/chart" xmlns:c16r2="http://schemas.microsoft.com/office/drawing/2015/06/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'Llegadas '!$E$4:$E$15</c15:sqref>
                        </c15:formulaRef>
                      </c:ext>
                    </c:extLst>
                    <c:numCache>
                      <c:formatCode>#,##0</c:formatCode>
                      <c:ptCount val="12"/>
                      <c:pt idx="0">
                        <c:v>38603</c:v>
                      </c:pt>
                      <c:pt idx="1">
                        <c:v>39843</c:v>
                      </c:pt>
                      <c:pt idx="2">
                        <c:v>38029</c:v>
                      </c:pt>
                      <c:pt idx="3">
                        <c:v>31598</c:v>
                      </c:pt>
                      <c:pt idx="4">
                        <c:v>37116</c:v>
                      </c:pt>
                      <c:pt idx="5">
                        <c:v>46093</c:v>
                      </c:pt>
                      <c:pt idx="6">
                        <c:v>49766</c:v>
                      </c:pt>
                      <c:pt idx="7">
                        <c:v>42481</c:v>
                      </c:pt>
                      <c:pt idx="8">
                        <c:v>33003</c:v>
                      </c:pt>
                      <c:pt idx="9">
                        <c:v>38298</c:v>
                      </c:pt>
                      <c:pt idx="10">
                        <c:v>38171</c:v>
                      </c:pt>
                      <c:pt idx="11">
                        <c:v>41220</c:v>
                      </c:pt>
                    </c:numCache>
                  </c:numRef>
                </c:val>
                <c:smooth val="0"/>
                <c:extLst xmlns:c15="http://schemas.microsoft.com/office/drawing/2012/chart" xmlns:c16r2="http://schemas.microsoft.com/office/drawing/2015/06/chart">
                  <c:ext xmlns:c16="http://schemas.microsoft.com/office/drawing/2014/chart" uri="{C3380CC4-5D6E-409C-BE32-E72D297353CC}">
                    <c16:uniqueId val="{0000001B-1999-40E5-A884-CFC3FEBED263}"/>
                  </c:ext>
                </c:extLst>
              </c15:ser>
            </c15:filteredLineSeries>
            <c15:filteredLin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'Llegadas '!$F$3</c15:sqref>
                        </c15:formulaRef>
                      </c:ext>
                    </c:extLst>
                    <c:strCache>
                      <c:ptCount val="1"/>
                      <c:pt idx="0">
                        <c:v>2011</c:v>
                      </c:pt>
                    </c:strCache>
                  </c:strRef>
                </c:tx>
                <c:spPr>
                  <a:ln w="22225" cap="rnd">
                    <a:solidFill>
                      <a:schemeClr val="accent4">
                        <a:lumMod val="60000"/>
                      </a:schemeClr>
                    </a:solidFill>
                    <a:round/>
                  </a:ln>
                  <a:effectLst/>
                </c:spPr>
                <c:marker>
                  <c:symbol val="circle"/>
                  <c:size val="6"/>
                  <c:spPr>
                    <a:solidFill>
                      <a:schemeClr val="lt1"/>
                    </a:solidFill>
                    <a:ln w="15875">
                      <a:solidFill>
                        <a:schemeClr val="accent4">
                          <a:lumMod val="60000"/>
                        </a:schemeClr>
                      </a:solidFill>
                      <a:round/>
                    </a:ln>
                    <a:effectLst/>
                  </c:spPr>
                </c:marker>
                <c:cat>
                  <c:strRef>
                    <c:extLst xmlns:c15="http://schemas.microsoft.com/office/drawing/2012/chart" xmlns:c16r2="http://schemas.microsoft.com/office/drawing/2015/06/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'Llegadas '!$F$4:$F$15</c15:sqref>
                        </c15:formulaRef>
                      </c:ext>
                    </c:extLst>
                    <c:numCache>
                      <c:formatCode>#,##0</c:formatCode>
                      <c:ptCount val="12"/>
                      <c:pt idx="0">
                        <c:v>37463</c:v>
                      </c:pt>
                      <c:pt idx="1">
                        <c:v>35978</c:v>
                      </c:pt>
                      <c:pt idx="2">
                        <c:v>39415</c:v>
                      </c:pt>
                      <c:pt idx="3">
                        <c:v>35949</c:v>
                      </c:pt>
                      <c:pt idx="4">
                        <c:v>38023</c:v>
                      </c:pt>
                      <c:pt idx="5">
                        <c:v>47844</c:v>
                      </c:pt>
                      <c:pt idx="6">
                        <c:v>51152</c:v>
                      </c:pt>
                      <c:pt idx="7">
                        <c:v>43036</c:v>
                      </c:pt>
                      <c:pt idx="8">
                        <c:v>34628</c:v>
                      </c:pt>
                      <c:pt idx="9">
                        <c:v>38582</c:v>
                      </c:pt>
                      <c:pt idx="10">
                        <c:v>41073</c:v>
                      </c:pt>
                      <c:pt idx="11">
                        <c:v>44235</c:v>
                      </c:pt>
                    </c:numCache>
                  </c:numRef>
                </c:val>
                <c:smooth val="0"/>
                <c:extLst xmlns:c15="http://schemas.microsoft.com/office/drawing/2012/chart" xmlns:c16r2="http://schemas.microsoft.com/office/drawing/2015/06/chart">
                  <c:ext xmlns:c16="http://schemas.microsoft.com/office/drawing/2014/chart" uri="{C3380CC4-5D6E-409C-BE32-E72D297353CC}">
                    <c16:uniqueId val="{0000001C-1999-40E5-A884-CFC3FEBED263}"/>
                  </c:ext>
                </c:extLst>
              </c15:ser>
            </c15:filteredLineSeries>
            <c15:filteredLin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'Llegadas '!$G$3</c15:sqref>
                        </c15:formulaRef>
                      </c:ext>
                    </c:extLst>
                    <c:strCache>
                      <c:ptCount val="1"/>
                      <c:pt idx="0">
                        <c:v>2012</c:v>
                      </c:pt>
                    </c:strCache>
                  </c:strRef>
                </c:tx>
                <c:spPr>
                  <a:ln w="22225" cap="rnd">
                    <a:solidFill>
                      <a:schemeClr val="accent6">
                        <a:lumMod val="60000"/>
                      </a:schemeClr>
                    </a:solidFill>
                    <a:round/>
                  </a:ln>
                  <a:effectLst/>
                </c:spPr>
                <c:marker>
                  <c:symbol val="circle"/>
                  <c:size val="6"/>
                  <c:spPr>
                    <a:solidFill>
                      <a:schemeClr val="lt1"/>
                    </a:solidFill>
                    <a:ln w="15875">
                      <a:solidFill>
                        <a:schemeClr val="accent6">
                          <a:lumMod val="60000"/>
                        </a:schemeClr>
                      </a:solidFill>
                      <a:round/>
                    </a:ln>
                    <a:effectLst/>
                  </c:spPr>
                </c:marker>
                <c:cat>
                  <c:strRef>
                    <c:extLst xmlns:c15="http://schemas.microsoft.com/office/drawing/2012/chart" xmlns:c16r2="http://schemas.microsoft.com/office/drawing/2015/06/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'Llegadas '!$G$4:$G$15</c15:sqref>
                        </c15:formulaRef>
                      </c:ext>
                    </c:extLst>
                    <c:numCache>
                      <c:formatCode>#,##0</c:formatCode>
                      <c:ptCount val="12"/>
                      <c:pt idx="0">
                        <c:v>37773</c:v>
                      </c:pt>
                      <c:pt idx="1">
                        <c:v>35654</c:v>
                      </c:pt>
                      <c:pt idx="2">
                        <c:v>40663</c:v>
                      </c:pt>
                      <c:pt idx="3">
                        <c:v>36524</c:v>
                      </c:pt>
                      <c:pt idx="4">
                        <c:v>40720</c:v>
                      </c:pt>
                      <c:pt idx="5">
                        <c:v>54166</c:v>
                      </c:pt>
                      <c:pt idx="6">
                        <c:v>56168</c:v>
                      </c:pt>
                      <c:pt idx="7">
                        <c:v>46212</c:v>
                      </c:pt>
                      <c:pt idx="8">
                        <c:v>39747</c:v>
                      </c:pt>
                      <c:pt idx="9">
                        <c:v>44864</c:v>
                      </c:pt>
                      <c:pt idx="10">
                        <c:v>46422</c:v>
                      </c:pt>
                      <c:pt idx="11">
                        <c:v>54545</c:v>
                      </c:pt>
                    </c:numCache>
                  </c:numRef>
                </c:val>
                <c:smooth val="0"/>
                <c:extLst xmlns:c15="http://schemas.microsoft.com/office/drawing/2012/chart" xmlns:c16r2="http://schemas.microsoft.com/office/drawing/2015/06/chart">
                  <c:ext xmlns:c16="http://schemas.microsoft.com/office/drawing/2014/chart" uri="{C3380CC4-5D6E-409C-BE32-E72D297353CC}">
                    <c16:uniqueId val="{0000001D-1999-40E5-A884-CFC3FEBED263}"/>
                  </c:ext>
                </c:extLst>
              </c15:ser>
            </c15:filteredLineSeries>
            <c15:filteredLin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'Llegadas '!$H$3</c15:sqref>
                        </c15:formulaRef>
                      </c:ext>
                    </c:extLst>
                    <c:strCache>
                      <c:ptCount val="1"/>
                      <c:pt idx="0">
                        <c:v>2013</c:v>
                      </c:pt>
                    </c:strCache>
                  </c:strRef>
                </c:tx>
                <c:spPr>
                  <a:ln w="22225" cap="rnd">
                    <a:solidFill>
                      <a:schemeClr val="accent2">
                        <a:lumMod val="80000"/>
                        <a:lumOff val="20000"/>
                      </a:schemeClr>
                    </a:solidFill>
                    <a:round/>
                  </a:ln>
                  <a:effectLst/>
                </c:spPr>
                <c:marker>
                  <c:symbol val="circle"/>
                  <c:size val="6"/>
                  <c:spPr>
                    <a:solidFill>
                      <a:schemeClr val="lt1"/>
                    </a:solidFill>
                    <a:ln w="15875">
                      <a:solidFill>
                        <a:schemeClr val="accent2">
                          <a:lumMod val="80000"/>
                          <a:lumOff val="20000"/>
                        </a:schemeClr>
                      </a:solidFill>
                      <a:round/>
                    </a:ln>
                    <a:effectLst/>
                  </c:spPr>
                </c:marker>
                <c:cat>
                  <c:strRef>
                    <c:extLst xmlns:c15="http://schemas.microsoft.com/office/drawing/2012/chart" xmlns:c16r2="http://schemas.microsoft.com/office/drawing/2015/06/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'Llegadas '!$H$4:$H$15</c15:sqref>
                        </c15:formulaRef>
                      </c:ext>
                    </c:extLst>
                    <c:numCache>
                      <c:formatCode>#,##0</c:formatCode>
                      <c:ptCount val="12"/>
                      <c:pt idx="0">
                        <c:v>46137</c:v>
                      </c:pt>
                      <c:pt idx="1">
                        <c:v>43174</c:v>
                      </c:pt>
                      <c:pt idx="2">
                        <c:v>49027</c:v>
                      </c:pt>
                      <c:pt idx="3">
                        <c:v>41634</c:v>
                      </c:pt>
                      <c:pt idx="4">
                        <c:v>48103</c:v>
                      </c:pt>
                      <c:pt idx="5">
                        <c:v>61054</c:v>
                      </c:pt>
                      <c:pt idx="6">
                        <c:v>64119</c:v>
                      </c:pt>
                      <c:pt idx="7">
                        <c:v>52709</c:v>
                      </c:pt>
                      <c:pt idx="8">
                        <c:v>49386</c:v>
                      </c:pt>
                      <c:pt idx="9">
                        <c:v>52967</c:v>
                      </c:pt>
                      <c:pt idx="10">
                        <c:v>56278</c:v>
                      </c:pt>
                      <c:pt idx="11">
                        <c:v>64370</c:v>
                      </c:pt>
                    </c:numCache>
                  </c:numRef>
                </c:val>
                <c:smooth val="0"/>
                <c:extLst xmlns:c15="http://schemas.microsoft.com/office/drawing/2012/chart" xmlns:c16r2="http://schemas.microsoft.com/office/drawing/2015/06/chart">
                  <c:ext xmlns:c16="http://schemas.microsoft.com/office/drawing/2014/chart" uri="{C3380CC4-5D6E-409C-BE32-E72D297353CC}">
                    <c16:uniqueId val="{0000001E-1999-40E5-A884-CFC3FEBED263}"/>
                  </c:ext>
                </c:extLst>
              </c15:ser>
            </c15:filteredLineSeries>
            <c15:filteredLin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'Llegadas '!$I$3</c15:sqref>
                        </c15:formulaRef>
                      </c:ext>
                    </c:extLst>
                    <c:strCache>
                      <c:ptCount val="1"/>
                      <c:pt idx="0">
                        <c:v>2014</c:v>
                      </c:pt>
                    </c:strCache>
                  </c:strRef>
                </c:tx>
                <c:spPr>
                  <a:ln w="22225" cap="rnd">
                    <a:solidFill>
                      <a:schemeClr val="accent4">
                        <a:lumMod val="80000"/>
                        <a:lumOff val="20000"/>
                      </a:schemeClr>
                    </a:solidFill>
                    <a:round/>
                  </a:ln>
                  <a:effectLst/>
                </c:spPr>
                <c:marker>
                  <c:symbol val="none"/>
                </c:marker>
                <c:dLbls>
                  <c:spPr>
                    <a:solidFill>
                      <a:schemeClr val="accent4">
                        <a:lumMod val="40000"/>
                        <a:lumOff val="6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5="http://schemas.microsoft.com/office/drawing/2012/chart" xmlns:c16r2="http://schemas.microsoft.com/office/drawing/2015/06/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xmlns:c16r2="http://schemas.microsoft.com/office/drawing/2015/06/chart">
                      <c:ext xmlns:c15="http://schemas.microsoft.com/office/drawing/2012/chart" uri="{02D57815-91ED-43cb-92C2-25804820EDAC}">
                        <c15:formulaRef>
                          <c15:sqref>'Llegadas '!$I$4:$I$15</c15:sqref>
                        </c15:formulaRef>
                      </c:ext>
                    </c:extLst>
                    <c:numCache>
                      <c:formatCode>#,##0</c:formatCode>
                      <c:ptCount val="12"/>
                      <c:pt idx="0">
                        <c:v>51688</c:v>
                      </c:pt>
                      <c:pt idx="1">
                        <c:v>53622</c:v>
                      </c:pt>
                      <c:pt idx="2">
                        <c:v>51748</c:v>
                      </c:pt>
                      <c:pt idx="3">
                        <c:v>49570</c:v>
                      </c:pt>
                      <c:pt idx="4">
                        <c:v>52174</c:v>
                      </c:pt>
                      <c:pt idx="5">
                        <c:v>58795</c:v>
                      </c:pt>
                      <c:pt idx="6">
                        <c:v>71099</c:v>
                      </c:pt>
                      <c:pt idx="7">
                        <c:v>57790</c:v>
                      </c:pt>
                      <c:pt idx="8">
                        <c:v>55854</c:v>
                      </c:pt>
                      <c:pt idx="9">
                        <c:v>59469</c:v>
                      </c:pt>
                      <c:pt idx="10">
                        <c:v>63281</c:v>
                      </c:pt>
                      <c:pt idx="11">
                        <c:v>77956</c:v>
                      </c:pt>
                    </c:numCache>
                  </c:numRef>
                </c:val>
                <c:smooth val="0"/>
                <c:extLst xmlns:c15="http://schemas.microsoft.com/office/drawing/2012/chart" xmlns:c16r2="http://schemas.microsoft.com/office/drawing/2015/06/chart">
                  <c:ext xmlns:c16="http://schemas.microsoft.com/office/drawing/2014/chart" uri="{C3380CC4-5D6E-409C-BE32-E72D297353CC}">
                    <c16:uniqueId val="{0000001F-1999-40E5-A884-CFC3FEBED263}"/>
                  </c:ext>
                </c:extLst>
              </c15:ser>
            </c15:filteredLineSeries>
          </c:ext>
        </c:extLst>
      </c:lineChart>
      <c:catAx>
        <c:axId val="755364336"/>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EC"/>
          </a:p>
        </c:txPr>
        <c:crossAx val="755365424"/>
        <c:crosses val="autoZero"/>
        <c:auto val="1"/>
        <c:lblAlgn val="ctr"/>
        <c:lblOffset val="100"/>
        <c:noMultiLvlLbl val="0"/>
      </c:catAx>
      <c:valAx>
        <c:axId val="755365424"/>
        <c:scaling>
          <c:orientation val="minMax"/>
          <c:max val="80000"/>
          <c:min val="35000"/>
        </c:scaling>
        <c:delete val="0"/>
        <c:axPos val="l"/>
        <c:majorGridlines>
          <c:spPr>
            <a:ln w="9525" cap="flat" cmpd="sng" algn="ctr">
              <a:solidFill>
                <a:schemeClr val="dk1">
                  <a:lumMod val="15000"/>
                  <a:lumOff val="85000"/>
                  <a:alpha val="54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crossAx val="755364336"/>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xmlns:c16r2="http://schemas.microsoft.com/office/drawing/2015/06/char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¿QUE TIPO DE HOSPEDAJE TOMA EL TURISTA?</a:t>
            </a:r>
            <a:endParaRPr lang="es-EC">
              <a:effectLst/>
            </a:endParaRP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224074074074074"/>
          <c:y val="0.18009259259259494"/>
          <c:w val="0.47325925925925932"/>
          <c:h val="0.78876543209877392"/>
        </c:manualLayout>
      </c:layout>
      <c:pie3DChart>
        <c:varyColors val="1"/>
        <c:ser>
          <c:idx val="0"/>
          <c:order val="0"/>
          <c:dPt>
            <c:idx val="0"/>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1-CDC4-431B-A3CB-970E48D9BBAD}"/>
              </c:ext>
            </c:extLst>
          </c:dPt>
          <c:dPt>
            <c:idx val="1"/>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3-CDC4-431B-A3CB-970E48D9BBAD}"/>
              </c:ext>
            </c:extLst>
          </c:dPt>
          <c:dPt>
            <c:idx val="2"/>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6r2="http://schemas.microsoft.com/office/drawing/2015/06/chart">
              <c:ext xmlns:c16="http://schemas.microsoft.com/office/drawing/2014/chart" uri="{C3380CC4-5D6E-409C-BE32-E72D297353CC}">
                <c16:uniqueId val="{00000005-CDC4-431B-A3CB-970E48D9BBAD}"/>
              </c:ext>
            </c:extLst>
          </c:dPt>
          <c:dPt>
            <c:idx val="3"/>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xmlns:c16r2="http://schemas.microsoft.com/office/drawing/2015/06/chart">
              <c:ext xmlns:c16="http://schemas.microsoft.com/office/drawing/2014/chart" uri="{C3380CC4-5D6E-409C-BE32-E72D297353CC}">
                <c16:uniqueId val="{00000007-CDC4-431B-A3CB-970E48D9BBAD}"/>
              </c:ext>
            </c:extLst>
          </c:dPt>
          <c:dPt>
            <c:idx val="4"/>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xmlns:c16r2="http://schemas.microsoft.com/office/drawing/2015/06/chart">
              <c:ext xmlns:c16="http://schemas.microsoft.com/office/drawing/2014/chart" uri="{C3380CC4-5D6E-409C-BE32-E72D297353CC}">
                <c16:uniqueId val="{00000009-CDC4-431B-A3CB-970E48D9BBAD}"/>
              </c:ext>
            </c:extLst>
          </c:dPt>
          <c:dPt>
            <c:idx val="5"/>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xmlns:c16r2="http://schemas.microsoft.com/office/drawing/2015/06/chart">
              <c:ext xmlns:c16="http://schemas.microsoft.com/office/drawing/2014/chart" uri="{C3380CC4-5D6E-409C-BE32-E72D297353CC}">
                <c16:uniqueId val="{0000000B-CDC4-431B-A3CB-970E48D9BBAD}"/>
              </c:ext>
            </c:extLst>
          </c:dPt>
          <c:dLbls>
            <c:dLbl>
              <c:idx val="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dLbl>
            <c:dLbl>
              <c:idx val="1"/>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dLbl>
            <c:dLbl>
              <c:idx val="2"/>
              <c:layout>
                <c:manualLayout>
                  <c:x val="-0.19694864506814649"/>
                  <c:y val="9.7242283950617278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CDC4-431B-A3CB-970E48D9BBAD}"/>
                </c:ext>
                <c:ext xmlns:c15="http://schemas.microsoft.com/office/drawing/2012/chart" uri="{CE6537A1-D6FC-4f65-9D91-7224C49458BB}"/>
              </c:extLst>
            </c:dLbl>
            <c:dLbl>
              <c:idx val="3"/>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dLbl>
            <c:dLbl>
              <c:idx val="4"/>
              <c:layout>
                <c:manualLayout>
                  <c:x val="4.9348148148148231E-2"/>
                  <c:y val="5.2897839506172842E-2"/>
                </c:manualLayout>
              </c:layout>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CDC4-431B-A3CB-970E48D9BBAD}"/>
                </c:ext>
                <c:ext xmlns:c15="http://schemas.microsoft.com/office/drawing/2012/chart" uri="{CE6537A1-D6FC-4f65-9D91-7224C49458BB}"/>
              </c:extLst>
            </c:dLbl>
            <c:dLbl>
              <c:idx val="5"/>
              <c:layout>
                <c:manualLayout>
                  <c:x val="4.3203703703703793E-2"/>
                  <c:y val="0.25015617283950609"/>
                </c:manualLayout>
              </c:layout>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CDC4-431B-A3CB-970E48D9BBAD}"/>
                </c:ext>
                <c:ext xmlns:c15="http://schemas.microsoft.com/office/drawing/2012/chart" uri="{CE6537A1-D6FC-4f65-9D91-7224C49458BB}"/>
              </c:extLst>
            </c:dLbl>
            <c:spPr>
              <a:solidFill>
                <a:sysClr val="window" lastClr="FFFFFF">
                  <a:alpha val="90000"/>
                </a:sysClr>
              </a:solidFill>
              <a:ln w="12700" cap="flat" cmpd="sng" algn="ctr">
                <a:solidFill>
                  <a:srgbClr val="F79646"/>
                </a:solidFill>
                <a:round/>
              </a:ln>
              <a:effectLst>
                <a:outerShdw blurRad="50800" dist="38100" dir="2700000" algn="tl" rotWithShape="0">
                  <a:srgbClr val="F79646">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xmlns:c16r2="http://schemas.microsoft.com/office/drawing/2015/06/char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ACTIVIDADES REALIZADAS</a:t>
            </a:r>
          </a:p>
          <a:p>
            <a:pPr>
              <a:defRPr/>
            </a:pPr>
            <a:r>
              <a:rPr lang="es-EC"/>
              <a:t>POR TURISTAS EN QUITO</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4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6607955920403578E-2"/>
          <c:y val="0.18230551689513388"/>
          <c:w val="0.37371253191620835"/>
          <c:h val="0.810545182905101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6r2="http://schemas.microsoft.com/office/drawing/2015/06/chart">
              <c:ext xmlns:c16="http://schemas.microsoft.com/office/drawing/2014/chart" uri="{C3380CC4-5D6E-409C-BE32-E72D297353CC}">
                <c16:uniqueId val="{00000001-25E1-4486-8909-A6AF49835FE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6r2="http://schemas.microsoft.com/office/drawing/2015/06/chart">
              <c:ext xmlns:c16="http://schemas.microsoft.com/office/drawing/2014/chart" uri="{C3380CC4-5D6E-409C-BE32-E72D297353CC}">
                <c16:uniqueId val="{00000003-25E1-4486-8909-A6AF49835FE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6r2="http://schemas.microsoft.com/office/drawing/2015/06/chart">
              <c:ext xmlns:c16="http://schemas.microsoft.com/office/drawing/2014/chart" uri="{C3380CC4-5D6E-409C-BE32-E72D297353CC}">
                <c16:uniqueId val="{00000005-25E1-4486-8909-A6AF49835FE1}"/>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6r2="http://schemas.microsoft.com/office/drawing/2015/06/chart">
              <c:ext xmlns:c16="http://schemas.microsoft.com/office/drawing/2014/chart" uri="{C3380CC4-5D6E-409C-BE32-E72D297353CC}">
                <c16:uniqueId val="{00000007-25E1-4486-8909-A6AF49835FE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9-25E1-4486-8909-A6AF49835FE1}"/>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B-25E1-4486-8909-A6AF49835FE1}"/>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6r2="http://schemas.microsoft.com/office/drawing/2015/06/chart">
              <c:ext xmlns:c16="http://schemas.microsoft.com/office/drawing/2014/chart" uri="{C3380CC4-5D6E-409C-BE32-E72D297353CC}">
                <c16:uniqueId val="{0000000D-25E1-4486-8909-A6AF49835FE1}"/>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xmlns:c16r2="http://schemas.microsoft.com/office/drawing/2015/06/chart">
              <c:ext xmlns:c16="http://schemas.microsoft.com/office/drawing/2014/chart" uri="{C3380CC4-5D6E-409C-BE32-E72D297353CC}">
                <c16:uniqueId val="{0000000F-25E1-4486-8909-A6AF49835FE1}"/>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xmlns:c16r2="http://schemas.microsoft.com/office/drawing/2015/06/chart">
              <c:ext xmlns:c16="http://schemas.microsoft.com/office/drawing/2014/chart" uri="{C3380CC4-5D6E-409C-BE32-E72D297353CC}">
                <c16:uniqueId val="{00000011-25E1-4486-8909-A6AF49835FE1}"/>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dLbl>
            <c:dLbl>
              <c:idx val="1"/>
              <c:layout>
                <c:manualLayout>
                  <c:x val="1.6528806239645571E-2"/>
                  <c:y val="4.2936073668757506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25E1-4486-8909-A6AF49835FE1}"/>
                </c:ext>
                <c:ext xmlns:c15="http://schemas.microsoft.com/office/drawing/2012/chart" uri="{CE6537A1-D6FC-4f65-9D91-7224C49458BB}"/>
              </c:extLst>
            </c:dLbl>
            <c:dLbl>
              <c:idx val="2"/>
              <c:layout>
                <c:manualLayout>
                  <c:x val="5.7179873792371355E-3"/>
                  <c:y val="-2.4003609718276711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25E1-4486-8909-A6AF49835FE1}"/>
                </c:ext>
                <c:ext xmlns:c15="http://schemas.microsoft.com/office/drawing/2012/chart" uri="{CE6537A1-D6FC-4f65-9D91-7224C49458BB}"/>
              </c:extLst>
            </c:dLbl>
            <c:dLbl>
              <c:idx val="3"/>
              <c:layout>
                <c:manualLayout>
                  <c:x val="0.10420580406172633"/>
                  <c:y val="-8.637674527972139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25E1-4486-8909-A6AF49835FE1}"/>
                </c:ext>
                <c:ext xmlns:c15="http://schemas.microsoft.com/office/drawing/2012/chart" uri="{CE6537A1-D6FC-4f65-9D91-7224C49458BB}"/>
              </c:extLst>
            </c:dLbl>
            <c:dLbl>
              <c:idx val="4"/>
              <c:layout>
                <c:manualLayout>
                  <c:x val="5.8431079093836602E-2"/>
                  <c:y val="-3.5203904596671179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25E1-4486-8909-A6AF49835FE1}"/>
                </c:ext>
                <c:ext xmlns:c15="http://schemas.microsoft.com/office/drawing/2012/chart" uri="{CE6537A1-D6FC-4f65-9D91-7224C49458BB}"/>
              </c:extLst>
            </c:dLbl>
            <c:dLbl>
              <c:idx val="5"/>
              <c:layout>
                <c:manualLayout>
                  <c:x val="3.8707842370767416E-2"/>
                  <c:y val="-5.9229884400043215E-5"/>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25E1-4486-8909-A6AF49835FE1}"/>
                </c:ext>
                <c:ext xmlns:c15="http://schemas.microsoft.com/office/drawing/2012/chart" uri="{CE6537A1-D6FC-4f65-9D91-7224C49458BB}"/>
              </c:extLst>
            </c:dLbl>
            <c:dLbl>
              <c:idx val="6"/>
              <c:layout>
                <c:manualLayout>
                  <c:x val="3.764531561214416E-2"/>
                  <c:y val="1.4189497499253271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25E1-4486-8909-A6AF49835FE1}"/>
                </c:ext>
                <c:ext xmlns:c15="http://schemas.microsoft.com/office/drawing/2012/chart" uri="{CE6537A1-D6FC-4f65-9D91-7224C49458BB}"/>
              </c:extLst>
            </c:dLbl>
            <c:dLbl>
              <c:idx val="7"/>
              <c:layout>
                <c:manualLayout>
                  <c:x val="3.5983842445226261E-2"/>
                  <c:y val="0.14086239220097488"/>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25E1-4486-8909-A6AF49835FE1}"/>
                </c:ext>
                <c:ext xmlns:c15="http://schemas.microsoft.com/office/drawing/2012/chart" uri="{CE6537A1-D6FC-4f65-9D91-7224C49458BB}"/>
              </c:extLst>
            </c:dLbl>
            <c:dLbl>
              <c:idx val="8"/>
              <c:layout>
                <c:manualLayout>
                  <c:x val="3.9192866849090603E-2"/>
                  <c:y val="0.27987747294300075"/>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1-25E1-4486-8909-A6AF49835FE1}"/>
                </c:ext>
                <c:ext xmlns:c15="http://schemas.microsoft.com/office/drawing/2012/chart" uri="{CE6537A1-D6FC-4f65-9D91-7224C49458BB}"/>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'perfil-Actividad 2012-2013'!$C$4:$C$12</c:f>
              <c:strCache>
                <c:ptCount val="9"/>
                <c:pt idx="0">
                  <c:v>Visitó lugares históricos</c:v>
                </c:pt>
                <c:pt idx="1">
                  <c:v>Visita a lugares históricos y observación de la naturaleza</c:v>
                </c:pt>
                <c:pt idx="2">
                  <c:v>Asistió a eventos privados</c:v>
                </c:pt>
                <c:pt idx="3">
                  <c:v>Observó la naturaleza</c:v>
                </c:pt>
                <c:pt idx="4">
                  <c:v>Realizó a actividades académicas</c:v>
                </c:pt>
                <c:pt idx="5">
                  <c:v>Asisitó a eventos</c:v>
                </c:pt>
                <c:pt idx="6">
                  <c:v>Actividades académicas y visita a lugares históricos</c:v>
                </c:pt>
                <c:pt idx="7">
                  <c:v>Eventos públicos, visita a lugares históricos y observación de la naturaleza</c:v>
                </c:pt>
                <c:pt idx="8">
                  <c:v>Eventos privados y visita a lugares históricos</c:v>
                </c:pt>
              </c:strCache>
            </c:strRef>
          </c:cat>
          <c:val>
            <c:numRef>
              <c:f>'perfil-Actividad 2012-2013'!$N$4:$N$12</c:f>
              <c:numCache>
                <c:formatCode>0%</c:formatCode>
                <c:ptCount val="9"/>
                <c:pt idx="0">
                  <c:v>0.31663857113200389</c:v>
                </c:pt>
                <c:pt idx="1">
                  <c:v>0.23168121975670089</c:v>
                </c:pt>
                <c:pt idx="2">
                  <c:v>0.11132897172373184</c:v>
                </c:pt>
                <c:pt idx="3">
                  <c:v>7.1202918145930633E-2</c:v>
                </c:pt>
                <c:pt idx="4">
                  <c:v>3.776467736329514E-2</c:v>
                </c:pt>
                <c:pt idx="5">
                  <c:v>2.9121502435946283E-2</c:v>
                </c:pt>
                <c:pt idx="6">
                  <c:v>2.5082570082900543E-2</c:v>
                </c:pt>
                <c:pt idx="7">
                  <c:v>1.7218550231014266E-2</c:v>
                </c:pt>
                <c:pt idx="8">
                  <c:v>1.5568749280450482E-2</c:v>
                </c:pt>
              </c:numCache>
            </c:numRef>
          </c:val>
          <c:extLst xmlns:c16r2="http://schemas.microsoft.com/office/drawing/2015/06/chart">
            <c:ext xmlns:c16="http://schemas.microsoft.com/office/drawing/2014/chart" uri="{C3380CC4-5D6E-409C-BE32-E72D297353CC}">
              <c16:uniqueId val="{00000012-25E1-4486-8909-A6AF49835FE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r>
              <a:rPr lang="es-EC" sz="1100"/>
              <a:t>TURISTAS QUE RECOMENDARÍAN</a:t>
            </a:r>
          </a:p>
          <a:p>
            <a:pPr>
              <a:defRPr sz="1100"/>
            </a:pPr>
            <a:r>
              <a:rPr lang="es-EC" sz="1100"/>
              <a:t>VISITAR LA CIUDAD</a:t>
            </a:r>
          </a:p>
        </c:rich>
      </c:tx>
      <c:overlay val="1"/>
      <c:spPr>
        <a:noFill/>
        <a:ln>
          <a:noFill/>
        </a:ln>
        <a:effectLst/>
      </c:spPr>
      <c:txPr>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2911115118243808E-2"/>
          <c:y val="0.11736054985106605"/>
          <c:w val="0.55112339965137946"/>
          <c:h val="0.88150227692507177"/>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1-36BC-4DF0-B289-4F7CF62EC3A5}"/>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3-36BC-4DF0-B289-4F7CF62EC3A5}"/>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5-36BC-4DF0-B289-4F7CF62EC3A5}"/>
              </c:ext>
            </c:extLst>
          </c:dPt>
          <c:dLbls>
            <c:dLbl>
              <c:idx val="1"/>
              <c:layout>
                <c:manualLayout>
                  <c:x val="-4.1183470850674052E-2"/>
                  <c:y val="-1.865626313327148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6BC-4DF0-B289-4F7CF62EC3A5}"/>
                </c:ext>
                <c:ext xmlns:c15="http://schemas.microsoft.com/office/drawing/2012/chart" uri="{CE6537A1-D6FC-4f65-9D91-7224C49458BB}"/>
              </c:extLst>
            </c:dLbl>
            <c:dLbl>
              <c:idx val="2"/>
              <c:layout>
                <c:manualLayout>
                  <c:x val="5.9527945747113099E-2"/>
                  <c:y val="-2.771970724203281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6BC-4DF0-B289-4F7CF62EC3A5}"/>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'perfil-recomendarian 2014'!$C$3:$C$5</c:f>
              <c:strCache>
                <c:ptCount val="3"/>
                <c:pt idx="0">
                  <c:v>Si</c:v>
                </c:pt>
                <c:pt idx="1">
                  <c:v>No</c:v>
                </c:pt>
                <c:pt idx="2">
                  <c:v>No informa</c:v>
                </c:pt>
              </c:strCache>
            </c:strRef>
          </c:cat>
          <c:val>
            <c:numRef>
              <c:f>'perfil-recomendarian 2014'!$K$3:$K$5</c:f>
              <c:numCache>
                <c:formatCode>0%</c:formatCode>
                <c:ptCount val="3"/>
                <c:pt idx="0">
                  <c:v>0.97639222436029705</c:v>
                </c:pt>
                <c:pt idx="1">
                  <c:v>1.9035504990678947E-2</c:v>
                </c:pt>
                <c:pt idx="2">
                  <c:v>4.5722706490239941E-3</c:v>
                </c:pt>
              </c:numCache>
            </c:numRef>
          </c:val>
          <c:extLst xmlns:c16r2="http://schemas.microsoft.com/office/drawing/2015/06/chart">
            <c:ext xmlns:c16="http://schemas.microsoft.com/office/drawing/2014/chart" uri="{C3380CC4-5D6E-409C-BE32-E72D297353CC}">
              <c16:uniqueId val="{00000006-36BC-4DF0-B289-4F7CF62EC3A5}"/>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2244814702029648"/>
          <c:y val="0.7950649824361079"/>
          <c:w val="0.35798441225381178"/>
          <c:h val="7.89478919011311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Principales mercados emisores UIO</a:t>
            </a:r>
          </a:p>
          <a:p>
            <a:pPr>
              <a:defRPr/>
            </a:pPr>
            <a:r>
              <a:rPr lang="es-EC"/>
              <a:t>- participación 2018 -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30"/>
      <c:rotY val="3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1-0F59-41EE-A3E2-E3E77B9FBA2E}"/>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3-0F59-41EE-A3E2-E3E77B9FBA2E}"/>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5-0F59-41EE-A3E2-E3E77B9FBA2E}"/>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7-0F59-41EE-A3E2-E3E77B9FBA2E}"/>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dLbl>
              <c:idx val="3"/>
              <c:layout>
                <c:manualLayout>
                  <c:x val="-3.585602205117052E-2"/>
                  <c:y val="-1.2905813409389693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0F59-41EE-A3E2-E3E77B9FBA2E}"/>
                </c:ext>
                <c:ext xmlns:c15="http://schemas.microsoft.com/office/drawing/2012/chart" uri="{CE6537A1-D6FC-4f65-9D91-7224C49458BB}"/>
              </c:extLst>
            </c:dLbl>
            <c:dLbl>
              <c:idx val="4"/>
              <c:layout>
                <c:manualLayout>
                  <c:x val="-6.6141736919146904E-2"/>
                  <c:y val="-1.4149156621136834E-2"/>
                </c:manualLayout>
              </c:layout>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0F59-41EE-A3E2-E3E77B9FBA2E}"/>
                </c:ext>
                <c:ext xmlns:c15="http://schemas.microsoft.com/office/drawing/2012/chart" uri="{CE6537A1-D6FC-4f65-9D91-7224C49458BB}"/>
              </c:extLst>
            </c:dLbl>
            <c:dLbl>
              <c:idx val="5"/>
              <c:layout>
                <c:manualLayout>
                  <c:x val="-8.9147558456241449E-2"/>
                  <c:y val="1.4149156621136834E-2"/>
                </c:manualLayout>
              </c:layout>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0F59-41EE-A3E2-E3E77B9FBA2E}"/>
                </c:ext>
                <c:ext xmlns:c15="http://schemas.microsoft.com/office/drawing/2012/chart" uri="{CE6537A1-D6FC-4f65-9D91-7224C49458BB}"/>
              </c:extLst>
            </c:dLbl>
            <c:dLbl>
              <c:idx val="6"/>
              <c:layout>
                <c:manualLayout>
                  <c:x val="-0.11359124383940443"/>
                  <c:y val="-3.5372891552842736E-3"/>
                </c:manualLayout>
              </c:layout>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0F59-41EE-A3E2-E3E77B9FBA2E}"/>
                </c:ext>
                <c:ext xmlns:c15="http://schemas.microsoft.com/office/drawing/2012/chart" uri="{CE6537A1-D6FC-4f65-9D91-7224C49458BB}"/>
              </c:extLst>
            </c:dLbl>
            <c:dLbl>
              <c:idx val="7"/>
              <c:layout>
                <c:manualLayout>
                  <c:x val="-9.6336877686583514E-2"/>
                  <c:y val="-2.1223734931705221E-2"/>
                </c:manualLayout>
              </c:layout>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0F59-41EE-A3E2-E3E77B9FBA2E}"/>
                </c:ext>
                <c:ext xmlns:c15="http://schemas.microsoft.com/office/drawing/2012/chart" uri="{CE6537A1-D6FC-4f65-9D91-7224C49458BB}"/>
              </c:extLst>
            </c:dLbl>
            <c:dLbl>
              <c:idx val="8"/>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1-0F59-41EE-A3E2-E3E77B9FBA2E}"/>
                </c:ext>
                <c:ext xmlns:c15="http://schemas.microsoft.com/office/drawing/2012/chart" uri="{CE6537A1-D6FC-4f65-9D91-7224C49458BB}"/>
              </c:extLst>
            </c:dLbl>
            <c:dLbl>
              <c:idx val="9"/>
              <c:layout>
                <c:manualLayout>
                  <c:x val="5.9332006522296095E-2"/>
                  <c:y val="-0.1112870312031139"/>
                </c:manualLayout>
              </c:layout>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3-0F59-41EE-A3E2-E3E77B9FBA2E}"/>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'Llegadas x nacionalidad'!$C$52:$C$65</c15:sqref>
                  </c15:fullRef>
                </c:ext>
              </c:extLst>
              <c:f>('Llegadas x nacionalidad'!$C$52:$C$55,'Llegadas x nacionalidad'!$C$57:$C$60,'Llegadas x nacionalidad'!$C$64:$C$65)</c:f>
              <c:strCache>
                <c:ptCount val="10"/>
                <c:pt idx="0">
                  <c:v>Ecuador</c:v>
                </c:pt>
                <c:pt idx="1">
                  <c:v>Estados Unidos</c:v>
                </c:pt>
                <c:pt idx="2">
                  <c:v>Colombia</c:v>
                </c:pt>
                <c:pt idx="3">
                  <c:v>España</c:v>
                </c:pt>
                <c:pt idx="4">
                  <c:v>Alemania</c:v>
                </c:pt>
                <c:pt idx="5">
                  <c:v>Canadá</c:v>
                </c:pt>
                <c:pt idx="6">
                  <c:v>Perú</c:v>
                </c:pt>
                <c:pt idx="7">
                  <c:v>Reino Unido</c:v>
                </c:pt>
                <c:pt idx="8">
                  <c:v>Brasil</c:v>
                </c:pt>
                <c:pt idx="9">
                  <c:v>Holanda</c:v>
                </c:pt>
              </c:strCache>
            </c:strRef>
          </c:cat>
          <c:val>
            <c:numRef>
              <c:extLst>
                <c:ext xmlns:c15="http://schemas.microsoft.com/office/drawing/2012/chart" uri="{02D57815-91ED-43cb-92C2-25804820EDAC}">
                  <c15:fullRef>
                    <c15:sqref>'Llegadas x nacionalidad'!$HW$52:$HW$65</c15:sqref>
                  </c15:fullRef>
                </c:ext>
              </c:extLst>
              <c:f>('Llegadas x nacionalidad'!$HW$52:$HW$55,'Llegadas x nacionalidad'!$HW$57:$HW$60,'Llegadas x nacionalidad'!$HW$64:$HW$65)</c:f>
              <c:numCache>
                <c:formatCode>0%</c:formatCode>
                <c:ptCount val="10"/>
                <c:pt idx="0">
                  <c:v>0.2191098126825915</c:v>
                </c:pt>
                <c:pt idx="1">
                  <c:v>0.21479237305268509</c:v>
                </c:pt>
                <c:pt idx="2">
                  <c:v>7.9868757951711361E-2</c:v>
                </c:pt>
                <c:pt idx="3">
                  <c:v>4.7345626685112954E-2</c:v>
                </c:pt>
                <c:pt idx="4">
                  <c:v>2.9476028252854673E-2</c:v>
                </c:pt>
                <c:pt idx="5">
                  <c:v>2.873952468081235E-2</c:v>
                </c:pt>
                <c:pt idx="6">
                  <c:v>2.5182645665243242E-2</c:v>
                </c:pt>
                <c:pt idx="7">
                  <c:v>2.5057006820600726E-2</c:v>
                </c:pt>
                <c:pt idx="8">
                  <c:v>1.8854491444283503E-2</c:v>
                </c:pt>
                <c:pt idx="9">
                  <c:v>1.8389483306641096E-2</c:v>
                </c:pt>
              </c:numCache>
            </c:numRef>
          </c:val>
          <c:extLst xmlns:c16r2="http://schemas.microsoft.com/office/drawing/2015/06/chart">
            <c:ext xmlns:c16="http://schemas.microsoft.com/office/drawing/2014/chart" uri="{C3380CC4-5D6E-409C-BE32-E72D297353CC}">
              <c16:uniqueId val="{00000014-0F59-41EE-A3E2-E3E77B9FBA2E}"/>
            </c:ext>
            <c:ext xmlns:c15="http://schemas.microsoft.com/office/drawing/2012/chart" uri="{02D57815-91ED-43cb-92C2-25804820EDAC}">
              <c15:categoryFilterExceptions/>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orientation="portrait" verticalDpi="597"/>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participacion  2018 - </a:t>
            </a:r>
            <a:endParaRPr lang="es-EC"/>
          </a:p>
        </c:rich>
      </c:tx>
      <c:layout>
        <c:manualLayout>
          <c:xMode val="edge"/>
          <c:yMode val="edge"/>
          <c:x val="0.29273766985880445"/>
          <c:y val="2.128173582998071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5768406716196396E-2"/>
          <c:y val="0.26132882376516359"/>
          <c:w val="0.95444371778159265"/>
          <c:h val="0.7364829557594045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1-D104-416B-ACBC-81D0F499F14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3-D104-416B-ACBC-81D0F499F14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5-D104-416B-ACBC-81D0F499F14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7-D104-416B-ACBC-81D0F499F14A}"/>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6"/>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8"/>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9"/>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0"/>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2"/>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3"/>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es-EC"/>
                </a:p>
              </c:txPr>
              <c:dLblPos val="outEnd"/>
              <c:showLegendKey val="0"/>
              <c:showVal val="1"/>
              <c:showCatName val="1"/>
              <c:showSerName val="0"/>
              <c:showPercent val="0"/>
              <c:showBubbleSize val="0"/>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es-EC"/>
                </a:p>
              </c:txPr>
              <c:dLblPos val="outEnd"/>
              <c:showLegendKey val="0"/>
              <c:showVal val="1"/>
              <c:showCatName val="1"/>
              <c:showSerName val="0"/>
              <c:showPercent val="0"/>
              <c:showBubbleSize val="0"/>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solidFill>
                      <a:latin typeface="+mn-lt"/>
                      <a:ea typeface="+mn-ea"/>
                      <a:cs typeface="+mn-cs"/>
                    </a:defRPr>
                  </a:pPr>
                  <a:endParaRPr lang="es-EC"/>
                </a:p>
              </c:txPr>
              <c:dLblPos val="outEnd"/>
              <c:showLegendKey val="0"/>
              <c:showVal val="1"/>
              <c:showCatName val="1"/>
              <c:showSerName val="0"/>
              <c:showPercent val="0"/>
              <c:showBubbleSize val="0"/>
            </c:dLbl>
            <c:dLbl>
              <c:idx val="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mn-lt"/>
                      <a:ea typeface="+mn-ea"/>
                      <a:cs typeface="+mn-cs"/>
                    </a:defRPr>
                  </a:pPr>
                  <a:endParaRPr lang="es-EC"/>
                </a:p>
              </c:txPr>
              <c:dLblPos val="outEnd"/>
              <c:showLegendKey val="0"/>
              <c:showVal val="1"/>
              <c:showCatName val="1"/>
              <c:showSerName val="0"/>
              <c:showPercent val="0"/>
              <c:showBubbleSize val="0"/>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schemeClr>
                      </a:solidFill>
                      <a:latin typeface="+mn-lt"/>
                      <a:ea typeface="+mn-ea"/>
                      <a:cs typeface="+mn-cs"/>
                    </a:defRPr>
                  </a:pPr>
                  <a:endParaRPr lang="es-EC"/>
                </a:p>
              </c:txPr>
              <c:dLblPos val="outEnd"/>
              <c:showLegendKey val="0"/>
              <c:showVal val="1"/>
              <c:showCatName val="1"/>
              <c:showSerName val="0"/>
              <c:showPercent val="0"/>
              <c:showBubbleSize val="0"/>
            </c:dLbl>
            <c: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60000"/>
                        </a:schemeClr>
                      </a:solidFill>
                      <a:latin typeface="+mn-lt"/>
                      <a:ea typeface="+mn-ea"/>
                      <a:cs typeface="+mn-cs"/>
                    </a:defRPr>
                  </a:pPr>
                  <a:endParaRPr lang="es-EC"/>
                </a:p>
              </c:txPr>
              <c:dLblPos val="outEnd"/>
              <c:showLegendKey val="0"/>
              <c:showVal val="1"/>
              <c:showCatName val="1"/>
              <c:showSerName val="0"/>
              <c:showPercent val="0"/>
              <c:showBubbleSize val="0"/>
            </c:dLbl>
            <c:dLbl>
              <c:idx val="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60000"/>
                        </a:schemeClr>
                      </a:solidFill>
                      <a:latin typeface="+mn-lt"/>
                      <a:ea typeface="+mn-ea"/>
                      <a:cs typeface="+mn-cs"/>
                    </a:defRPr>
                  </a:pPr>
                  <a:endParaRPr lang="es-EC"/>
                </a:p>
              </c:txPr>
              <c:dLblPos val="outEnd"/>
              <c:showLegendKey val="0"/>
              <c:showVal val="1"/>
              <c:showCatName val="1"/>
              <c:showSerName val="0"/>
              <c:showPercent val="0"/>
              <c:showBubbleSize val="0"/>
            </c:dLbl>
            <c:dLbl>
              <c:idx val="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schemeClr>
                      </a:solidFill>
                      <a:latin typeface="+mn-lt"/>
                      <a:ea typeface="+mn-ea"/>
                      <a:cs typeface="+mn-cs"/>
                    </a:defRPr>
                  </a:pPr>
                  <a:endParaRPr lang="es-EC"/>
                </a:p>
              </c:txPr>
              <c:dLblPos val="outEnd"/>
              <c:showLegendKey val="0"/>
              <c:showVal val="1"/>
              <c:showCatName val="1"/>
              <c:showSerName val="0"/>
              <c:showPercent val="0"/>
              <c:showBubbleSize val="0"/>
            </c:dLbl>
            <c:dLbl>
              <c:idx val="9"/>
              <c:layout>
                <c:manualLayout>
                  <c:x val="-0.18381081297219115"/>
                  <c:y val="-2.1281735829980747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3-D104-416B-ACBC-81D0F499F14A}"/>
                </c:ext>
                <c:ext xmlns:c15="http://schemas.microsoft.com/office/drawing/2012/chart" uri="{CE6537A1-D6FC-4f65-9D91-7224C49458BB}"/>
              </c:extLst>
            </c:dLbl>
            <c:dLbl>
              <c:idx val="10"/>
              <c:layout>
                <c:manualLayout>
                  <c:x val="-0.25702359441026729"/>
                  <c:y val="-4.2563471659961466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5-D104-416B-ACBC-81D0F499F14A}"/>
                </c:ext>
                <c:ext xmlns:c15="http://schemas.microsoft.com/office/drawing/2012/chart" uri="{CE6537A1-D6FC-4f65-9D91-7224C49458BB}"/>
              </c:extLst>
            </c:dLbl>
            <c:dLbl>
              <c:idx val="11"/>
              <c:layout>
                <c:manualLayout>
                  <c:x val="4.67315626200486E-3"/>
                  <c:y val="-2.4828691801644168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7-D104-416B-ACBC-81D0F499F14A}"/>
                </c:ext>
                <c:ext xmlns:c15="http://schemas.microsoft.com/office/drawing/2012/chart" uri="{CE6537A1-D6FC-4f65-9D91-7224C49458BB}"/>
              </c:extLst>
            </c:dLbl>
            <c:dLbl>
              <c:idx val="12"/>
              <c:layout>
                <c:manualLayout>
                  <c:x val="-0.20717659428221546"/>
                  <c:y val="-3.5469559716634555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9-D104-416B-ACBC-81D0F499F14A}"/>
                </c:ext>
                <c:ext xmlns:c15="http://schemas.microsoft.com/office/drawing/2012/chart" uri="{CE6537A1-D6FC-4f65-9D91-7224C49458BB}"/>
              </c:extLst>
            </c:dLbl>
            <c:dLbl>
              <c:idx val="13"/>
              <c:layout>
                <c:manualLayout>
                  <c:x val="0.23677325060824636"/>
                  <c:y val="-1.7734779858317264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1B-D104-416B-ACBC-81D0F499F14A}"/>
                </c:ext>
                <c:ext xmlns:c15="http://schemas.microsoft.com/office/drawing/2012/chart" uri="{CE6537A1-D6FC-4f65-9D91-7224C49458BB}"/>
              </c:extLst>
            </c:dLbl>
            <c:dLbl>
              <c:idx val="14"/>
              <c:layout>
                <c:manualLayout>
                  <c:x val="0.31465918830832723"/>
                  <c:y val="-3.546955971663485E-3"/>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lumOff val="4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D-D104-416B-ACBC-81D0F499F14A}"/>
                </c:ext>
                <c:ext xmlns:c15="http://schemas.microsoft.com/office/drawing/2012/chart" uri="{CE6537A1-D6FC-4f65-9D91-7224C49458BB}"/>
              </c:extLst>
            </c:dLbl>
            <c:dLbl>
              <c:idx val="1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es-EC"/>
                </a:p>
              </c:txPr>
              <c:dLblPos val="outEnd"/>
              <c:showLegendKey val="0"/>
              <c:showVal val="1"/>
              <c:showCatName val="1"/>
              <c:showSerName val="0"/>
              <c:showPercent val="0"/>
              <c:showBubbleSize val="0"/>
            </c:dLbl>
            <c:dLbl>
              <c:idx val="1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lumMod val="50000"/>
                        </a:schemeClr>
                      </a:solidFill>
                      <a:latin typeface="+mn-lt"/>
                      <a:ea typeface="+mn-ea"/>
                      <a:cs typeface="+mn-cs"/>
                    </a:defRPr>
                  </a:pPr>
                  <a:endParaRPr lang="es-EC"/>
                </a:p>
              </c:txPr>
              <c:dLblPos val="outEnd"/>
              <c:showLegendKey val="0"/>
              <c:showVal val="1"/>
              <c:showCatName val="1"/>
              <c:showSerName val="0"/>
              <c:showPercent val="0"/>
              <c:showBubbleSize val="0"/>
            </c:dLbl>
            <c:dLbl>
              <c:idx val="1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50000"/>
                        </a:schemeClr>
                      </a:solidFill>
                      <a:latin typeface="+mn-lt"/>
                      <a:ea typeface="+mn-ea"/>
                      <a:cs typeface="+mn-cs"/>
                    </a:defRPr>
                  </a:pPr>
                  <a:endParaRPr lang="es-EC"/>
                </a:p>
              </c:txPr>
              <c:dLblPos val="outEnd"/>
              <c:showLegendKey val="0"/>
              <c:showVal val="1"/>
              <c:showCatName val="1"/>
              <c:showSerName val="0"/>
              <c:showPercent val="0"/>
              <c:showBubbleSize val="0"/>
            </c:dLbl>
            <c:dLbl>
              <c:idx val="1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50000"/>
                        </a:schemeClr>
                      </a:solidFill>
                      <a:latin typeface="+mn-lt"/>
                      <a:ea typeface="+mn-ea"/>
                      <a:cs typeface="+mn-cs"/>
                    </a:defRPr>
                  </a:pPr>
                  <a:endParaRPr lang="es-EC"/>
                </a:p>
              </c:txPr>
              <c:dLblPos val="outEnd"/>
              <c:showLegendKey val="0"/>
              <c:showVal val="1"/>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Ecuador</c:v>
                </c:pt>
                <c:pt idx="1">
                  <c:v>Estados Unidos</c:v>
                </c:pt>
                <c:pt idx="2">
                  <c:v>Colombia</c:v>
                </c:pt>
                <c:pt idx="3">
                  <c:v>España</c:v>
                </c:pt>
                <c:pt idx="4">
                  <c:v>Alemania</c:v>
                </c:pt>
                <c:pt idx="5">
                  <c:v>Canadá</c:v>
                </c:pt>
                <c:pt idx="6">
                  <c:v>Perú</c:v>
                </c:pt>
                <c:pt idx="7">
                  <c:v>Reino Unido</c:v>
                </c:pt>
                <c:pt idx="8">
                  <c:v>Francia</c:v>
                </c:pt>
                <c:pt idx="9">
                  <c:v>Venezuela</c:v>
                </c:pt>
                <c:pt idx="10">
                  <c:v>Brasil</c:v>
                </c:pt>
                <c:pt idx="11">
                  <c:v>Holanda</c:v>
                </c:pt>
                <c:pt idx="12">
                  <c:v>Italia</c:v>
                </c:pt>
                <c:pt idx="13">
                  <c:v>Australia</c:v>
                </c:pt>
                <c:pt idx="14">
                  <c:v>Uruguay</c:v>
                </c:pt>
              </c:strCache>
            </c:strRef>
          </c:cat>
          <c:val>
            <c:numRef>
              <c:extLst>
                <c:ext xmlns:c15="http://schemas.microsoft.com/office/drawing/2012/chart" uri="{02D57815-91ED-43cb-92C2-25804820EDAC}">
                  <c15:fullRef>
                    <c15:sqref>'Llegadas x nacionalidad'!$HW$52:$HW$83</c15:sqref>
                  </c15:fullRef>
                </c:ext>
              </c:extLst>
              <c:f>('Llegadas x nacionalidad'!$HW$52:$HW$55,'Llegadas x nacionalidad'!$HW$57:$HW$60,'Llegadas x nacionalidad'!$HW$62:$HW$65,'Llegadas x nacionalidad'!$HW$69,'Llegadas x nacionalidad'!$HW$71,'Llegadas x nacionalidad'!$HW$80)</c:f>
              <c:numCache>
                <c:formatCode>0%</c:formatCode>
                <c:ptCount val="15"/>
                <c:pt idx="0">
                  <c:v>0.2191098126825915</c:v>
                </c:pt>
                <c:pt idx="1">
                  <c:v>0.21479237305268509</c:v>
                </c:pt>
                <c:pt idx="2">
                  <c:v>7.9868757951711361E-2</c:v>
                </c:pt>
                <c:pt idx="3">
                  <c:v>4.7345626685112954E-2</c:v>
                </c:pt>
                <c:pt idx="4">
                  <c:v>2.9476028252854673E-2</c:v>
                </c:pt>
                <c:pt idx="5">
                  <c:v>2.873952468081235E-2</c:v>
                </c:pt>
                <c:pt idx="6">
                  <c:v>2.5182645665243242E-2</c:v>
                </c:pt>
                <c:pt idx="7">
                  <c:v>2.5057006820600726E-2</c:v>
                </c:pt>
                <c:pt idx="8">
                  <c:v>2.189726208407405E-2</c:v>
                </c:pt>
                <c:pt idx="9">
                  <c:v>2.1653205018044339E-2</c:v>
                </c:pt>
                <c:pt idx="10">
                  <c:v>1.8854491444283503E-2</c:v>
                </c:pt>
                <c:pt idx="11">
                  <c:v>1.8389483306641096E-2</c:v>
                </c:pt>
                <c:pt idx="12">
                  <c:v>1.1661306557336803E-2</c:v>
                </c:pt>
                <c:pt idx="13">
                  <c:v>9.8619272421118301E-3</c:v>
                </c:pt>
                <c:pt idx="14">
                  <c:v>3.4283519216244669E-3</c:v>
                </c:pt>
              </c:numCache>
            </c:numRef>
          </c:val>
          <c:extLst xmlns:c16r2="http://schemas.microsoft.com/office/drawing/2015/06/chart">
            <c:ext xmlns:c16="http://schemas.microsoft.com/office/drawing/2014/chart" uri="{C3380CC4-5D6E-409C-BE32-E72D297353CC}">
              <c16:uniqueId val="{00000026-D104-416B-ACBC-81D0F499F14A}"/>
            </c:ext>
            <c:ext xmlns:c15="http://schemas.microsoft.com/office/drawing/2012/chart" uri="{02D57815-91ED-43cb-92C2-25804820EDAC}">
              <c15:categoryFilterExceptions/>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13 Principales mercados emisores UIO</a:t>
            </a:r>
          </a:p>
          <a:p>
            <a:pPr>
              <a:defRPr/>
            </a:pPr>
            <a:r>
              <a:rPr lang="es-EC"/>
              <a:t>- participación 2018 -</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3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9275567956662518E-2"/>
          <c:y val="0.19769159118983889"/>
          <c:w val="0.81552293993975677"/>
          <c:h val="0.69881835523023805"/>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1-2501-486B-BFA0-782133A55388}"/>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3-2501-486B-BFA0-782133A55388}"/>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5-2501-486B-BFA0-782133A55388}"/>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7-2501-486B-BFA0-782133A55388}"/>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dLbl>
            <c:dLbl>
              <c:idx val="1"/>
              <c:layout>
                <c:manualLayout>
                  <c:x val="1.8300652339001203E-2"/>
                  <c:y val="-0.1133505444870978"/>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2501-486B-BFA0-782133A55388}"/>
                </c:ext>
                <c:ext xmlns:c15="http://schemas.microsoft.com/office/drawing/2012/chart" uri="{CE6537A1-D6FC-4f65-9D91-7224C49458BB}"/>
              </c:extLst>
            </c:dLbl>
            <c:dLbl>
              <c:idx val="2"/>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3"/>
                      </a:solidFill>
                      <a:latin typeface="+mn-lt"/>
                      <a:ea typeface="+mn-ea"/>
                      <a:cs typeface="+mn-cs"/>
                    </a:defRPr>
                  </a:pPr>
                  <a:endParaRPr lang="es-EC"/>
                </a:p>
              </c:txPr>
              <c:dLblPos val="outEnd"/>
              <c:showLegendKey val="0"/>
              <c:showVal val="1"/>
              <c:showCatName val="1"/>
              <c:showSerName val="0"/>
              <c:showPercent val="0"/>
              <c:showBubbleSize val="0"/>
            </c:dLbl>
            <c:dLbl>
              <c:idx val="3"/>
              <c:layout>
                <c:manualLayout>
                  <c:x val="-3.585602205117052E-2"/>
                  <c:y val="-1.2905813409389693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1"/>
                      </a:solidFill>
                      <a:latin typeface="+mn-lt"/>
                      <a:ea typeface="+mn-ea"/>
                      <a:cs typeface="+mn-cs"/>
                    </a:defRPr>
                  </a:pPr>
                  <a:endParaRPr lang="es-EC"/>
                </a:p>
              </c:txPr>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2501-486B-BFA0-782133A55388}"/>
                </c:ext>
                <c:ext xmlns:c15="http://schemas.microsoft.com/office/drawing/2012/chart" uri="{CE6537A1-D6FC-4f65-9D91-7224C49458BB}"/>
              </c:extLst>
            </c:dLbl>
            <c:dLbl>
              <c:idx val="4"/>
              <c:layout>
                <c:manualLayout>
                  <c:x val="-6.6141736919146904E-2"/>
                  <c:y val="-1.4149156621136834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2501-486B-BFA0-782133A55388}"/>
                </c:ext>
                <c:ext xmlns:c15="http://schemas.microsoft.com/office/drawing/2012/chart" uri="{CE6537A1-D6FC-4f65-9D91-7224C49458BB}"/>
              </c:extLst>
            </c:dLbl>
            <c:dLbl>
              <c:idx val="5"/>
              <c:layout>
                <c:manualLayout>
                  <c:x val="-8.9147558456241449E-2"/>
                  <c:y val="1.4149156621136834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1">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2501-486B-BFA0-782133A55388}"/>
                </c:ext>
                <c:ext xmlns:c15="http://schemas.microsoft.com/office/drawing/2012/chart" uri="{CE6537A1-D6FC-4f65-9D91-7224C49458BB}"/>
              </c:extLst>
            </c:dLbl>
            <c:dLbl>
              <c:idx val="6"/>
              <c:layout>
                <c:manualLayout>
                  <c:x val="-0.11359124383940443"/>
                  <c:y val="-3.5372891552842736E-3"/>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2">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2501-486B-BFA0-782133A55388}"/>
                </c:ext>
                <c:ext xmlns:c15="http://schemas.microsoft.com/office/drawing/2012/chart" uri="{CE6537A1-D6FC-4f65-9D91-7224C49458BB}"/>
              </c:extLst>
            </c:dLbl>
            <c:dLbl>
              <c:idx val="7"/>
              <c:layout>
                <c:manualLayout>
                  <c:x val="-9.6336877686583514E-2"/>
                  <c:y val="-2.1223734931705221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3">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2501-486B-BFA0-782133A55388}"/>
                </c:ext>
                <c:ext xmlns:c15="http://schemas.microsoft.com/office/drawing/2012/chart" uri="{CE6537A1-D6FC-4f65-9D91-7224C49458BB}"/>
              </c:extLst>
            </c:dLbl>
            <c:dLbl>
              <c:idx val="8"/>
              <c:layout>
                <c:manualLayout>
                  <c:x val="-2.734782719380871E-2"/>
                  <c:y val="-4.1412922417828499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4">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1-2501-486B-BFA0-782133A55388}"/>
                </c:ext>
                <c:ext xmlns:c15="http://schemas.microsoft.com/office/drawing/2012/chart" uri="{CE6537A1-D6FC-4f65-9D91-7224C49458BB}"/>
              </c:extLst>
            </c:dLbl>
            <c:dLbl>
              <c:idx val="9"/>
              <c:layout>
                <c:manualLayout>
                  <c:x val="1.4378638460684104E-3"/>
                  <c:y val="-4.8857731458159664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5">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3-2501-486B-BFA0-782133A55388}"/>
                </c:ext>
                <c:ext xmlns:c15="http://schemas.microsoft.com/office/drawing/2012/chart" uri="{CE6537A1-D6FC-4f65-9D91-7224C49458BB}"/>
              </c:extLst>
            </c:dLbl>
            <c:dLbl>
              <c:idx val="1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1"/>
                      </a:solidFill>
                      <a:latin typeface="+mn-lt"/>
                      <a:ea typeface="+mn-ea"/>
                      <a:cs typeface="+mn-cs"/>
                    </a:defRPr>
                  </a:pPr>
                  <a:endParaRPr lang="es-EC"/>
                </a:p>
              </c:txPr>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5-2501-486B-BFA0-782133A55388}"/>
                </c:ext>
                <c:ext xmlns:c15="http://schemas.microsoft.com/office/drawing/2012/chart" uri="{CE6537A1-D6FC-4f65-9D91-7224C49458BB}"/>
              </c:extLst>
            </c:dLbl>
            <c:dLbl>
              <c:idx val="11"/>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1"/>
                      </a:solidFill>
                      <a:latin typeface="+mn-lt"/>
                      <a:ea typeface="+mn-ea"/>
                      <a:cs typeface="+mn-cs"/>
                    </a:defRPr>
                  </a:pPr>
                  <a:endParaRPr lang="es-EC"/>
                </a:p>
              </c:txPr>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7-2501-486B-BFA0-782133A55388}"/>
                </c:ext>
                <c:ext xmlns:c15="http://schemas.microsoft.com/office/drawing/2012/chart" uri="{CE6537A1-D6FC-4f65-9D91-7224C49458BB}"/>
              </c:extLst>
            </c:dLbl>
            <c:dLbl>
              <c:idx val="12"/>
              <c:layout>
                <c:manualLayout>
                  <c:x val="5.9332006522296095E-2"/>
                  <c:y val="-0.1112870312031139"/>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9-2501-486B-BFA0-782133A55388}"/>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'Llegadas x nacionalidad'!$C$52:$C$65</c15:sqref>
                  </c15:fullRef>
                </c:ext>
              </c:extLst>
              <c:f>('Llegadas x nacionalidad'!$C$52:$C$55,'Llegadas x nacionalidad'!$C$57:$C$65)</c:f>
              <c:strCache>
                <c:ptCount val="13"/>
                <c:pt idx="0">
                  <c:v>Ecuador</c:v>
                </c:pt>
                <c:pt idx="1">
                  <c:v>Estados Unidos</c:v>
                </c:pt>
                <c:pt idx="2">
                  <c:v>Colombia</c:v>
                </c:pt>
                <c:pt idx="3">
                  <c:v>España</c:v>
                </c:pt>
                <c:pt idx="4">
                  <c:v>Alemania</c:v>
                </c:pt>
                <c:pt idx="5">
                  <c:v>Canadá</c:v>
                </c:pt>
                <c:pt idx="6">
                  <c:v>Perú</c:v>
                </c:pt>
                <c:pt idx="7">
                  <c:v>Reino Unido</c:v>
                </c:pt>
                <c:pt idx="8">
                  <c:v>Argentina</c:v>
                </c:pt>
                <c:pt idx="9">
                  <c:v>Francia</c:v>
                </c:pt>
                <c:pt idx="10">
                  <c:v>Venezuela</c:v>
                </c:pt>
                <c:pt idx="11">
                  <c:v>Brasil</c:v>
                </c:pt>
                <c:pt idx="12">
                  <c:v>Holanda</c:v>
                </c:pt>
              </c:strCache>
            </c:strRef>
          </c:cat>
          <c:val>
            <c:numRef>
              <c:extLst>
                <c:ext xmlns:c15="http://schemas.microsoft.com/office/drawing/2012/chart" uri="{02D57815-91ED-43cb-92C2-25804820EDAC}">
                  <c15:fullRef>
                    <c15:sqref>'Llegadas x nacionalidad'!$HW$52:$HW$65</c15:sqref>
                  </c15:fullRef>
                </c:ext>
              </c:extLst>
              <c:f>('Llegadas x nacionalidad'!$HW$52:$HW$55,'Llegadas x nacionalidad'!$HW$57:$HW$65)</c:f>
              <c:numCache>
                <c:formatCode>0%</c:formatCode>
                <c:ptCount val="13"/>
                <c:pt idx="0">
                  <c:v>0.2191098126825915</c:v>
                </c:pt>
                <c:pt idx="1">
                  <c:v>0.21479237305268509</c:v>
                </c:pt>
                <c:pt idx="2">
                  <c:v>7.9868757951711361E-2</c:v>
                </c:pt>
                <c:pt idx="3">
                  <c:v>4.7345626685112954E-2</c:v>
                </c:pt>
                <c:pt idx="4">
                  <c:v>2.9476028252854673E-2</c:v>
                </c:pt>
                <c:pt idx="5">
                  <c:v>2.873952468081235E-2</c:v>
                </c:pt>
                <c:pt idx="6">
                  <c:v>2.5182645665243242E-2</c:v>
                </c:pt>
                <c:pt idx="7">
                  <c:v>2.5057006820600726E-2</c:v>
                </c:pt>
                <c:pt idx="8">
                  <c:v>2.1949250571512331E-2</c:v>
                </c:pt>
                <c:pt idx="9">
                  <c:v>2.189726208407405E-2</c:v>
                </c:pt>
                <c:pt idx="10">
                  <c:v>2.1653205018044339E-2</c:v>
                </c:pt>
                <c:pt idx="11">
                  <c:v>1.8854491444283503E-2</c:v>
                </c:pt>
                <c:pt idx="12">
                  <c:v>1.8389483306641096E-2</c:v>
                </c:pt>
              </c:numCache>
            </c:numRef>
          </c:val>
          <c:extLst xmlns:c16r2="http://schemas.microsoft.com/office/drawing/2015/06/chart">
            <c:ext xmlns:c16="http://schemas.microsoft.com/office/drawing/2014/chart" uri="{C3380CC4-5D6E-409C-BE32-E72D297353CC}">
              <c16:uniqueId val="{0000001A-2501-486B-BFA0-782133A55388}"/>
            </c:ext>
            <c:ext xmlns:c15="http://schemas.microsoft.com/office/drawing/2012/chart" uri="{02D57815-91ED-43cb-92C2-25804820EDAC}">
              <c15:categoryFilterExceptions/>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withinLinear" id="17">
  <a:schemeClr val="accent4"/>
</cs:colorStyle>
</file>

<file path=xl/charts/colors47.xml><?xml version="1.0" encoding="utf-8"?>
<cs:colorStyle xmlns:cs="http://schemas.microsoft.com/office/drawing/2012/chartStyle" xmlns:a="http://schemas.openxmlformats.org/drawingml/2006/main" meth="withinLinear" id="17">
  <a:schemeClr val="accent4"/>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withinLinear" id="16">
  <a:schemeClr val="accent3"/>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25.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7.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3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9.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9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tx1"/>
    </cs:fontRef>
    <cs:spPr>
      <a:gradFill>
        <a:gsLst>
          <a:gs pos="100000">
            <a:schemeClr val="phClr">
              <a:alpha val="0"/>
            </a:schemeClr>
          </a:gs>
          <a:gs pos="50000">
            <a:schemeClr val="phClr"/>
          </a:gs>
        </a:gsLst>
        <a:lin ang="5400000" scaled="0"/>
      </a:gradFill>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0.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3.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0.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23.xml"/><Relationship Id="rId3" Type="http://schemas.openxmlformats.org/officeDocument/2006/relationships/chart" Target="../charts/chart18.xml"/><Relationship Id="rId7" Type="http://schemas.openxmlformats.org/officeDocument/2006/relationships/chart" Target="../charts/chart22.xml"/><Relationship Id="rId2" Type="http://schemas.openxmlformats.org/officeDocument/2006/relationships/image" Target="../media/image12.emf"/><Relationship Id="rId1" Type="http://schemas.openxmlformats.org/officeDocument/2006/relationships/chart" Target="../charts/chart17.xml"/><Relationship Id="rId6" Type="http://schemas.openxmlformats.org/officeDocument/2006/relationships/chart" Target="../charts/chart21.xml"/><Relationship Id="rId5" Type="http://schemas.openxmlformats.org/officeDocument/2006/relationships/chart" Target="../charts/chart20.xml"/><Relationship Id="rId10" Type="http://schemas.openxmlformats.org/officeDocument/2006/relationships/image" Target="../media/image13.png"/><Relationship Id="rId4" Type="http://schemas.openxmlformats.org/officeDocument/2006/relationships/chart" Target="../charts/chart19.xml"/><Relationship Id="rId9" Type="http://schemas.openxmlformats.org/officeDocument/2006/relationships/chart" Target="../charts/chart2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4" Type="http://schemas.openxmlformats.org/officeDocument/2006/relationships/chart" Target="../charts/chart33.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chart" Target="../charts/chart34.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chart" Target="../charts/chart37.xml"/><Relationship Id="rId1" Type="http://schemas.openxmlformats.org/officeDocument/2006/relationships/chart" Target="../charts/chart36.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jpe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2.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28.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emf"/><Relationship Id="rId1" Type="http://schemas.openxmlformats.org/officeDocument/2006/relationships/chart" Target="../charts/chart48.xml"/><Relationship Id="rId5" Type="http://schemas.openxmlformats.org/officeDocument/2006/relationships/image" Target="../media/image16.emf"/><Relationship Id="rId4" Type="http://schemas.openxmlformats.org/officeDocument/2006/relationships/chart" Target="../charts/chart49.xml"/></Relationships>
</file>

<file path=xl/drawings/_rels/drawing3.xml.rels><?xml version="1.0" encoding="UTF-8" standalone="yes"?>
<Relationships xmlns="http://schemas.openxmlformats.org/package/2006/relationships"><Relationship Id="rId1" Type="http://schemas.openxmlformats.org/officeDocument/2006/relationships/image" Target="../media/image9.emf"/></Relationships>
</file>

<file path=xl/drawings/_rels/drawing30.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chart" Target="../charts/chart50.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53.xml"/><Relationship Id="rId1" Type="http://schemas.openxmlformats.org/officeDocument/2006/relationships/chart" Target="../charts/chart52.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56.xml"/><Relationship Id="rId1" Type="http://schemas.openxmlformats.org/officeDocument/2006/relationships/chart" Target="../charts/chart55.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48.xml.rels><?xml version="1.0" encoding="UTF-8" standalone="yes"?>
<Relationships xmlns="http://schemas.openxmlformats.org/package/2006/relationships"><Relationship Id="rId1" Type="http://schemas.openxmlformats.org/officeDocument/2006/relationships/image" Target="../media/image17.emf"/></Relationships>
</file>

<file path=xl/drawings/_rels/drawing49.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11.png"/><Relationship Id="rId5" Type="http://schemas.openxmlformats.org/officeDocument/2006/relationships/hyperlink" Target="../../../Datos%20WTO%20-%20OMT/2018/UNWTO_Barometer_2018_June_Edition_Excerpt.pdf" TargetMode="External"/><Relationship Id="rId4" Type="http://schemas.openxmlformats.org/officeDocument/2006/relationships/chart" Target="../charts/chart6.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9</xdr:col>
      <xdr:colOff>1615440</xdr:colOff>
      <xdr:row>2</xdr:row>
      <xdr:rowOff>144780</xdr:rowOff>
    </xdr:from>
    <xdr:to>
      <xdr:col>9</xdr:col>
      <xdr:colOff>2964180</xdr:colOff>
      <xdr:row>3</xdr:row>
      <xdr:rowOff>101766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36180" y="594360"/>
          <a:ext cx="1348740" cy="75708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1809751</xdr:colOff>
      <xdr:row>74</xdr:row>
      <xdr:rowOff>12305</xdr:rowOff>
    </xdr:from>
    <xdr:to>
      <xdr:col>29</xdr:col>
      <xdr:colOff>631103</xdr:colOff>
      <xdr:row>86</xdr:row>
      <xdr:rowOff>95249</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43</xdr:col>
      <xdr:colOff>48191</xdr:colOff>
      <xdr:row>12</xdr:row>
      <xdr:rowOff>112356</xdr:rowOff>
    </xdr:from>
    <xdr:ext cx="5554468" cy="3179495"/>
    <xdr:pic>
      <xdr:nvPicPr>
        <xdr:cNvPr id="6" name="Imagen 5"/>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43</xdr:col>
      <xdr:colOff>557893</xdr:colOff>
      <xdr:row>32</xdr:row>
      <xdr:rowOff>108857</xdr:rowOff>
    </xdr:from>
    <xdr:to>
      <xdr:col>50</xdr:col>
      <xdr:colOff>308430</xdr:colOff>
      <xdr:row>43</xdr:row>
      <xdr:rowOff>202406</xdr:rowOff>
    </xdr:to>
    <xdr:sp macro="" textlink="">
      <xdr:nvSpPr>
        <xdr:cNvPr id="8" name="CuadroTexto 7"/>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31</xdr:col>
      <xdr:colOff>216431</xdr:colOff>
      <xdr:row>11</xdr:row>
      <xdr:rowOff>144312</xdr:rowOff>
    </xdr:from>
    <xdr:to>
      <xdr:col>42</xdr:col>
      <xdr:colOff>133767</xdr:colOff>
      <xdr:row>30</xdr:row>
      <xdr:rowOff>21677</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840052</xdr:colOff>
      <xdr:row>44</xdr:row>
      <xdr:rowOff>59531</xdr:rowOff>
    </xdr:from>
    <xdr:to>
      <xdr:col>41</xdr:col>
      <xdr:colOff>511967</xdr:colOff>
      <xdr:row>60</xdr:row>
      <xdr:rowOff>160469</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889000</xdr:colOff>
      <xdr:row>61</xdr:row>
      <xdr:rowOff>116417</xdr:rowOff>
    </xdr:from>
    <xdr:to>
      <xdr:col>41</xdr:col>
      <xdr:colOff>523874</xdr:colOff>
      <xdr:row>78</xdr:row>
      <xdr:rowOff>29501</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889000</xdr:colOff>
      <xdr:row>78</xdr:row>
      <xdr:rowOff>187854</xdr:rowOff>
    </xdr:from>
    <xdr:to>
      <xdr:col>41</xdr:col>
      <xdr:colOff>523874</xdr:colOff>
      <xdr:row>96</xdr:row>
      <xdr:rowOff>42334</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539749</xdr:colOff>
      <xdr:row>30</xdr:row>
      <xdr:rowOff>148166</xdr:rowOff>
    </xdr:from>
    <xdr:to>
      <xdr:col>41</xdr:col>
      <xdr:colOff>639535</xdr:colOff>
      <xdr:row>42</xdr:row>
      <xdr:rowOff>108857</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1809750</xdr:colOff>
      <xdr:row>88</xdr:row>
      <xdr:rowOff>122466</xdr:rowOff>
    </xdr:from>
    <xdr:to>
      <xdr:col>29</xdr:col>
      <xdr:colOff>646978</xdr:colOff>
      <xdr:row>98</xdr:row>
      <xdr:rowOff>176894</xdr:rowOff>
    </xdr:to>
    <xdr:graphicFrame macro="">
      <xdr:nvGraphicFramePr>
        <xdr:cNvPr id="15"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57</xdr:col>
      <xdr:colOff>201082</xdr:colOff>
      <xdr:row>3</xdr:row>
      <xdr:rowOff>115357</xdr:rowOff>
    </xdr:from>
    <xdr:to>
      <xdr:col>67</xdr:col>
      <xdr:colOff>635000</xdr:colOff>
      <xdr:row>15</xdr:row>
      <xdr:rowOff>137583</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65</xdr:col>
      <xdr:colOff>857250</xdr:colOff>
      <xdr:row>17</xdr:row>
      <xdr:rowOff>169334</xdr:rowOff>
    </xdr:from>
    <xdr:to>
      <xdr:col>68</xdr:col>
      <xdr:colOff>368036</xdr:colOff>
      <xdr:row>21</xdr:row>
      <xdr:rowOff>78478</xdr:rowOff>
    </xdr:to>
    <xdr:pic>
      <xdr:nvPicPr>
        <xdr:cNvPr id="10" name="Imagen 9"/>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48217667" y="3608917"/>
          <a:ext cx="2114286" cy="11238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143</xdr:col>
      <xdr:colOff>247649</xdr:colOff>
      <xdr:row>5</xdr:row>
      <xdr:rowOff>133356</xdr:rowOff>
    </xdr:from>
    <xdr:to>
      <xdr:col>151</xdr:col>
      <xdr:colOff>200025</xdr:colOff>
      <xdr:row>22</xdr:row>
      <xdr:rowOff>57150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143</xdr:col>
      <xdr:colOff>266700</xdr:colOff>
      <xdr:row>23</xdr:row>
      <xdr:rowOff>57150</xdr:rowOff>
    </xdr:from>
    <xdr:to>
      <xdr:col>151</xdr:col>
      <xdr:colOff>219076</xdr:colOff>
      <xdr:row>39</xdr:row>
      <xdr:rowOff>171444</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143</xdr:col>
      <xdr:colOff>266700</xdr:colOff>
      <xdr:row>41</xdr:row>
      <xdr:rowOff>95250</xdr:rowOff>
    </xdr:from>
    <xdr:to>
      <xdr:col>151</xdr:col>
      <xdr:colOff>219076</xdr:colOff>
      <xdr:row>55</xdr:row>
      <xdr:rowOff>66669</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143</xdr:col>
      <xdr:colOff>276225</xdr:colOff>
      <xdr:row>56</xdr:row>
      <xdr:rowOff>142875</xdr:rowOff>
    </xdr:from>
    <xdr:to>
      <xdr:col>151</xdr:col>
      <xdr:colOff>228601</xdr:colOff>
      <xdr:row>73</xdr:row>
      <xdr:rowOff>66669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855133</xdr:colOff>
      <xdr:row>25</xdr:row>
      <xdr:rowOff>27214</xdr:rowOff>
    </xdr:from>
    <xdr:to>
      <xdr:col>4</xdr:col>
      <xdr:colOff>0</xdr:colOff>
      <xdr:row>39</xdr:row>
      <xdr:rowOff>108857</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190500</xdr:colOff>
      <xdr:row>27</xdr:row>
      <xdr:rowOff>136071</xdr:rowOff>
    </xdr:from>
    <xdr:to>
      <xdr:col>7</xdr:col>
      <xdr:colOff>598715</xdr:colOff>
      <xdr:row>36</xdr:row>
      <xdr:rowOff>27214</xdr:rowOff>
    </xdr:to>
    <xdr:sp macro="" textlink="">
      <xdr:nvSpPr>
        <xdr:cNvPr id="3" name="2 CuadroTexto"/>
        <xdr:cNvSpPr txBox="1"/>
      </xdr:nvSpPr>
      <xdr:spPr>
        <a:xfrm>
          <a:off x="6789964" y="4939392"/>
          <a:ext cx="3646715" cy="160564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En el 2018 el número de establecimientos con registro turístico catastrados suman 4,381.</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86%</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14% en zonas </a:t>
          </a:r>
          <a:r>
            <a:rPr lang="es-EC" sz="1100">
              <a:solidFill>
                <a:schemeClr val="dk1"/>
              </a:solidFill>
              <a:latin typeface="+mn-lt"/>
              <a:ea typeface="+mn-ea"/>
              <a:cs typeface="+mn-cs"/>
            </a:rPr>
            <a:t>rurales, según el gráfico.</a:t>
          </a:r>
        </a:p>
        <a:p>
          <a:endParaRPr lang="es-EC" sz="1100"/>
        </a:p>
      </xdr:txBody>
    </xdr:sp>
    <xdr:clientData/>
  </xdr:twoCellAnchor>
  <xdr:twoCellAnchor>
    <xdr:from>
      <xdr:col>8</xdr:col>
      <xdr:colOff>185058</xdr:colOff>
      <xdr:row>1</xdr:row>
      <xdr:rowOff>81644</xdr:rowOff>
    </xdr:from>
    <xdr:to>
      <xdr:col>18</xdr:col>
      <xdr:colOff>666751</xdr:colOff>
      <xdr:row>28</xdr:row>
      <xdr:rowOff>108859</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21</xdr:col>
      <xdr:colOff>423219</xdr:colOff>
      <xdr:row>4</xdr:row>
      <xdr:rowOff>141493</xdr:rowOff>
    </xdr:from>
    <xdr:to>
      <xdr:col>36</xdr:col>
      <xdr:colOff>314325</xdr:colOff>
      <xdr:row>26</xdr:row>
      <xdr:rowOff>51026</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342900</xdr:colOff>
      <xdr:row>27</xdr:row>
      <xdr:rowOff>22449</xdr:rowOff>
    </xdr:from>
    <xdr:to>
      <xdr:col>36</xdr:col>
      <xdr:colOff>314325</xdr:colOff>
      <xdr:row>43</xdr:row>
      <xdr:rowOff>133350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371475</xdr:colOff>
      <xdr:row>44</xdr:row>
      <xdr:rowOff>111919</xdr:rowOff>
    </xdr:from>
    <xdr:to>
      <xdr:col>31</xdr:col>
      <xdr:colOff>504825</xdr:colOff>
      <xdr:row>68</xdr:row>
      <xdr:rowOff>38100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xdr:col>
      <xdr:colOff>2293620</xdr:colOff>
      <xdr:row>13</xdr:row>
      <xdr:rowOff>114300</xdr:rowOff>
    </xdr:from>
    <xdr:to>
      <xdr:col>24</xdr:col>
      <xdr:colOff>643890</xdr:colOff>
      <xdr:row>32</xdr:row>
      <xdr:rowOff>175260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112060</xdr:colOff>
      <xdr:row>1</xdr:row>
      <xdr:rowOff>0</xdr:rowOff>
    </xdr:from>
    <xdr:to>
      <xdr:col>1</xdr:col>
      <xdr:colOff>1552060</xdr:colOff>
      <xdr:row>8</xdr:row>
      <xdr:rowOff>29175</xdr:rowOff>
    </xdr:to>
    <xdr:sp macro="" textlink="">
      <xdr:nvSpPr>
        <xdr:cNvPr id="12" name="Rectángulo redondeado 11"/>
        <xdr:cNvSpPr/>
      </xdr:nvSpPr>
      <xdr:spPr>
        <a:xfrm>
          <a:off x="321610" y="180975"/>
          <a:ext cx="1440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519985</xdr:colOff>
      <xdr:row>0</xdr:row>
      <xdr:rowOff>175778</xdr:rowOff>
    </xdr:from>
    <xdr:to>
      <xdr:col>4</xdr:col>
      <xdr:colOff>997960</xdr:colOff>
      <xdr:row>8</xdr:row>
      <xdr:rowOff>23978</xdr:rowOff>
    </xdr:to>
    <xdr:sp macro="" textlink="">
      <xdr:nvSpPr>
        <xdr:cNvPr id="13" name="Rectángulo redondeado 12"/>
        <xdr:cNvSpPr/>
      </xdr:nvSpPr>
      <xdr:spPr>
        <a:xfrm>
          <a:off x="3310810" y="175778"/>
          <a:ext cx="1440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107020</xdr:colOff>
      <xdr:row>1</xdr:row>
      <xdr:rowOff>0</xdr:rowOff>
    </xdr:from>
    <xdr:to>
      <xdr:col>10</xdr:col>
      <xdr:colOff>1547020</xdr:colOff>
      <xdr:row>8</xdr:row>
      <xdr:rowOff>29175</xdr:rowOff>
    </xdr:to>
    <xdr:sp macro="" textlink="">
      <xdr:nvSpPr>
        <xdr:cNvPr id="14" name="Rectángulo redondeado 13"/>
        <xdr:cNvSpPr/>
      </xdr:nvSpPr>
      <xdr:spPr>
        <a:xfrm>
          <a:off x="12470470" y="180975"/>
          <a:ext cx="1440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104501</xdr:colOff>
      <xdr:row>1</xdr:row>
      <xdr:rowOff>0</xdr:rowOff>
    </xdr:from>
    <xdr:to>
      <xdr:col>11</xdr:col>
      <xdr:colOff>1544501</xdr:colOff>
      <xdr:row>8</xdr:row>
      <xdr:rowOff>29175</xdr:rowOff>
    </xdr:to>
    <xdr:sp macro="" textlink="">
      <xdr:nvSpPr>
        <xdr:cNvPr id="15" name="Rectángulo redondeado 14"/>
        <xdr:cNvSpPr/>
      </xdr:nvSpPr>
      <xdr:spPr>
        <a:xfrm>
          <a:off x="14087201" y="180975"/>
          <a:ext cx="1440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101981</xdr:colOff>
      <xdr:row>1</xdr:row>
      <xdr:rowOff>0</xdr:rowOff>
    </xdr:from>
    <xdr:to>
      <xdr:col>9</xdr:col>
      <xdr:colOff>1541981</xdr:colOff>
      <xdr:row>8</xdr:row>
      <xdr:rowOff>29175</xdr:rowOff>
    </xdr:to>
    <xdr:sp macro="" textlink="">
      <xdr:nvSpPr>
        <xdr:cNvPr id="16" name="Rectángulo redondeado 15"/>
        <xdr:cNvSpPr/>
      </xdr:nvSpPr>
      <xdr:spPr>
        <a:xfrm>
          <a:off x="10846181" y="180975"/>
          <a:ext cx="1440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746238</xdr:colOff>
      <xdr:row>0</xdr:row>
      <xdr:rowOff>161058</xdr:rowOff>
    </xdr:from>
    <xdr:to>
      <xdr:col>6</xdr:col>
      <xdr:colOff>767013</xdr:colOff>
      <xdr:row>8</xdr:row>
      <xdr:rowOff>9258</xdr:rowOff>
    </xdr:to>
    <xdr:sp macro="" textlink="">
      <xdr:nvSpPr>
        <xdr:cNvPr id="17" name="Rectángulo redondeado 16"/>
        <xdr:cNvSpPr/>
      </xdr:nvSpPr>
      <xdr:spPr>
        <a:xfrm>
          <a:off x="5813538" y="161058"/>
          <a:ext cx="1440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editAs="oneCell">
    <xdr:from>
      <xdr:col>7</xdr:col>
      <xdr:colOff>609600</xdr:colOff>
      <xdr:row>1</xdr:row>
      <xdr:rowOff>0</xdr:rowOff>
    </xdr:from>
    <xdr:to>
      <xdr:col>8</xdr:col>
      <xdr:colOff>638175</xdr:colOff>
      <xdr:row>8</xdr:row>
      <xdr:rowOff>29175</xdr:rowOff>
    </xdr:to>
    <xdr:pic>
      <xdr:nvPicPr>
        <xdr:cNvPr id="9" name="Imagen 8" descr="Resultado de imagen para hotel vecto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b="8088"/>
        <a:stretch/>
      </xdr:blipFill>
      <xdr:spPr bwMode="auto">
        <a:xfrm>
          <a:off x="8515350" y="180975"/>
          <a:ext cx="1447800" cy="1296000"/>
        </a:xfrm>
        <a:prstGeom prst="rect">
          <a:avLst/>
        </a:prstGeom>
        <a:noFill/>
        <a:ln w="28575">
          <a:solidFill>
            <a:srgbClr val="7030A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0.69753</cdr:x>
      <cdr:y>0.48029</cdr:y>
    </cdr:from>
    <cdr:to>
      <cdr:x>0.94417</cdr:x>
      <cdr:y>0.67765</cdr:y>
    </cdr:to>
    <cdr:sp macro="" textlink="">
      <cdr:nvSpPr>
        <cdr:cNvPr id="2" name="1 CuadroTexto"/>
        <cdr:cNvSpPr txBox="1"/>
      </cdr:nvSpPr>
      <cdr:spPr>
        <a:xfrm xmlns:a="http://schemas.openxmlformats.org/drawingml/2006/main">
          <a:off x="5052061" y="1555414"/>
          <a:ext cx="1786370" cy="6391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900" b="1" baseline="0" smtClean="0">
              <a:latin typeface="+mn-lt"/>
              <a:ea typeface="+mn-ea"/>
              <a:cs typeface="+mn-cs"/>
            </a:rPr>
            <a:t>El 64% de establecimientos</a:t>
          </a:r>
        </a:p>
        <a:p xmlns:a="http://schemas.openxmlformats.org/drawingml/2006/main">
          <a:r>
            <a:rPr lang="es-EC" sz="900" b="1" baseline="0" smtClean="0">
              <a:latin typeface="+mn-lt"/>
              <a:ea typeface="+mn-ea"/>
              <a:cs typeface="+mn-cs"/>
            </a:rPr>
            <a:t>turísticos de Quito ofrece servicios de Alimentos y Bebidas.</a:t>
          </a:r>
          <a:endParaRPr lang="es-EC" sz="900" b="1"/>
        </a:p>
      </cdr:txBody>
    </cdr:sp>
  </cdr:relSizeAnchor>
</c:userShapes>
</file>

<file path=xl/drawings/drawing21.xml><?xml version="1.0" encoding="utf-8"?>
<xdr:wsDr xmlns:xdr="http://schemas.openxmlformats.org/drawingml/2006/spreadsheetDrawing" xmlns:a="http://schemas.openxmlformats.org/drawingml/2006/main">
  <xdr:twoCellAnchor>
    <xdr:from>
      <xdr:col>7</xdr:col>
      <xdr:colOff>66675</xdr:colOff>
      <xdr:row>5</xdr:row>
      <xdr:rowOff>125730</xdr:rowOff>
    </xdr:from>
    <xdr:to>
      <xdr:col>11</xdr:col>
      <xdr:colOff>344805</xdr:colOff>
      <xdr:row>12</xdr:row>
      <xdr:rowOff>144780</xdr:rowOff>
    </xdr:to>
    <xdr:sp macro="" textlink="">
      <xdr:nvSpPr>
        <xdr:cNvPr id="2" name="1 CuadroTexto"/>
        <xdr:cNvSpPr txBox="1"/>
      </xdr:nvSpPr>
      <xdr:spPr>
        <a:xfrm>
          <a:off x="8646795" y="674370"/>
          <a:ext cx="3448050" cy="111633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453840</xdr:colOff>
      <xdr:row>19</xdr:row>
      <xdr:rowOff>55467</xdr:rowOff>
    </xdr:from>
    <xdr:to>
      <xdr:col>4</xdr:col>
      <xdr:colOff>806824</xdr:colOff>
      <xdr:row>23</xdr:row>
      <xdr:rowOff>112058</xdr:rowOff>
    </xdr:to>
    <xdr:sp macro="" textlink="">
      <xdr:nvSpPr>
        <xdr:cNvPr id="3" name="3 CuadroTexto"/>
        <xdr:cNvSpPr txBox="1"/>
      </xdr:nvSpPr>
      <xdr:spPr>
        <a:xfrm>
          <a:off x="610722" y="3506879"/>
          <a:ext cx="3647514" cy="82979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200" baseline="0" smtClean="0">
              <a:solidFill>
                <a:sysClr val="windowText" lastClr="000000"/>
              </a:solidFill>
              <a:latin typeface="+mn-lt"/>
              <a:ea typeface="+mn-ea"/>
              <a:cs typeface="+mn-cs"/>
            </a:rPr>
            <a:t>El número de habitaciones instaladas en la ciudad de Quito es de 13.776 y dispone de 28.458 plazas </a:t>
          </a:r>
        </a:p>
      </xdr:txBody>
    </xdr:sp>
    <xdr:clientData/>
  </xdr:twoCellAnchor>
  <xdr:twoCellAnchor>
    <xdr:from>
      <xdr:col>6</xdr:col>
      <xdr:colOff>517712</xdr:colOff>
      <xdr:row>16</xdr:row>
      <xdr:rowOff>80682</xdr:rowOff>
    </xdr:from>
    <xdr:to>
      <xdr:col>14</xdr:col>
      <xdr:colOff>555810</xdr:colOff>
      <xdr:row>35</xdr:row>
      <xdr:rowOff>62751</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56029</xdr:colOff>
      <xdr:row>35</xdr:row>
      <xdr:rowOff>78442</xdr:rowOff>
    </xdr:from>
    <xdr:to>
      <xdr:col>5</xdr:col>
      <xdr:colOff>333375</xdr:colOff>
      <xdr:row>37</xdr:row>
      <xdr:rowOff>161365</xdr:rowOff>
    </xdr:to>
    <xdr:sp macro="" textlink="">
      <xdr:nvSpPr>
        <xdr:cNvPr id="5" name="3 CuadroTexto"/>
        <xdr:cNvSpPr txBox="1"/>
      </xdr:nvSpPr>
      <xdr:spPr>
        <a:xfrm>
          <a:off x="1373841" y="6488207"/>
          <a:ext cx="3773581" cy="441511"/>
        </a:xfrm>
        <a:prstGeom prst="rect">
          <a:avLst/>
        </a:prstGeom>
        <a:solidFill>
          <a:sysClr val="window" lastClr="FFFFFF"/>
        </a:solidFill>
        <a:ln/>
      </xdr:spPr>
      <xdr:style>
        <a:lnRef idx="1">
          <a:schemeClr val="dk1"/>
        </a:lnRef>
        <a:fillRef idx="2">
          <a:schemeClr val="dk1"/>
        </a:fillRef>
        <a:effectRef idx="1">
          <a:schemeClr val="dk1"/>
        </a:effectRef>
        <a:fontRef idx="minor">
          <a:schemeClr val="dk1"/>
        </a:fontRef>
      </xdr:style>
      <xdr:txBody>
        <a:bodyPr vertOverflow="clip" wrap="square" rtlCol="0" anchor="t"/>
        <a:lstStyle/>
        <a:p>
          <a:r>
            <a:rPr lang="es-EC" sz="1200" baseline="0" smtClean="0">
              <a:solidFill>
                <a:sysClr val="windowText" lastClr="000000"/>
              </a:solidFill>
              <a:latin typeface="+mn-lt"/>
              <a:ea typeface="+mn-ea"/>
              <a:cs typeface="+mn-cs"/>
            </a:rPr>
            <a:t>La ciudad cuenta con 28.458 plazas.</a:t>
          </a:r>
          <a:endParaRPr lang="es-EC" sz="1200">
            <a:solidFill>
              <a:sysClr val="windowText" lastClr="00000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445770</xdr:colOff>
      <xdr:row>30</xdr:row>
      <xdr:rowOff>154305</xdr:rowOff>
    </xdr:from>
    <xdr:to>
      <xdr:col>11</xdr:col>
      <xdr:colOff>438150</xdr:colOff>
      <xdr:row>48</xdr:row>
      <xdr:rowOff>36195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457200</xdr:colOff>
      <xdr:row>6</xdr:row>
      <xdr:rowOff>80010</xdr:rowOff>
    </xdr:from>
    <xdr:to>
      <xdr:col>18</xdr:col>
      <xdr:colOff>335280</xdr:colOff>
      <xdr:row>27</xdr:row>
      <xdr:rowOff>7620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280147</xdr:colOff>
      <xdr:row>27</xdr:row>
      <xdr:rowOff>100853</xdr:rowOff>
    </xdr:from>
    <xdr:to>
      <xdr:col>16</xdr:col>
      <xdr:colOff>1411941</xdr:colOff>
      <xdr:row>53</xdr:row>
      <xdr:rowOff>112058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392204</xdr:colOff>
      <xdr:row>3</xdr:row>
      <xdr:rowOff>11207</xdr:rowOff>
    </xdr:from>
    <xdr:to>
      <xdr:col>13</xdr:col>
      <xdr:colOff>156881</xdr:colOff>
      <xdr:row>26</xdr:row>
      <xdr:rowOff>168089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481854</xdr:colOff>
      <xdr:row>14</xdr:row>
      <xdr:rowOff>0</xdr:rowOff>
    </xdr:from>
    <xdr:to>
      <xdr:col>15</xdr:col>
      <xdr:colOff>78441</xdr:colOff>
      <xdr:row>25</xdr:row>
      <xdr:rowOff>44824</xdr:rowOff>
    </xdr:to>
    <xdr:sp macro="" textlink="">
      <xdr:nvSpPr>
        <xdr:cNvPr id="4" name="2 CuadroTexto"/>
        <xdr:cNvSpPr txBox="1"/>
      </xdr:nvSpPr>
      <xdr:spPr>
        <a:xfrm>
          <a:off x="13435854" y="2886075"/>
          <a:ext cx="2644587" cy="214032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10%. Ambas son consideradas como las Zonas Especiales Turísticas de Quito (ZET). </a:t>
          </a:r>
          <a:endParaRPr lang="es-EC" sz="12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5</xdr:col>
      <xdr:colOff>257175</xdr:colOff>
      <xdr:row>12</xdr:row>
      <xdr:rowOff>109536</xdr:rowOff>
    </xdr:from>
    <xdr:to>
      <xdr:col>13</xdr:col>
      <xdr:colOff>542925</xdr:colOff>
      <xdr:row>27</xdr:row>
      <xdr:rowOff>171449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13</xdr:col>
      <xdr:colOff>324971</xdr:colOff>
      <xdr:row>4</xdr:row>
      <xdr:rowOff>57150</xdr:rowOff>
    </xdr:from>
    <xdr:to>
      <xdr:col>22</xdr:col>
      <xdr:colOff>89647</xdr:colOff>
      <xdr:row>32</xdr:row>
      <xdr:rowOff>56029</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89647</xdr:colOff>
      <xdr:row>2</xdr:row>
      <xdr:rowOff>144962</xdr:rowOff>
    </xdr:from>
    <xdr:to>
      <xdr:col>31</xdr:col>
      <xdr:colOff>257735</xdr:colOff>
      <xdr:row>22</xdr:row>
      <xdr:rowOff>6161</xdr:rowOff>
    </xdr:to>
    <xdr:pic>
      <xdr:nvPicPr>
        <xdr:cNvPr id="3" name="Imagen 2"/>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7548412" y="458727"/>
          <a:ext cx="7026088" cy="314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156883</xdr:colOff>
      <xdr:row>19</xdr:row>
      <xdr:rowOff>179292</xdr:rowOff>
    </xdr:from>
    <xdr:to>
      <xdr:col>31</xdr:col>
      <xdr:colOff>44825</xdr:colOff>
      <xdr:row>21</xdr:row>
      <xdr:rowOff>112057</xdr:rowOff>
    </xdr:to>
    <xdr:sp macro="" textlink="">
      <xdr:nvSpPr>
        <xdr:cNvPr id="2" name="Elipse 1"/>
        <xdr:cNvSpPr/>
      </xdr:nvSpPr>
      <xdr:spPr>
        <a:xfrm>
          <a:off x="27678530" y="3417792"/>
          <a:ext cx="649942" cy="280147"/>
        </a:xfrm>
        <a:prstGeom prst="ellipse">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16</xdr:col>
      <xdr:colOff>481853</xdr:colOff>
      <xdr:row>22</xdr:row>
      <xdr:rowOff>56031</xdr:rowOff>
    </xdr:from>
    <xdr:to>
      <xdr:col>30</xdr:col>
      <xdr:colOff>504265</xdr:colOff>
      <xdr:row>30</xdr:row>
      <xdr:rowOff>0</xdr:rowOff>
    </xdr:to>
    <xdr:cxnSp macro="">
      <xdr:nvCxnSpPr>
        <xdr:cNvPr id="6" name="Conector angular 5"/>
        <xdr:cNvCxnSpPr/>
      </xdr:nvCxnSpPr>
      <xdr:spPr>
        <a:xfrm flipV="1">
          <a:off x="18657794" y="3798796"/>
          <a:ext cx="10690412" cy="1299880"/>
        </a:xfrm>
        <a:prstGeom prst="bentConnector3">
          <a:avLst>
            <a:gd name="adj1" fmla="val 100000"/>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31</xdr:col>
      <xdr:colOff>262592</xdr:colOff>
      <xdr:row>2</xdr:row>
      <xdr:rowOff>11207</xdr:rowOff>
    </xdr:from>
    <xdr:to>
      <xdr:col>40</xdr:col>
      <xdr:colOff>280147</xdr:colOff>
      <xdr:row>24</xdr:row>
      <xdr:rowOff>34790</xdr:rowOff>
    </xdr:to>
    <xdr:pic>
      <xdr:nvPicPr>
        <xdr:cNvPr id="5" name="Imagen 4"/>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24579357" y="324972"/>
          <a:ext cx="6875555" cy="3620671"/>
        </a:xfrm>
        <a:prstGeom prst="rect">
          <a:avLst/>
        </a:prstGeom>
      </xdr:spPr>
    </xdr:pic>
    <xdr:clientData/>
  </xdr:twoCellAnchor>
  <xdr:twoCellAnchor>
    <xdr:from>
      <xdr:col>17</xdr:col>
      <xdr:colOff>313766</xdr:colOff>
      <xdr:row>22</xdr:row>
      <xdr:rowOff>11206</xdr:rowOff>
    </xdr:from>
    <xdr:to>
      <xdr:col>39</xdr:col>
      <xdr:colOff>672353</xdr:colOff>
      <xdr:row>27</xdr:row>
      <xdr:rowOff>89649</xdr:rowOff>
    </xdr:to>
    <xdr:cxnSp macro="">
      <xdr:nvCxnSpPr>
        <xdr:cNvPr id="20" name="Conector angular 19"/>
        <xdr:cNvCxnSpPr/>
      </xdr:nvCxnSpPr>
      <xdr:spPr>
        <a:xfrm flipV="1">
          <a:off x="19251707" y="3753971"/>
          <a:ext cx="17122587" cy="963707"/>
        </a:xfrm>
        <a:prstGeom prst="bentConnector3">
          <a:avLst>
            <a:gd name="adj1" fmla="val 100000"/>
          </a:avLst>
        </a:prstGeom>
        <a:ln>
          <a:solidFill>
            <a:schemeClr val="accent2"/>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291353</xdr:colOff>
      <xdr:row>19</xdr:row>
      <xdr:rowOff>145673</xdr:rowOff>
    </xdr:from>
    <xdr:to>
      <xdr:col>40</xdr:col>
      <xdr:colOff>179295</xdr:colOff>
      <xdr:row>21</xdr:row>
      <xdr:rowOff>78437</xdr:rowOff>
    </xdr:to>
    <xdr:sp macro="" textlink="">
      <xdr:nvSpPr>
        <xdr:cNvPr id="24" name="Elipse 23"/>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40</xdr:col>
      <xdr:colOff>369793</xdr:colOff>
      <xdr:row>2</xdr:row>
      <xdr:rowOff>33618</xdr:rowOff>
    </xdr:from>
    <xdr:to>
      <xdr:col>50</xdr:col>
      <xdr:colOff>50986</xdr:colOff>
      <xdr:row>22</xdr:row>
      <xdr:rowOff>54197</xdr:rowOff>
    </xdr:to>
    <xdr:pic>
      <xdr:nvPicPr>
        <xdr:cNvPr id="14" name="Imagen 1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112059</xdr:colOff>
      <xdr:row>21</xdr:row>
      <xdr:rowOff>114301</xdr:rowOff>
    </xdr:from>
    <xdr:to>
      <xdr:col>49</xdr:col>
      <xdr:colOff>264458</xdr:colOff>
      <xdr:row>25</xdr:row>
      <xdr:rowOff>22412</xdr:rowOff>
    </xdr:to>
    <xdr:cxnSp macro="">
      <xdr:nvCxnSpPr>
        <xdr:cNvPr id="21" name="Conector angular 20"/>
        <xdr:cNvCxnSpPr/>
      </xdr:nvCxnSpPr>
      <xdr:spPr>
        <a:xfrm flipV="1">
          <a:off x="19812000" y="3700183"/>
          <a:ext cx="23774399" cy="569258"/>
        </a:xfrm>
        <a:prstGeom prst="bentConnector3">
          <a:avLst>
            <a:gd name="adj1" fmla="val 100009"/>
          </a:avLst>
        </a:prstGeom>
        <a:ln>
          <a:headEnd type="triangle"/>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49</xdr:col>
      <xdr:colOff>44824</xdr:colOff>
      <xdr:row>19</xdr:row>
      <xdr:rowOff>134470</xdr:rowOff>
    </xdr:from>
    <xdr:to>
      <xdr:col>49</xdr:col>
      <xdr:colOff>694766</xdr:colOff>
      <xdr:row>21</xdr:row>
      <xdr:rowOff>67234</xdr:rowOff>
    </xdr:to>
    <xdr:sp macro="" textlink="">
      <xdr:nvSpPr>
        <xdr:cNvPr id="23" name="Elipse 22"/>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29.xml><?xml version="1.0" encoding="utf-8"?>
<c:userShapes xmlns:c="http://schemas.openxmlformats.org/drawingml/2006/chart">
  <cdr:relSizeAnchor xmlns:cdr="http://schemas.openxmlformats.org/drawingml/2006/chartDrawing">
    <cdr:from>
      <cdr:x>0.07371</cdr:x>
      <cdr:y>0.13621</cdr:y>
    </cdr:from>
    <cdr:to>
      <cdr:x>0.55838</cdr:x>
      <cdr:y>0.4575</cdr:y>
    </cdr:to>
    <cdr:sp macro="" textlink="">
      <cdr:nvSpPr>
        <cdr:cNvPr id="2" name="2 CuadroTexto"/>
        <cdr:cNvSpPr txBox="1"/>
      </cdr:nvSpPr>
      <cdr:spPr>
        <a:xfrm xmlns:a="http://schemas.openxmlformats.org/drawingml/2006/main">
          <a:off x="488158" y="630230"/>
          <a:ext cx="3209784" cy="1486561"/>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000" baseline="0" smtClean="0">
              <a:solidFill>
                <a:schemeClr val="dk1"/>
              </a:solidFill>
              <a:latin typeface="+mn-lt"/>
              <a:ea typeface="+mn-ea"/>
              <a:cs typeface="+mn-cs"/>
            </a:rPr>
            <a:t>De acuerdo a las  llegadas de turistas no residentes registradas en 2018,  y al gasto per cápita promedio en la ciudad  del mes de diciembre 2016 (759,82 dólares),  el ingreso anual de divisas de la ciudad de Quito se estima fue de, aproximadamente, 526 millones de dólares, es decir un  +6% que en el año 2017.</a:t>
          </a:r>
        </a:p>
        <a:p xmlns:a="http://schemas.openxmlformats.org/drawingml/2006/main">
          <a:r>
            <a:rPr lang="es-EC" sz="1000" baseline="0" smtClean="0">
              <a:solidFill>
                <a:schemeClr val="dk1"/>
              </a:solidFill>
              <a:latin typeface="+mn-lt"/>
              <a:ea typeface="+mn-ea"/>
              <a:cs typeface="+mn-cs"/>
            </a:rPr>
            <a:t>2017 (e).- 496 millones</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11</xdr:col>
      <xdr:colOff>749488</xdr:colOff>
      <xdr:row>63</xdr:row>
      <xdr:rowOff>57150</xdr:rowOff>
    </xdr:to>
    <xdr:pic>
      <xdr:nvPicPr>
        <xdr:cNvPr id="2" name="Imagen 1"/>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8575" y="19050"/>
          <a:ext cx="9102913" cy="1146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12</xdr:col>
      <xdr:colOff>381000</xdr:colOff>
      <xdr:row>0</xdr:row>
      <xdr:rowOff>28576</xdr:rowOff>
    </xdr:from>
    <xdr:to>
      <xdr:col>22</xdr:col>
      <xdr:colOff>380999</xdr:colOff>
      <xdr:row>20</xdr:row>
      <xdr:rowOff>168089</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1994648</xdr:colOff>
      <xdr:row>20</xdr:row>
      <xdr:rowOff>156882</xdr:rowOff>
    </xdr:from>
    <xdr:to>
      <xdr:col>14</xdr:col>
      <xdr:colOff>718858</xdr:colOff>
      <xdr:row>40</xdr:row>
      <xdr:rowOff>33618</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2.xml><?xml version="1.0" encoding="utf-8"?>
<xdr:wsDr xmlns:xdr="http://schemas.openxmlformats.org/drawingml/2006/spreadsheetDrawing" xmlns:a="http://schemas.openxmlformats.org/drawingml/2006/main">
  <xdr:twoCellAnchor>
    <xdr:from>
      <xdr:col>13</xdr:col>
      <xdr:colOff>57151</xdr:colOff>
      <xdr:row>12</xdr:row>
      <xdr:rowOff>133349</xdr:rowOff>
    </xdr:from>
    <xdr:to>
      <xdr:col>21</xdr:col>
      <xdr:colOff>38101</xdr:colOff>
      <xdr:row>37</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47625</xdr:colOff>
      <xdr:row>0</xdr:row>
      <xdr:rowOff>19051</xdr:rowOff>
    </xdr:from>
    <xdr:to>
      <xdr:col>23</xdr:col>
      <xdr:colOff>352425</xdr:colOff>
      <xdr:row>12</xdr:row>
      <xdr:rowOff>104776</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0.72145</cdr:x>
      <cdr:y>0.08619</cdr:y>
    </cdr:from>
    <cdr:to>
      <cdr:x>0.97273</cdr:x>
      <cdr:y>0.4</cdr:y>
    </cdr:to>
    <cdr:sp macro="" textlink="">
      <cdr:nvSpPr>
        <cdr:cNvPr id="2" name="2 CuadroTexto"/>
        <cdr:cNvSpPr txBox="1"/>
      </cdr:nvSpPr>
      <cdr:spPr>
        <a:xfrm xmlns:a="http://schemas.openxmlformats.org/drawingml/2006/main">
          <a:off x="4933951" y="213461"/>
          <a:ext cx="1718516" cy="777138"/>
        </a:xfrm>
        <a:prstGeom xmlns:a="http://schemas.openxmlformats.org/drawingml/2006/main" prst="rect">
          <a:avLst/>
        </a:prstGeom>
        <a:solidFill xmlns:a="http://schemas.openxmlformats.org/drawingml/2006/main">
          <a:sysClr val="window" lastClr="FFFFFF"/>
        </a:solidFill>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s-EC" sz="1000" baseline="0" smtClean="0">
              <a:solidFill>
                <a:sysClr val="windowText" lastClr="000000"/>
              </a:solidFill>
              <a:latin typeface="Calibri"/>
            </a:rPr>
            <a:t>En 2015 se mantiene el dato de que la mayoría de turistas que visitan el DMQ tiene instrucción superior. </a:t>
          </a:r>
          <a:endParaRPr lang="es-EC" sz="1000"/>
        </a:p>
      </cdr:txBody>
    </cdr:sp>
  </cdr:relSizeAnchor>
</c:userShapes>
</file>

<file path=xl/drawings/drawing34.xml><?xml version="1.0" encoding="utf-8"?>
<xdr:wsDr xmlns:xdr="http://schemas.openxmlformats.org/drawingml/2006/spreadsheetDrawing" xmlns:a="http://schemas.openxmlformats.org/drawingml/2006/main">
  <xdr:twoCellAnchor>
    <xdr:from>
      <xdr:col>2</xdr:col>
      <xdr:colOff>657224</xdr:colOff>
      <xdr:row>9</xdr:row>
      <xdr:rowOff>161925</xdr:rowOff>
    </xdr:from>
    <xdr:to>
      <xdr:col>11</xdr:col>
      <xdr:colOff>123824</xdr:colOff>
      <xdr:row>28</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turista que visita Quito tiene entre 18 y 45 años, en promedio.</a:t>
          </a:r>
          <a:endParaRPr lang="es-EC" sz="1000"/>
        </a:p>
      </cdr:txBody>
    </cdr:sp>
  </cdr:relSizeAnchor>
</c:userShapes>
</file>

<file path=xl/drawings/drawing36.xml><?xml version="1.0" encoding="utf-8"?>
<xdr:wsDr xmlns:xdr="http://schemas.openxmlformats.org/drawingml/2006/spreadsheetDrawing" xmlns:a="http://schemas.openxmlformats.org/drawingml/2006/main">
  <xdr:twoCellAnchor>
    <xdr:from>
      <xdr:col>10</xdr:col>
      <xdr:colOff>285750</xdr:colOff>
      <xdr:row>19</xdr:row>
      <xdr:rowOff>85725</xdr:rowOff>
    </xdr:from>
    <xdr:to>
      <xdr:col>17</xdr:col>
      <xdr:colOff>723900</xdr:colOff>
      <xdr:row>37</xdr:row>
      <xdr:rowOff>123265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190500</xdr:colOff>
      <xdr:row>19</xdr:row>
      <xdr:rowOff>180975</xdr:rowOff>
    </xdr:from>
    <xdr:to>
      <xdr:col>21</xdr:col>
      <xdr:colOff>447675</xdr:colOff>
      <xdr:row>28</xdr:row>
      <xdr:rowOff>0</xdr:rowOff>
    </xdr:to>
    <xdr:sp macro="" textlink="">
      <xdr:nvSpPr>
        <xdr:cNvPr id="4" name="3 CuadroTexto"/>
        <xdr:cNvSpPr txBox="1"/>
      </xdr:nvSpPr>
      <xdr:spPr>
        <a:xfrm>
          <a:off x="12534900" y="4476750"/>
          <a:ext cx="2543175"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baseline="0">
              <a:solidFill>
                <a:schemeClr val="dk1"/>
              </a:solidFill>
              <a:effectLst/>
              <a:latin typeface="+mn-lt"/>
              <a:ea typeface="+mn-ea"/>
              <a:cs typeface="+mn-cs"/>
            </a:rPr>
            <a:t>El segmento de Turismo RICE.- </a:t>
          </a:r>
          <a:r>
            <a:rPr lang="es-EC" sz="1100">
              <a:solidFill>
                <a:schemeClr val="dk1"/>
              </a:solidFill>
              <a:effectLst/>
              <a:latin typeface="+mn-lt"/>
              <a:ea typeface="+mn-ea"/>
              <a:cs typeface="+mn-cs"/>
            </a:rPr>
            <a:t> </a:t>
          </a:r>
          <a:r>
            <a:rPr lang="es-EC" sz="1100" baseline="0">
              <a:solidFill>
                <a:schemeClr val="dk1"/>
              </a:solidFill>
              <a:effectLst/>
              <a:latin typeface="+mn-lt"/>
              <a:ea typeface="+mn-ea"/>
              <a:cs typeface="+mn-cs"/>
            </a:rPr>
            <a:t>En agosto 2015, llegó a ser el 15% del total de visitantes a Quito correspondió al turismo de negocios,  Reuniones, Incentivos, Congresos y Eventos.</a:t>
          </a:r>
          <a:endParaRPr lang="es-EC" sz="1000">
            <a:effectLst/>
          </a:endParaRPr>
        </a:p>
      </xdr:txBody>
    </xdr:sp>
    <xdr:clientData/>
  </xdr:twoCellAnchor>
  <xdr:twoCellAnchor>
    <xdr:from>
      <xdr:col>16</xdr:col>
      <xdr:colOff>409574</xdr:colOff>
      <xdr:row>0</xdr:row>
      <xdr:rowOff>285750</xdr:rowOff>
    </xdr:from>
    <xdr:to>
      <xdr:col>23</xdr:col>
      <xdr:colOff>704849</xdr:colOff>
      <xdr:row>18</xdr:row>
      <xdr:rowOff>95250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728383</xdr:colOff>
      <xdr:row>30</xdr:row>
      <xdr:rowOff>33617</xdr:rowOff>
    </xdr:from>
    <xdr:to>
      <xdr:col>21</xdr:col>
      <xdr:colOff>200015</xdr:colOff>
      <xdr:row>34</xdr:row>
      <xdr:rowOff>134838</xdr:rowOff>
    </xdr:to>
    <xdr:sp macro="" textlink="">
      <xdr:nvSpPr>
        <xdr:cNvPr id="6" name="1 CuadroTexto"/>
        <xdr:cNvSpPr txBox="1"/>
      </xdr:nvSpPr>
      <xdr:spPr>
        <a:xfrm>
          <a:off x="12819530" y="5771029"/>
          <a:ext cx="2519632" cy="728750"/>
        </a:xfrm>
        <a:prstGeom prst="rect">
          <a:avLst/>
        </a:prstGeom>
        <a:solidFill>
          <a:schemeClr val="bg1"/>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1" fontAlgn="auto" latinLnBrk="0" hangingPunct="1"/>
          <a:r>
            <a:rPr lang="es-EC" sz="1100" baseline="0">
              <a:effectLst/>
              <a:latin typeface="Calibri"/>
              <a:ea typeface="+mn-ea"/>
              <a:cs typeface="+mn-cs"/>
            </a:rPr>
            <a:t>El turista que visita Quito llega motivado por:  ocio, recreo y vacaciones, además por visita a familiares o amigos; seguido por motivo de negocios.</a:t>
          </a:r>
          <a:endParaRPr lang="es-EC" sz="1000">
            <a:effectLst/>
          </a:endParaRPr>
        </a:p>
      </xdr:txBody>
    </xdr:sp>
    <xdr:clientData/>
  </xdr:twoCellAnchor>
</xdr:wsDr>
</file>

<file path=xl/drawings/drawing37.xml><?xml version="1.0" encoding="utf-8"?>
<c:userShapes xmlns:c="http://schemas.openxmlformats.org/drawingml/2006/chart">
  <cdr:relSizeAnchor xmlns:cdr="http://schemas.openxmlformats.org/drawingml/2006/chartDrawing">
    <cdr:from>
      <cdr:x>0.77327</cdr:x>
      <cdr:y>0.22252</cdr:y>
    </cdr:from>
    <cdr:to>
      <cdr:x>0.98308</cdr:x>
      <cdr:y>0.84182</cdr:y>
    </cdr:to>
    <cdr:sp macro="" textlink="">
      <cdr:nvSpPr>
        <cdr:cNvPr id="2" name="1 CuadroTexto"/>
        <cdr:cNvSpPr txBox="1"/>
      </cdr:nvSpPr>
      <cdr:spPr>
        <a:xfrm xmlns:a="http://schemas.openxmlformats.org/drawingml/2006/main">
          <a:off x="4352926" y="790575"/>
          <a:ext cx="1181102" cy="2200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llegó en agosto 2015 motivado por:  ocio, recreo y vacaciones, además por visita a familiares o amigos; seguido por motivo de negocios.</a:t>
          </a:r>
          <a:endParaRPr lang="es-EC" sz="1000"/>
        </a:p>
      </cdr:txBody>
    </cdr:sp>
  </cdr:relSizeAnchor>
</c:userShapes>
</file>

<file path=xl/drawings/drawing38.xml><?xml version="1.0" encoding="utf-8"?>
<xdr:wsDr xmlns:xdr="http://schemas.openxmlformats.org/drawingml/2006/spreadsheetDrawing" xmlns:a="http://schemas.openxmlformats.org/drawingml/2006/main">
  <xdr:twoCellAnchor>
    <xdr:from>
      <xdr:col>12</xdr:col>
      <xdr:colOff>323851</xdr:colOff>
      <xdr:row>0</xdr:row>
      <xdr:rowOff>190500</xdr:rowOff>
    </xdr:from>
    <xdr:to>
      <xdr:col>19</xdr:col>
      <xdr:colOff>104775</xdr:colOff>
      <xdr:row>20</xdr:row>
      <xdr:rowOff>9525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514350</xdr:colOff>
      <xdr:row>16</xdr:row>
      <xdr:rowOff>9525</xdr:rowOff>
    </xdr:from>
    <xdr:to>
      <xdr:col>15</xdr:col>
      <xdr:colOff>498255</xdr:colOff>
      <xdr:row>20</xdr:row>
      <xdr:rowOff>110570</xdr:rowOff>
    </xdr:to>
    <xdr:sp macro="" textlink="">
      <xdr:nvSpPr>
        <xdr:cNvPr id="4" name="1 CuadroTexto"/>
        <xdr:cNvSpPr txBox="1"/>
      </xdr:nvSpPr>
      <xdr:spPr>
        <a:xfrm>
          <a:off x="8782050" y="3486150"/>
          <a:ext cx="2269905" cy="86304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EC" sz="1000" baseline="0">
              <a:latin typeface="Calibri"/>
            </a:rPr>
            <a:t>En agosto  2015 se mantiene el porcentaje de preferencia de escoger a Quito como destino turístico respecto de la investigación de agosto 2014.</a:t>
          </a:r>
          <a:endParaRPr lang="es-EC" sz="1000"/>
        </a:p>
      </xdr:txBody>
    </xdr:sp>
    <xdr:clientData/>
  </xdr:twoCellAnchor>
</xdr:wsDr>
</file>

<file path=xl/drawings/drawing39.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xml><?xml version="1.0" encoding="utf-8"?>
<xdr:wsDr xmlns:xdr="http://schemas.openxmlformats.org/drawingml/2006/spreadsheetDrawing" xmlns:a="http://schemas.openxmlformats.org/drawingml/2006/main">
  <xdr:twoCellAnchor>
    <xdr:from>
      <xdr:col>13</xdr:col>
      <xdr:colOff>342899</xdr:colOff>
      <xdr:row>3</xdr:row>
      <xdr:rowOff>156103</xdr:rowOff>
    </xdr:from>
    <xdr:to>
      <xdr:col>20</xdr:col>
      <xdr:colOff>10582</xdr:colOff>
      <xdr:row>11</xdr:row>
      <xdr:rowOff>135092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352425</xdr:colOff>
      <xdr:row>11</xdr:row>
      <xdr:rowOff>175433</xdr:rowOff>
    </xdr:from>
    <xdr:to>
      <xdr:col>20</xdr:col>
      <xdr:colOff>10583</xdr:colOff>
      <xdr:row>20</xdr:row>
      <xdr:rowOff>48557</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350745</xdr:colOff>
      <xdr:row>20</xdr:row>
      <xdr:rowOff>108510</xdr:rowOff>
    </xdr:from>
    <xdr:to>
      <xdr:col>20</xdr:col>
      <xdr:colOff>10583</xdr:colOff>
      <xdr:row>30</xdr:row>
      <xdr:rowOff>3734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13</xdr:col>
      <xdr:colOff>142875</xdr:colOff>
      <xdr:row>23</xdr:row>
      <xdr:rowOff>76200</xdr:rowOff>
    </xdr:from>
    <xdr:to>
      <xdr:col>22</xdr:col>
      <xdr:colOff>123825</xdr:colOff>
      <xdr:row>44</xdr:row>
      <xdr:rowOff>161925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390525</xdr:colOff>
      <xdr:row>37</xdr:row>
      <xdr:rowOff>28575</xdr:rowOff>
    </xdr:from>
    <xdr:to>
      <xdr:col>14</xdr:col>
      <xdr:colOff>516629</xdr:colOff>
      <xdr:row>43</xdr:row>
      <xdr:rowOff>63368</xdr:rowOff>
    </xdr:to>
    <xdr:sp macro="" textlink="">
      <xdr:nvSpPr>
        <xdr:cNvPr id="4" name="1 CuadroTexto"/>
        <xdr:cNvSpPr txBox="1"/>
      </xdr:nvSpPr>
      <xdr:spPr>
        <a:xfrm>
          <a:off x="9572625" y="3867150"/>
          <a:ext cx="1650104" cy="117779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xdr:txBody>
    </xdr:sp>
    <xdr:clientData/>
  </xdr:twoCellAnchor>
</xdr:wsDr>
</file>

<file path=xl/drawings/drawing41.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37% de los visitantes conoce del destino a través de Internet; mientras  que el 41% lo hace a través de </a:t>
          </a:r>
          <a:r>
            <a:rPr lang="es-EC" sz="1000" baseline="0">
              <a:latin typeface="+mn-lt"/>
              <a:ea typeface="+mn-ea"/>
              <a:cs typeface="+mn-cs"/>
            </a:rPr>
            <a:t>familiares y amigos.</a:t>
          </a:r>
          <a:endParaRPr lang="es-EC" sz="1000"/>
        </a:p>
      </cdr:txBody>
    </cdr:sp>
  </cdr:relSizeAnchor>
</c:userShapes>
</file>

<file path=xl/drawings/drawing42.xml><?xml version="1.0" encoding="utf-8"?>
<xdr:wsDr xmlns:xdr="http://schemas.openxmlformats.org/drawingml/2006/spreadsheetDrawing" xmlns:a="http://schemas.openxmlformats.org/drawingml/2006/main">
  <xdr:twoCellAnchor>
    <xdr:from>
      <xdr:col>2</xdr:col>
      <xdr:colOff>1000125</xdr:colOff>
      <xdr:row>8</xdr:row>
      <xdr:rowOff>1</xdr:rowOff>
    </xdr:from>
    <xdr:to>
      <xdr:col>8</xdr:col>
      <xdr:colOff>647700</xdr:colOff>
      <xdr:row>20</xdr:row>
      <xdr:rowOff>66675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0.76963</cdr:x>
      <cdr:y>0.32248</cdr:y>
    </cdr:from>
    <cdr:to>
      <cdr:x>1</cdr:x>
      <cdr:y>0.70345</cdr:y>
    </cdr:to>
    <cdr:sp macro="" textlink="">
      <cdr:nvSpPr>
        <cdr:cNvPr id="2" name="1 CuadroTexto"/>
        <cdr:cNvSpPr txBox="1"/>
      </cdr:nvSpPr>
      <cdr:spPr>
        <a:xfrm xmlns:a="http://schemas.openxmlformats.org/drawingml/2006/main">
          <a:off x="4200525" y="890766"/>
          <a:ext cx="1257301" cy="10523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 mayoría de viajeros que visita</a:t>
          </a:r>
        </a:p>
        <a:p xmlns:a="http://schemas.openxmlformats.org/drawingml/2006/main">
          <a:r>
            <a:rPr lang="es-EC" sz="1000" baseline="0" smtClean="0">
              <a:latin typeface="+mn-lt"/>
              <a:ea typeface="+mn-ea"/>
              <a:cs typeface="+mn-cs"/>
            </a:rPr>
            <a:t>Quito llega sin compañía.</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6.xml><?xml version="1.0" encoding="utf-8"?>
<xdr:wsDr xmlns:xdr="http://schemas.openxmlformats.org/drawingml/2006/spreadsheetDrawing" xmlns:a="http://schemas.openxmlformats.org/drawingml/2006/main">
  <xdr:twoCellAnchor>
    <xdr:from>
      <xdr:col>6</xdr:col>
      <xdr:colOff>171450</xdr:colOff>
      <xdr:row>12</xdr:row>
      <xdr:rowOff>152400</xdr:rowOff>
    </xdr:from>
    <xdr:to>
      <xdr:col>14</xdr:col>
      <xdr:colOff>437475</xdr:colOff>
      <xdr:row>29</xdr:row>
      <xdr:rowOff>153900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48.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xdr:from>
      <xdr:col>14</xdr:col>
      <xdr:colOff>66675</xdr:colOff>
      <xdr:row>2</xdr:row>
      <xdr:rowOff>133349</xdr:rowOff>
    </xdr:from>
    <xdr:to>
      <xdr:col>22</xdr:col>
      <xdr:colOff>685800</xdr:colOff>
      <xdr:row>15</xdr:row>
      <xdr:rowOff>66674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47625</xdr:colOff>
      <xdr:row>6</xdr:row>
      <xdr:rowOff>133350</xdr:rowOff>
    </xdr:from>
    <xdr:to>
      <xdr:col>4</xdr:col>
      <xdr:colOff>523875</xdr:colOff>
      <xdr:row>13</xdr:row>
      <xdr:rowOff>152400</xdr:rowOff>
    </xdr:to>
    <xdr:sp macro="" textlink="">
      <xdr:nvSpPr>
        <xdr:cNvPr id="2" name="CuadroTexto 1"/>
        <xdr:cNvSpPr txBox="1"/>
      </xdr:nvSpPr>
      <xdr:spPr>
        <a:xfrm>
          <a:off x="2819400" y="1276350"/>
          <a:ext cx="1714500" cy="121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a:solidFill>
                <a:schemeClr val="dk1"/>
              </a:solidFill>
              <a:effectLst/>
              <a:latin typeface="+mn-lt"/>
              <a:ea typeface="+mn-ea"/>
              <a:cs typeface="+mn-cs"/>
            </a:rPr>
            <a:t>Quito mantiene su posición Nr. 10 de América del Sur como los 10 destinos a ser considerados para realizar eventos internacionales </a:t>
          </a:r>
          <a:endParaRPr lang="es-EC" sz="1050"/>
        </a:p>
      </xdr:txBody>
    </xdr:sp>
    <xdr:clientData/>
  </xdr:twoCellAnchor>
</xdr:wsDr>
</file>

<file path=xl/drawings/drawing50.xml><?xml version="1.0" encoding="utf-8"?>
<c:userShapes xmlns:c="http://schemas.openxmlformats.org/drawingml/2006/chart">
  <cdr:relSizeAnchor xmlns:cdr="http://schemas.openxmlformats.org/drawingml/2006/chartDrawing">
    <cdr:from>
      <cdr:x>0.70355</cdr:x>
      <cdr:y>0.18886</cdr:y>
    </cdr:from>
    <cdr:to>
      <cdr:x>0.9691</cdr:x>
      <cdr:y>0.89104</cdr:y>
    </cdr:to>
    <cdr:sp macro="" textlink="">
      <cdr:nvSpPr>
        <cdr:cNvPr id="2" name="1 CuadroTexto"/>
        <cdr:cNvSpPr txBox="1"/>
      </cdr:nvSpPr>
      <cdr:spPr>
        <a:xfrm xmlns:a="http://schemas.openxmlformats.org/drawingml/2006/main">
          <a:off x="4724400" y="742950"/>
          <a:ext cx="1783228" cy="2762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Las actividades frecuentes de los turistas de Quito se relaciona con: la visita a lugares históricos, observación de naturaleza, asistencia</a:t>
          </a:r>
        </a:p>
        <a:p xmlns:a="http://schemas.openxmlformats.org/drawingml/2006/main">
          <a:r>
            <a:rPr lang="es-EC" sz="1000" baseline="0" smtClean="0">
              <a:latin typeface="+mn-lt"/>
              <a:ea typeface="+mn-ea"/>
              <a:cs typeface="+mn-cs"/>
            </a:rPr>
            <a:t>a eventos privados. </a:t>
          </a:r>
        </a:p>
        <a:p xmlns:a="http://schemas.openxmlformats.org/drawingml/2006/main">
          <a:endParaRPr lang="es-EC" sz="1000" baseline="0" smtClean="0">
            <a:latin typeface="+mn-lt"/>
            <a:ea typeface="+mn-ea"/>
            <a:cs typeface="+mn-cs"/>
          </a:endParaRPr>
        </a:p>
        <a:p xmlns:a="http://schemas.openxmlformats.org/drawingml/2006/main">
          <a:r>
            <a:rPr lang="es-EC" sz="1000"/>
            <a:t>En 2013 se mantiene el dato de 2012, relacionado a que la mayoría de turistas realizan sus actividades turísticas</a:t>
          </a:r>
          <a:r>
            <a:rPr lang="es-EC" sz="1000" baseline="0"/>
            <a:t> en sitios históricos y sitios naturales del DMQ.</a:t>
          </a:r>
          <a:endParaRPr lang="es-EC" sz="1000"/>
        </a:p>
        <a:p xmlns:a="http://schemas.openxmlformats.org/drawingml/2006/main">
          <a:endParaRPr lang="es-EC" sz="1000"/>
        </a:p>
      </cdr:txBody>
    </cdr:sp>
  </cdr:relSizeAnchor>
</c:userShapes>
</file>

<file path=xl/drawings/drawing51.xml><?xml version="1.0" encoding="utf-8"?>
<xdr:wsDr xmlns:xdr="http://schemas.openxmlformats.org/drawingml/2006/spreadsheetDrawing" xmlns:a="http://schemas.openxmlformats.org/drawingml/2006/main">
  <xdr:twoCellAnchor>
    <xdr:from>
      <xdr:col>10</xdr:col>
      <xdr:colOff>180975</xdr:colOff>
      <xdr:row>6</xdr:row>
      <xdr:rowOff>114300</xdr:rowOff>
    </xdr:from>
    <xdr:to>
      <xdr:col>15</xdr:col>
      <xdr:colOff>114300</xdr:colOff>
      <xdr:row>20</xdr:row>
      <xdr:rowOff>161926</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0.60814</cdr:x>
      <cdr:y>0.26706</cdr:y>
    </cdr:from>
    <cdr:to>
      <cdr:x>0.97422</cdr:x>
      <cdr:y>0.72982</cdr:y>
    </cdr:to>
    <cdr:sp macro="" textlink="">
      <cdr:nvSpPr>
        <cdr:cNvPr id="2" name="1 CuadroTexto"/>
        <cdr:cNvSpPr txBox="1"/>
      </cdr:nvSpPr>
      <cdr:spPr>
        <a:xfrm xmlns:a="http://schemas.openxmlformats.org/drawingml/2006/main">
          <a:off x="2276475" y="724968"/>
          <a:ext cx="1370347" cy="12562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98% de turistas que llega a Quito recomendarían a sus amigos o familiares visitar esta ciudad.</a:t>
          </a:r>
        </a:p>
      </cdr:txBody>
    </cdr:sp>
  </cdr:relSizeAnchor>
</c:userShapes>
</file>

<file path=xl/drawings/drawing6.xml><?xml version="1.0" encoding="utf-8"?>
<xdr:wsDr xmlns:xdr="http://schemas.openxmlformats.org/drawingml/2006/spreadsheetDrawing" xmlns:a="http://schemas.openxmlformats.org/drawingml/2006/main">
  <xdr:twoCellAnchor>
    <xdr:from>
      <xdr:col>43</xdr:col>
      <xdr:colOff>420119</xdr:colOff>
      <xdr:row>1</xdr:row>
      <xdr:rowOff>119063</xdr:rowOff>
    </xdr:from>
    <xdr:to>
      <xdr:col>55</xdr:col>
      <xdr:colOff>517070</xdr:colOff>
      <xdr:row>39</xdr:row>
      <xdr:rowOff>13608</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231322</xdr:colOff>
      <xdr:row>40</xdr:row>
      <xdr:rowOff>200025</xdr:rowOff>
    </xdr:from>
    <xdr:to>
      <xdr:col>48</xdr:col>
      <xdr:colOff>312964</xdr:colOff>
      <xdr:row>59</xdr:row>
      <xdr:rowOff>149679</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-1</xdr:colOff>
      <xdr:row>64</xdr:row>
      <xdr:rowOff>136292</xdr:rowOff>
    </xdr:from>
    <xdr:to>
      <xdr:col>10</xdr:col>
      <xdr:colOff>409914</xdr:colOff>
      <xdr:row>73</xdr:row>
      <xdr:rowOff>144097</xdr:rowOff>
    </xdr:to>
    <xdr:pic>
      <xdr:nvPicPr>
        <xdr:cNvPr id="11" name="Imagen 10"/>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9024937" y="10744761"/>
          <a:ext cx="2738437" cy="1603241"/>
        </a:xfrm>
        <a:prstGeom prst="rect">
          <a:avLst/>
        </a:prstGeom>
      </xdr:spPr>
    </xdr:pic>
    <xdr:clientData/>
  </xdr:twoCellAnchor>
  <xdr:twoCellAnchor>
    <xdr:from>
      <xdr:col>50</xdr:col>
      <xdr:colOff>190501</xdr:colOff>
      <xdr:row>41</xdr:row>
      <xdr:rowOff>0</xdr:rowOff>
    </xdr:from>
    <xdr:to>
      <xdr:col>55</xdr:col>
      <xdr:colOff>449037</xdr:colOff>
      <xdr:row>53</xdr:row>
      <xdr:rowOff>136071</xdr:rowOff>
    </xdr:to>
    <xdr:sp macro="" textlink="">
      <xdr:nvSpPr>
        <xdr:cNvPr id="6" name="CuadroTexto 5"/>
        <xdr:cNvSpPr txBox="1"/>
      </xdr:nvSpPr>
      <xdr:spPr>
        <a:xfrm>
          <a:off x="25567822" y="9252857"/>
          <a:ext cx="4068536" cy="2462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b="0" i="0">
              <a:solidFill>
                <a:schemeClr val="dk1"/>
              </a:solidFill>
              <a:effectLst/>
              <a:latin typeface="+mn-lt"/>
              <a:ea typeface="+mn-ea"/>
              <a:cs typeface="+mn-cs"/>
            </a:rPr>
            <a:t>En 2018 llegaron 692,492</a:t>
          </a:r>
          <a:r>
            <a:rPr lang="es-EC" sz="1100" b="0" i="0" baseline="0">
              <a:solidFill>
                <a:schemeClr val="dk1"/>
              </a:solidFill>
              <a:effectLst/>
              <a:latin typeface="+mn-lt"/>
              <a:ea typeface="+mn-ea"/>
              <a:cs typeface="+mn-cs"/>
            </a:rPr>
            <a:t> turistas, es decir un +6,1% respecto al año 2017.</a:t>
          </a:r>
          <a:endParaRPr lang="es-EC">
            <a:effectLst/>
          </a:endParaRP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En 2017 llegaron 652,899</a:t>
          </a:r>
          <a:r>
            <a:rPr lang="es-EC" sz="1100" b="0" i="0" baseline="0">
              <a:solidFill>
                <a:schemeClr val="dk1"/>
              </a:solidFill>
              <a:effectLst/>
              <a:latin typeface="+mn-lt"/>
              <a:ea typeface="+mn-ea"/>
              <a:cs typeface="+mn-cs"/>
            </a:rPr>
            <a:t> turistas, es decir un +4% respecto al año 2016.</a:t>
          </a:r>
        </a:p>
        <a:p>
          <a:endParaRPr lang="es-EC" sz="1100" b="0" i="0" baseline="0">
            <a:solidFill>
              <a:schemeClr val="dk1"/>
            </a:solidFill>
            <a:effectLst/>
            <a:latin typeface="+mn-lt"/>
            <a:ea typeface="+mn-ea"/>
            <a:cs typeface="+mn-cs"/>
          </a:endParaRPr>
        </a:p>
        <a:p>
          <a:r>
            <a:rPr lang="es-EC" sz="1100" b="0" i="0">
              <a:solidFill>
                <a:schemeClr val="dk1"/>
              </a:solidFill>
              <a:effectLst/>
              <a:latin typeface="+mn-lt"/>
              <a:ea typeface="+mn-ea"/>
              <a:cs typeface="+mn-cs"/>
            </a:rPr>
            <a:t>En</a:t>
          </a:r>
          <a:r>
            <a:rPr lang="es-EC" sz="1100" b="0" i="0" baseline="0">
              <a:solidFill>
                <a:schemeClr val="dk1"/>
              </a:solidFill>
              <a:effectLst/>
              <a:latin typeface="+mn-lt"/>
              <a:ea typeface="+mn-ea"/>
              <a:cs typeface="+mn-cs"/>
            </a:rPr>
            <a:t> 2016 </a:t>
          </a:r>
          <a:r>
            <a:rPr lang="es-EC" sz="1100" b="0" i="0">
              <a:solidFill>
                <a:schemeClr val="dk1"/>
              </a:solidFill>
              <a:effectLst/>
              <a:latin typeface="+mn-lt"/>
              <a:ea typeface="+mn-ea"/>
              <a:cs typeface="+mn-cs"/>
            </a:rPr>
            <a:t>llegaron 627,626 visitantes no residentes, es decir, menos -12% en relación al 2015 (712,877).</a:t>
          </a: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El número de turistas que visita la ciudad ha tenido un incremento y recuperación constante durante la última década, con una variación de crecimiento anual promedio del 5%. 2007-2018</a:t>
          </a:r>
          <a:endParaRPr lang="es-EC" sz="1100"/>
        </a:p>
      </xdr:txBody>
    </xdr:sp>
    <xdr:clientData/>
  </xdr:twoCellAnchor>
  <xdr:twoCellAnchor>
    <xdr:from>
      <xdr:col>56</xdr:col>
      <xdr:colOff>27214</xdr:colOff>
      <xdr:row>3</xdr:row>
      <xdr:rowOff>68036</xdr:rowOff>
    </xdr:from>
    <xdr:to>
      <xdr:col>71</xdr:col>
      <xdr:colOff>503465</xdr:colOff>
      <xdr:row>32</xdr:row>
      <xdr:rowOff>122464</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37</xdr:col>
      <xdr:colOff>530680</xdr:colOff>
      <xdr:row>28</xdr:row>
      <xdr:rowOff>63958</xdr:rowOff>
    </xdr:from>
    <xdr:to>
      <xdr:col>45</xdr:col>
      <xdr:colOff>285748</xdr:colOff>
      <xdr:row>37</xdr:row>
      <xdr:rowOff>30550</xdr:rowOff>
    </xdr:to>
    <xdr:pic>
      <xdr:nvPicPr>
        <xdr:cNvPr id="13" name="Imagen 12">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15035894" y="6758672"/>
          <a:ext cx="5674177" cy="2021271"/>
        </a:xfrm>
        <a:prstGeom prst="rect">
          <a:avLst/>
        </a:prstGeom>
      </xdr:spPr>
    </xdr:pic>
    <xdr:clientData/>
  </xdr:twoCellAnchor>
  <xdr:twoCellAnchor>
    <xdr:from>
      <xdr:col>39</xdr:col>
      <xdr:colOff>530680</xdr:colOff>
      <xdr:row>6</xdr:row>
      <xdr:rowOff>108860</xdr:rowOff>
    </xdr:from>
    <xdr:to>
      <xdr:col>43</xdr:col>
      <xdr:colOff>557891</xdr:colOff>
      <xdr:row>33</xdr:row>
      <xdr:rowOff>2</xdr:rowOff>
    </xdr:to>
    <xdr:cxnSp macro="">
      <xdr:nvCxnSpPr>
        <xdr:cNvPr id="15" name="Conector angular 14"/>
        <xdr:cNvCxnSpPr/>
      </xdr:nvCxnSpPr>
      <xdr:spPr>
        <a:xfrm rot="16200000" flipH="1">
          <a:off x="15899947" y="3013986"/>
          <a:ext cx="6027964" cy="3891639"/>
        </a:xfrm>
        <a:prstGeom prst="bentConnector3">
          <a:avLst>
            <a:gd name="adj1" fmla="val 50000"/>
          </a:avLst>
        </a:prstGeom>
        <a:ln w="28575">
          <a:headEnd type="triangle"/>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46</xdr:col>
      <xdr:colOff>381000</xdr:colOff>
      <xdr:row>29</xdr:row>
      <xdr:rowOff>367394</xdr:rowOff>
    </xdr:from>
    <xdr:to>
      <xdr:col>47</xdr:col>
      <xdr:colOff>54429</xdr:colOff>
      <xdr:row>30</xdr:row>
      <xdr:rowOff>176893</xdr:rowOff>
    </xdr:to>
    <xdr:sp macro="" textlink="">
      <xdr:nvSpPr>
        <xdr:cNvPr id="18" name="Rectángulo 17"/>
        <xdr:cNvSpPr/>
      </xdr:nvSpPr>
      <xdr:spPr>
        <a:xfrm>
          <a:off x="13321393" y="7402287"/>
          <a:ext cx="435429" cy="190499"/>
        </a:xfrm>
        <a:prstGeom prst="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EC" sz="1100"/>
        </a:p>
      </xdr:txBody>
    </xdr:sp>
    <xdr:clientData/>
  </xdr:twoCellAnchor>
  <xdr:twoCellAnchor>
    <xdr:from>
      <xdr:col>28</xdr:col>
      <xdr:colOff>244927</xdr:colOff>
      <xdr:row>20</xdr:row>
      <xdr:rowOff>13607</xdr:rowOff>
    </xdr:from>
    <xdr:to>
      <xdr:col>38</xdr:col>
      <xdr:colOff>625927</xdr:colOff>
      <xdr:row>26</xdr:row>
      <xdr:rowOff>149679</xdr:rowOff>
    </xdr:to>
    <xdr:sp macro="" textlink="">
      <xdr:nvSpPr>
        <xdr:cNvPr id="2" name="CuadroTexto 1"/>
        <xdr:cNvSpPr txBox="1"/>
      </xdr:nvSpPr>
      <xdr:spPr>
        <a:xfrm>
          <a:off x="9443356" y="4721678"/>
          <a:ext cx="6395357" cy="14015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a:t>Datos de llegadas de enero a diciembre</a:t>
          </a:r>
          <a:r>
            <a:rPr lang="es-EC" sz="1100" baseline="0"/>
            <a:t> </a:t>
          </a:r>
          <a:r>
            <a:rPr lang="es-EC" sz="1100"/>
            <a:t>2018: </a:t>
          </a:r>
        </a:p>
        <a:p>
          <a:r>
            <a:rPr lang="es-EC" sz="1100"/>
            <a:t>692,492 visitantes no residentes</a:t>
          </a:r>
        </a:p>
        <a:p>
          <a:endParaRPr lang="es-EC" sz="1100"/>
        </a:p>
        <a:p>
          <a:r>
            <a:rPr lang="es-EC" sz="1100"/>
            <a:t>En el mes de Diciembre 2018 hubo un crecimiento del +2,1% respecto al mismo mes en 2017.</a:t>
          </a:r>
        </a:p>
        <a:p>
          <a:endParaRPr lang="es-EC" sz="1100"/>
        </a:p>
        <a:p>
          <a:r>
            <a:rPr lang="es-EC" sz="1100"/>
            <a:t>En el acumulado de ENERO-DICIEMBRE 2018 se incrementó en un 6.1% respecto al mismo período en 2017</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0.03879</cdr:x>
      <cdr:y>0.15691</cdr:y>
    </cdr:from>
    <cdr:to>
      <cdr:x>0.41922</cdr:x>
      <cdr:y>0.28369</cdr:y>
    </cdr:to>
    <cdr:sp macro="" textlink="">
      <cdr:nvSpPr>
        <cdr:cNvPr id="2" name="1 CuadroTexto"/>
        <cdr:cNvSpPr txBox="1"/>
      </cdr:nvSpPr>
      <cdr:spPr>
        <a:xfrm xmlns:a="http://schemas.openxmlformats.org/drawingml/2006/main">
          <a:off x="343612" y="845345"/>
          <a:ext cx="3369944" cy="6830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Los meses de junio, julio y diciembre han sido (históricamente), los meses de mayor afluencia de turistas a Quito.</a:t>
          </a:r>
          <a:endParaRPr lang="es-EC" sz="1000">
            <a:latin typeface="+mn-lt"/>
            <a:ea typeface="+mn-ea"/>
            <a:cs typeface="+mn-cs"/>
          </a:endParaRPr>
        </a:p>
        <a:p xmlns:a="http://schemas.openxmlformats.org/drawingml/2006/main">
          <a:endParaRPr lang="es-EC" sz="1000"/>
        </a:p>
      </cdr:txBody>
    </cdr:sp>
  </cdr:relSizeAnchor>
</c:userShapes>
</file>

<file path=xl/drawings/drawing8.xml><?xml version="1.0" encoding="utf-8"?>
<xdr:wsDr xmlns:xdr="http://schemas.openxmlformats.org/drawingml/2006/spreadsheetDrawing" xmlns:a="http://schemas.openxmlformats.org/drawingml/2006/main">
  <xdr:twoCellAnchor>
    <xdr:from>
      <xdr:col>238</xdr:col>
      <xdr:colOff>186267</xdr:colOff>
      <xdr:row>51</xdr:row>
      <xdr:rowOff>263977</xdr:rowOff>
    </xdr:from>
    <xdr:to>
      <xdr:col>249</xdr:col>
      <xdr:colOff>568779</xdr:colOff>
      <xdr:row>71</xdr:row>
      <xdr:rowOff>87085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238</xdr:col>
      <xdr:colOff>190500</xdr:colOff>
      <xdr:row>71</xdr:row>
      <xdr:rowOff>155122</xdr:rowOff>
    </xdr:from>
    <xdr:to>
      <xdr:col>248</xdr:col>
      <xdr:colOff>595992</xdr:colOff>
      <xdr:row>88</xdr:row>
      <xdr:rowOff>468086</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250</xdr:col>
      <xdr:colOff>119743</xdr:colOff>
      <xdr:row>51</xdr:row>
      <xdr:rowOff>250370</xdr:rowOff>
    </xdr:from>
    <xdr:to>
      <xdr:col>261</xdr:col>
      <xdr:colOff>65315</xdr:colOff>
      <xdr:row>71</xdr:row>
      <xdr:rowOff>73478</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261</xdr:col>
      <xdr:colOff>367393</xdr:colOff>
      <xdr:row>51</xdr:row>
      <xdr:rowOff>244930</xdr:rowOff>
    </xdr:from>
    <xdr:to>
      <xdr:col>270</xdr:col>
      <xdr:colOff>435430</xdr:colOff>
      <xdr:row>65</xdr:row>
      <xdr:rowOff>217716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14</xdr:col>
      <xdr:colOff>8466</xdr:colOff>
      <xdr:row>199</xdr:row>
      <xdr:rowOff>6349</xdr:rowOff>
    </xdr:from>
    <xdr:to>
      <xdr:col>23</xdr:col>
      <xdr:colOff>518581</xdr:colOff>
      <xdr:row>213</xdr:row>
      <xdr:rowOff>125940</xdr:rowOff>
    </xdr:to>
    <xdr:sp macro="" textlink="">
      <xdr:nvSpPr>
        <xdr:cNvPr id="3" name="CuadroTexto 2"/>
        <xdr:cNvSpPr txBox="1"/>
      </xdr:nvSpPr>
      <xdr:spPr>
        <a:xfrm>
          <a:off x="11173883" y="9055099"/>
          <a:ext cx="8669865" cy="28818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endParaRPr lang="es-EC" sz="1000">
            <a:solidFill>
              <a:schemeClr val="dk1"/>
            </a:solidFill>
            <a:effectLst/>
            <a:latin typeface="+mn-lt"/>
            <a:ea typeface="+mn-ea"/>
            <a:cs typeface="+mn-cs"/>
          </a:endParaRPr>
        </a:p>
        <a:p>
          <a:pPr rtl="0" fontAlgn="base"/>
          <a:r>
            <a:rPr lang="es-EC" sz="1000">
              <a:solidFill>
                <a:schemeClr val="dk1"/>
              </a:solidFill>
              <a:effectLst/>
              <a:latin typeface="+mn-lt"/>
              <a:ea typeface="+mn-ea"/>
              <a:cs typeface="+mn-cs"/>
            </a:rPr>
            <a:t>- En 2016</a:t>
          </a:r>
          <a:r>
            <a:rPr lang="es-EC" sz="1000" baseline="0">
              <a:solidFill>
                <a:schemeClr val="dk1"/>
              </a:solidFill>
              <a:effectLst/>
              <a:latin typeface="+mn-lt"/>
              <a:ea typeface="+mn-ea"/>
              <a:cs typeface="+mn-cs"/>
            </a:rPr>
            <a:t> hubieron </a:t>
          </a:r>
          <a:r>
            <a:rPr lang="es-EC" sz="1000" b="0" baseline="0">
              <a:solidFill>
                <a:schemeClr val="dk1"/>
              </a:solidFill>
              <a:effectLst/>
              <a:latin typeface="+mn-lt"/>
              <a:ea typeface="+mn-ea"/>
              <a:cs typeface="+mn-cs"/>
            </a:rPr>
            <a:t>2´408,530</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-10,6% que en 2015.</a:t>
          </a:r>
          <a:r>
            <a:rPr lang="es-EC" sz="1000">
              <a:solidFill>
                <a:schemeClr val="dk1"/>
              </a:solidFill>
              <a:effectLst/>
              <a:latin typeface="+mn-lt"/>
              <a:ea typeface="+mn-ea"/>
              <a:cs typeface="+mn-cs"/>
            </a:rPr>
            <a:t>  </a:t>
          </a:r>
          <a:endParaRPr lang="es-ES" sz="1000">
            <a:effectLst/>
          </a:endParaRPr>
        </a:p>
        <a:p>
          <a:pPr rtl="0" fontAlgn="base"/>
          <a:r>
            <a:rPr lang="es-EC" sz="1000" baseline="0">
              <a:solidFill>
                <a:schemeClr val="dk1"/>
              </a:solidFill>
              <a:effectLst/>
              <a:latin typeface="+mn-lt"/>
              <a:ea typeface="+mn-ea"/>
              <a:cs typeface="+mn-cs"/>
            </a:rPr>
            <a:t>- En 2017 hubieron </a:t>
          </a:r>
          <a:r>
            <a:rPr lang="es-EC" sz="1000" b="0" baseline="0">
              <a:solidFill>
                <a:schemeClr val="dk1"/>
              </a:solidFill>
              <a:effectLst/>
              <a:latin typeface="+mn-lt"/>
              <a:ea typeface="+mn-ea"/>
              <a:cs typeface="+mn-cs"/>
            </a:rPr>
            <a:t>2´447,478</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+1,62 % que en 2016.</a:t>
          </a:r>
        </a:p>
        <a:p>
          <a:pPr rtl="0" fontAlgn="base"/>
          <a:endParaRPr lang="es-EC" sz="1000" baseline="0">
            <a:solidFill>
              <a:schemeClr val="dk1"/>
            </a:solidFill>
            <a:effectLst/>
            <a:latin typeface="+mn-lt"/>
            <a:ea typeface="+mn-ea"/>
            <a:cs typeface="+mn-cs"/>
          </a:endParaRPr>
        </a:p>
        <a:p>
          <a:pPr rtl="0" fontAlgn="base"/>
          <a:r>
            <a:rPr lang="es-EC" sz="1000" baseline="0">
              <a:solidFill>
                <a:schemeClr val="dk1"/>
              </a:solidFill>
              <a:effectLst/>
              <a:latin typeface="+mn-lt"/>
              <a:ea typeface="+mn-ea"/>
              <a:cs typeface="+mn-cs"/>
            </a:rPr>
            <a:t>- En 2018 (periodo </a:t>
          </a:r>
          <a:r>
            <a:rPr lang="es-EC" sz="1000" b="1" baseline="0">
              <a:solidFill>
                <a:sysClr val="windowText" lastClr="000000"/>
              </a:solidFill>
              <a:effectLst/>
              <a:latin typeface="+mn-lt"/>
              <a:ea typeface="+mn-ea"/>
              <a:cs typeface="+mn-cs"/>
            </a:rPr>
            <a:t>ENERO - DICIEMBRE</a:t>
          </a:r>
          <a:r>
            <a:rPr lang="es-EC" sz="1000" baseline="0">
              <a:solidFill>
                <a:schemeClr val="dk1"/>
              </a:solidFill>
              <a:effectLst/>
              <a:latin typeface="+mn-lt"/>
              <a:ea typeface="+mn-ea"/>
              <a:cs typeface="+mn-cs"/>
            </a:rPr>
            <a:t>) se evidencia:  </a:t>
          </a:r>
        </a:p>
        <a:p>
          <a:pPr rtl="0" fontAlgn="base"/>
          <a:r>
            <a:rPr lang="es-EC" sz="1000" baseline="0">
              <a:solidFill>
                <a:srgbClr val="0070C0"/>
              </a:solidFill>
              <a:effectLst/>
              <a:latin typeface="+mn-lt"/>
              <a:ea typeface="+mn-ea"/>
              <a:cs typeface="+mn-cs"/>
            </a:rPr>
            <a:t>(datos sujetos a actualización)</a:t>
          </a:r>
        </a:p>
        <a:p>
          <a:pPr rtl="0" fontAlgn="base"/>
          <a:endParaRPr lang="es-EC" sz="10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Solo en el mes de </a:t>
          </a:r>
          <a:r>
            <a:rPr lang="es-EC" sz="1000" b="1" baseline="0">
              <a:solidFill>
                <a:schemeClr val="dk1"/>
              </a:solidFill>
              <a:effectLst/>
              <a:latin typeface="+mn-lt"/>
              <a:ea typeface="+mn-ea"/>
              <a:cs typeface="+mn-cs"/>
            </a:rPr>
            <a:t>DICIEMBRE </a:t>
          </a:r>
          <a:r>
            <a:rPr lang="es-EC" sz="1000" baseline="0">
              <a:solidFill>
                <a:schemeClr val="dk1"/>
              </a:solidFill>
              <a:effectLst/>
              <a:latin typeface="+mn-lt"/>
              <a:ea typeface="+mn-ea"/>
              <a:cs typeface="+mn-cs"/>
            </a:rPr>
            <a:t>de 2018 se evidencia una diferencia en un </a:t>
          </a:r>
          <a:r>
            <a:rPr lang="es-EC" sz="1000" b="1" u="sng" baseline="0">
              <a:solidFill>
                <a:schemeClr val="dk1"/>
              </a:solidFill>
              <a:effectLst/>
              <a:latin typeface="+mn-lt"/>
              <a:ea typeface="+mn-ea"/>
              <a:cs typeface="+mn-cs"/>
            </a:rPr>
            <a:t>+0,88 %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en los arribos totales  al AMS respecto al mismo mes en 2017.</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Internacionales 	- 17,68 %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Domésticos 	+ 19,40 % </a:t>
          </a:r>
          <a:endParaRPr lang="es-EC" sz="1000">
            <a:effectLst/>
          </a:endParaRPr>
        </a:p>
        <a:p>
          <a:pPr rtl="0" fontAlgn="base"/>
          <a:endParaRPr lang="es-EC" sz="10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DICIEMBRE </a:t>
          </a:r>
          <a:r>
            <a:rPr lang="es-EC" sz="1000" b="0" baseline="0">
              <a:solidFill>
                <a:schemeClr val="dk1"/>
              </a:solidFill>
              <a:effectLst/>
              <a:latin typeface="+mn-lt"/>
              <a:ea typeface="+mn-ea"/>
              <a:cs typeface="+mn-cs"/>
            </a:rPr>
            <a:t>de 2018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internacionales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+4,33 %  </a:t>
          </a:r>
          <a:r>
            <a:rPr lang="es-EC" sz="1000" baseline="0">
              <a:solidFill>
                <a:schemeClr val="dk1"/>
              </a:solidFill>
              <a:effectLst/>
              <a:latin typeface="+mn-lt"/>
              <a:ea typeface="+mn-ea"/>
              <a:cs typeface="+mn-cs"/>
            </a:rPr>
            <a:t>respecto al mismo periodo en 2017.</a:t>
          </a:r>
        </a:p>
        <a:p>
          <a:pPr lvl="1" rtl="0" fontAlgn="base"/>
          <a:endParaRPr lang="es-EC" sz="10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DICIEMBRE </a:t>
          </a:r>
          <a:r>
            <a:rPr lang="es-EC" sz="1000" b="0" baseline="0">
              <a:solidFill>
                <a:schemeClr val="dk1"/>
              </a:solidFill>
              <a:effectLst/>
              <a:latin typeface="+mn-lt"/>
              <a:ea typeface="+mn-ea"/>
              <a:cs typeface="+mn-cs"/>
            </a:rPr>
            <a:t>de 2018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domésticas</a:t>
          </a:r>
          <a:r>
            <a:rPr lang="es-EC" sz="1000" b="0" i="0" u="none" baseline="0">
              <a:solidFill>
                <a:schemeClr val="dk1"/>
              </a:solidFill>
              <a:effectLst/>
              <a:latin typeface="+mn-lt"/>
              <a:ea typeface="+mn-ea"/>
              <a:cs typeface="+mn-cs"/>
            </a:rPr>
            <a:t>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+9,85 % </a:t>
          </a:r>
          <a:r>
            <a:rPr lang="es-EC" sz="1000" baseline="0">
              <a:solidFill>
                <a:schemeClr val="dk1"/>
              </a:solidFill>
              <a:effectLst/>
              <a:latin typeface="+mn-lt"/>
              <a:ea typeface="+mn-ea"/>
              <a:cs typeface="+mn-cs"/>
            </a:rPr>
            <a:t> respecto al mismo periodo en 2017.</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10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DICIEMBRE </a:t>
          </a:r>
          <a:r>
            <a:rPr lang="es-EC" sz="1000" b="0" baseline="0">
              <a:solidFill>
                <a:schemeClr val="dk1"/>
              </a:solidFill>
              <a:effectLst/>
              <a:latin typeface="+mn-lt"/>
              <a:ea typeface="+mn-ea"/>
              <a:cs typeface="+mn-cs"/>
            </a:rPr>
            <a:t>de 2018  se evidencia u</a:t>
          </a:r>
          <a:r>
            <a:rPr lang="es-EC" sz="1000" baseline="0">
              <a:solidFill>
                <a:schemeClr val="dk1"/>
              </a:solidFill>
              <a:effectLst/>
              <a:latin typeface="+mn-lt"/>
              <a:ea typeface="+mn-ea"/>
              <a:cs typeface="+mn-cs"/>
            </a:rPr>
            <a:t>n </a:t>
          </a:r>
          <a:r>
            <a:rPr lang="es-EC" sz="1000" b="1" i="1" u="sng" baseline="0">
              <a:solidFill>
                <a:schemeClr val="dk1"/>
              </a:solidFill>
              <a:effectLst/>
              <a:latin typeface="+mn-lt"/>
              <a:ea typeface="+mn-ea"/>
              <a:cs typeface="+mn-cs"/>
            </a:rPr>
            <a:t>total de arribos</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a:t>
          </a:r>
          <a:r>
            <a:rPr lang="es-EC" sz="1000" b="1" baseline="0">
              <a:solidFill>
                <a:schemeClr val="dk1"/>
              </a:solidFill>
              <a:effectLst/>
              <a:latin typeface="+mn-lt"/>
              <a:ea typeface="+mn-ea"/>
              <a:cs typeface="+mn-cs"/>
            </a:rPr>
            <a:t> </a:t>
          </a:r>
          <a:r>
            <a:rPr lang="es-EC" sz="1000" b="1" i="1" u="sng" baseline="0">
              <a:solidFill>
                <a:schemeClr val="dk1"/>
              </a:solidFill>
              <a:effectLst/>
              <a:latin typeface="+mn-lt"/>
              <a:ea typeface="+mn-ea"/>
              <a:cs typeface="+mn-cs"/>
            </a:rPr>
            <a:t>2,625,443</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pasajeros  es decir un </a:t>
          </a:r>
          <a:r>
            <a:rPr lang="es-EC" sz="1000" b="1" u="sng" baseline="0">
              <a:solidFill>
                <a:schemeClr val="dk1"/>
              </a:solidFill>
              <a:effectLst/>
              <a:latin typeface="+mn-lt"/>
              <a:ea typeface="+mn-ea"/>
              <a:cs typeface="+mn-cs"/>
            </a:rPr>
            <a:t>+7,27 %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respecto al mismo periodo en 2017.</a:t>
          </a:r>
          <a:endParaRPr lang="es-EC" sz="1000">
            <a:effectLst/>
          </a:endParaRPr>
        </a:p>
        <a:p>
          <a:pPr lvl="1" rtl="0" fontAlgn="base"/>
          <a:endParaRPr lang="es-EC" sz="1000" baseline="0">
            <a:solidFill>
              <a:schemeClr val="dk1"/>
            </a:solidFill>
            <a:effectLst/>
            <a:latin typeface="+mn-lt"/>
            <a:ea typeface="+mn-ea"/>
            <a:cs typeface="+mn-cs"/>
          </a:endParaRPr>
        </a:p>
      </xdr:txBody>
    </xdr:sp>
    <xdr:clientData/>
  </xdr:twoCellAnchor>
  <xdr:twoCellAnchor>
    <xdr:from>
      <xdr:col>15</xdr:col>
      <xdr:colOff>515469</xdr:colOff>
      <xdr:row>213</xdr:row>
      <xdr:rowOff>134470</xdr:rowOff>
    </xdr:from>
    <xdr:to>
      <xdr:col>25</xdr:col>
      <xdr:colOff>78440</xdr:colOff>
      <xdr:row>231</xdr:row>
      <xdr:rowOff>32293</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232</xdr:row>
      <xdr:rowOff>33618</xdr:rowOff>
    </xdr:from>
    <xdr:to>
      <xdr:col>25</xdr:col>
      <xdr:colOff>89646</xdr:colOff>
      <xdr:row>249</xdr:row>
      <xdr:rowOff>77118</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840441</xdr:colOff>
      <xdr:row>213</xdr:row>
      <xdr:rowOff>123265</xdr:rowOff>
    </xdr:from>
    <xdr:to>
      <xdr:col>15</xdr:col>
      <xdr:colOff>336177</xdr:colOff>
      <xdr:row>244</xdr:row>
      <xdr:rowOff>44824</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246</xdr:row>
      <xdr:rowOff>14287</xdr:rowOff>
    </xdr:from>
    <xdr:to>
      <xdr:col>15</xdr:col>
      <xdr:colOff>342900</xdr:colOff>
      <xdr:row>265</xdr:row>
      <xdr:rowOff>42862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266</xdr:row>
      <xdr:rowOff>28575</xdr:rowOff>
    </xdr:from>
    <xdr:to>
      <xdr:col>15</xdr:col>
      <xdr:colOff>342900</xdr:colOff>
      <xdr:row>285</xdr:row>
      <xdr:rowOff>57150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250</xdr:row>
      <xdr:rowOff>66675</xdr:rowOff>
    </xdr:from>
    <xdr:to>
      <xdr:col>24</xdr:col>
      <xdr:colOff>447674</xdr:colOff>
      <xdr:row>273</xdr:row>
      <xdr:rowOff>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41\P&#250;blica\Users\RBANDA\Desktop\Llegadas%20turistas%20-%20llegadas%20AMS%20-%20a%20mayo%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1\P&#250;blica\Users\RBANDA\Desktop\BOH_127_Anexo%20estadistico%20a%20dic%202016%20edit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legadas UIO"/>
      <sheetName val="Apto Arribos"/>
      <sheetName val="Pernoctaciones"/>
      <sheetName val="Llegadas a Htls"/>
    </sheetNames>
    <sheetDataSet>
      <sheetData sheetId="0"/>
      <sheetData sheetId="1">
        <row r="56">
          <cell r="A56" t="str">
            <v>Total 2007</v>
          </cell>
        </row>
        <row r="162">
          <cell r="C162" t="str">
            <v>JAN</v>
          </cell>
          <cell r="D162" t="str">
            <v>FEB</v>
          </cell>
          <cell r="E162" t="str">
            <v>MAR</v>
          </cell>
          <cell r="F162" t="str">
            <v>APRIL</v>
          </cell>
          <cell r="G162" t="str">
            <v>MAY</v>
          </cell>
          <cell r="H162" t="str">
            <v>JUN</v>
          </cell>
          <cell r="I162" t="str">
            <v>JULY</v>
          </cell>
          <cell r="J162" t="str">
            <v>AUG</v>
          </cell>
          <cell r="K162" t="str">
            <v>SEP</v>
          </cell>
          <cell r="L162" t="str">
            <v>OCT</v>
          </cell>
          <cell r="M162" t="str">
            <v>NOV</v>
          </cell>
          <cell r="N162" t="str">
            <v>DEC</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H 127  Anexo estadístico "/>
      <sheetName val="CONTENIDO"/>
      <sheetName val="4 X 4 hotelería dic 2016"/>
      <sheetName val="Sumario indicadores hoteleros "/>
      <sheetName val="1.TOH"/>
      <sheetName val="2. Tarifa habitación ocupada"/>
      <sheetName val="3.Tarifa habitación disponible "/>
      <sheetName val="4. Estancia prom. Res No Res T "/>
      <sheetName val="5. Habitaciones, 6. Ingresos"/>
      <sheetName val="7.Llegadas"/>
      <sheetName val="8. Pernoctaciones "/>
      <sheetName val="7.8 EM R NR Y T"/>
      <sheetName val="9,Sector geográfico 1"/>
      <sheetName val="9. Sector geográfico 2"/>
      <sheetName val="10. Por tamaño"/>
      <sheetName val="11 segmento de mercado"/>
      <sheetName val="1,1 TOH FS "/>
    </sheetNames>
    <sheetDataSet>
      <sheetData sheetId="0"/>
      <sheetData sheetId="1"/>
      <sheetData sheetId="2"/>
      <sheetData sheetId="3"/>
      <sheetData sheetId="4">
        <row r="4">
          <cell r="EK4" t="str">
            <v>ene - dic</v>
          </cell>
          <cell r="EL4" t="str">
            <v>ene - dic</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Rubén Banda" refreshedDate="42712.443440162038" createdVersion="5" refreshedVersion="5" minRefreshableVersion="3" recordCount="46">
  <cacheSource type="worksheet">
    <worksheetSource ref="C7:F53" sheet="perfil-mas visitado-2015"/>
  </cacheSource>
  <cacheFields count="4">
    <cacheField name="LUGAR GENERAL" numFmtId="0">
      <sharedItems count="9">
        <s v="1. CENTRO HISTÓRICO"/>
        <s v="2. LA MARISCAL"/>
        <s v="3. LOS MIRADORES"/>
        <s v="4. IGLESIAS, MUSEOS, TEATROS"/>
        <s v="5. PARQUES"/>
        <s v="6. CENTROS DEPORTIVOS"/>
        <s v="8. CENTROS DEPORTIVOS"/>
        <s v="7. BARRIOS TRADICIONALES"/>
        <s v="8. OTROS LUGARES NE"/>
      </sharedItems>
    </cacheField>
    <cacheField name="Lugar visitado en Quito _x000a_ESPECIFICO" numFmtId="0">
      <sharedItems count="46">
        <s v="1 Centro histórico"/>
        <s v="1 La Ronda"/>
        <s v="1 Compañía de Jesús"/>
        <s v="1 La Catedral"/>
        <s v="1 San Francisco"/>
        <s v="1 La Basílica"/>
        <s v="1 Museo de la Ciudad"/>
        <s v="1 Plaza de la Independencia / Palacio de Carondelet"/>
        <s v="1 Museo del agua"/>
        <s v="1 Museo de cera"/>
        <s v="1 Museo del Banco Central del Ecuador"/>
        <s v="1 La Merced"/>
        <s v="1 Plaza del Teatro"/>
        <s v="1 Sto. Domingo"/>
        <s v="1 Teatro Sucre"/>
        <s v="1 El Carmen Alto"/>
        <s v="1 Cima de la Libertad"/>
        <s v="2 Plaza Foch - zona rosa"/>
        <s v="2 La Mariscal"/>
        <s v="2 Mercado artesanal"/>
        <s v="2 Otro lugar"/>
        <s v="3 Teleférico"/>
        <s v="3 El Panecillo"/>
        <s v="3 Itchimbia"/>
        <s v="3 Guápulo"/>
        <s v="3 Otro"/>
        <s v="4 Museo Guayasamín / Capilla del Hombre"/>
        <s v="4 Otros museos"/>
        <s v="4 Otras iglesias"/>
        <s v="4 Casa de la Cultura"/>
        <s v="4 Intiñán"/>
        <s v="5 El Ejido"/>
        <s v="5 La Carolina"/>
        <s v="5 Jardín Botánico"/>
        <s v="5 Parque Metropolitano"/>
        <s v="5 Otros parque y plazas"/>
        <s v="6 Estadio Atahualpa"/>
        <s v="6 Coliseo Rumiñahui"/>
        <s v="6 Estadio de Liga"/>
        <s v="6 Otros centros deportivos"/>
        <s v="6 Cines"/>
        <s v="7 Villaflora"/>
        <s v="7 San Marcos"/>
        <s v="7 La Floresta"/>
        <s v="7 Otros barrios"/>
        <s v="8 Otros Lugares NE"/>
      </sharedItems>
    </cacheField>
    <cacheField name="Visitas de turistas" numFmtId="3">
      <sharedItems containsSemiMixedTypes="0" containsString="0" containsNumber="1" minValue="43" maxValue="34698.041399999966"/>
    </cacheField>
    <cacheField name="Porcentaje en el total" numFmtId="168">
      <sharedItems containsSemiMixedTypes="0" containsString="0" containsNumber="1" minValue="3.6669700369739512E-4" maxValue="0.2958992515243757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Rubén Banda" refreshedDate="43482.534097453703" createdVersion="5" refreshedVersion="6" minRefreshableVersion="3" recordCount="37">
  <cacheSource type="worksheet">
    <worksheetSource name="Tabla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ount="22">
        <n v="309"/>
        <n v="65"/>
        <n v="59"/>
        <n v="211"/>
        <n v="168"/>
        <n v="319"/>
        <n v="404"/>
        <n v="1895"/>
        <m/>
        <n v="504"/>
        <n v="27"/>
        <n v="132"/>
        <n v="2"/>
        <n v="6"/>
        <n v="4"/>
        <n v="3"/>
        <n v="1"/>
        <n v="5"/>
        <n v="128"/>
        <n v="18"/>
        <n v="75"/>
        <n v="4381"/>
      </sharedItems>
    </cacheField>
    <cacheField name="2019"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6">
  <r>
    <x v="0"/>
    <x v="0"/>
    <n v="34698.041399999966"/>
    <n v="0.29589925152437574"/>
  </r>
  <r>
    <x v="0"/>
    <x v="1"/>
    <n v="21634.895929999999"/>
    <n v="0.18449887239153415"/>
  </r>
  <r>
    <x v="0"/>
    <x v="2"/>
    <n v="5166"/>
    <n v="4.4054807467459142E-2"/>
  </r>
  <r>
    <x v="0"/>
    <x v="3"/>
    <n v="4635"/>
    <n v="3.952652586366108E-2"/>
  </r>
  <r>
    <x v="0"/>
    <x v="4"/>
    <n v="4409"/>
    <n v="3.7599234634925933E-2"/>
  </r>
  <r>
    <x v="0"/>
    <x v="5"/>
    <n v="3001"/>
    <n v="2.5592039723160064E-2"/>
  </r>
  <r>
    <x v="0"/>
    <x v="6"/>
    <n v="2289"/>
    <n v="1.9520219568914823E-2"/>
  </r>
  <r>
    <x v="0"/>
    <x v="7"/>
    <n v="1131"/>
    <n v="9.6449839809710208E-3"/>
  </r>
  <r>
    <x v="0"/>
    <x v="8"/>
    <n v="789"/>
    <n v="6.7284636259824357E-3"/>
  </r>
  <r>
    <x v="0"/>
    <x v="9"/>
    <n v="252"/>
    <n v="2.1490149984126411E-3"/>
  </r>
  <r>
    <x v="0"/>
    <x v="10"/>
    <n v="192"/>
    <n v="1.6373447606953455E-3"/>
  </r>
  <r>
    <x v="0"/>
    <x v="11"/>
    <n v="176"/>
    <n v="1.5008993639707335E-3"/>
  </r>
  <r>
    <x v="0"/>
    <x v="12"/>
    <n v="151"/>
    <n v="1.2877034315885269E-3"/>
  </r>
  <r>
    <x v="0"/>
    <x v="13"/>
    <n v="144"/>
    <n v="1.2280085705215092E-3"/>
  </r>
  <r>
    <x v="0"/>
    <x v="14"/>
    <n v="47"/>
    <n v="4.0080835287854811E-4"/>
  </r>
  <r>
    <x v="0"/>
    <x v="15"/>
    <n v="43"/>
    <n v="3.6669700369739512E-4"/>
  </r>
  <r>
    <x v="0"/>
    <x v="16"/>
    <n v="43"/>
    <n v="3.6669700369739512E-4"/>
  </r>
  <r>
    <x v="1"/>
    <x v="17"/>
    <n v="8232"/>
    <n v="7.0201156614812937E-2"/>
  </r>
  <r>
    <x v="1"/>
    <x v="18"/>
    <n v="3222"/>
    <n v="2.7476691765418768E-2"/>
  </r>
  <r>
    <x v="1"/>
    <x v="19"/>
    <n v="316"/>
    <n v="2.6947965853110897E-3"/>
  </r>
  <r>
    <x v="1"/>
    <x v="20"/>
    <n v="161"/>
    <n v="1.3729818045414095E-3"/>
  </r>
  <r>
    <x v="2"/>
    <x v="21"/>
    <n v="6628"/>
    <n v="5.6522505593170576E-2"/>
  </r>
  <r>
    <x v="2"/>
    <x v="22"/>
    <n v="4829"/>
    <n v="4.1180926298946999E-2"/>
  </r>
  <r>
    <x v="2"/>
    <x v="23"/>
    <n v="344"/>
    <n v="2.933576029579161E-3"/>
  </r>
  <r>
    <x v="2"/>
    <x v="24"/>
    <n v="227"/>
    <n v="1.9358190660304347E-3"/>
  </r>
  <r>
    <x v="2"/>
    <x v="25"/>
    <n v="289"/>
    <n v="2.4645449783383066E-3"/>
  </r>
  <r>
    <x v="3"/>
    <x v="26"/>
    <n v="2032"/>
    <n v="1.7328565384025739E-2"/>
  </r>
  <r>
    <x v="3"/>
    <x v="27"/>
    <n v="1481"/>
    <n v="1.262972703432191E-2"/>
  </r>
  <r>
    <x v="3"/>
    <x v="28"/>
    <n v="390"/>
    <n v="3.3258565451624207E-3"/>
  </r>
  <r>
    <x v="3"/>
    <x v="29"/>
    <n v="157"/>
    <n v="1.3388704553602565E-3"/>
  </r>
  <r>
    <x v="3"/>
    <x v="30"/>
    <n v="87"/>
    <n v="7.419218446900785E-4"/>
  </r>
  <r>
    <x v="4"/>
    <x v="31"/>
    <n v="1719"/>
    <n v="1.4659352310600516E-2"/>
  </r>
  <r>
    <x v="4"/>
    <x v="32"/>
    <n v="4960"/>
    <n v="4.2298072984629759E-2"/>
  </r>
  <r>
    <x v="4"/>
    <x v="33"/>
    <n v="172"/>
    <n v="1.4667880147895805E-3"/>
  </r>
  <r>
    <x v="4"/>
    <x v="34"/>
    <n v="139"/>
    <n v="1.1853693840450678E-3"/>
  </r>
  <r>
    <x v="4"/>
    <x v="35"/>
    <n v="532"/>
    <n v="4.536809441093353E-3"/>
  </r>
  <r>
    <x v="5"/>
    <x v="36"/>
    <n v="196"/>
    <n v="1.6714561098764985E-3"/>
  </r>
  <r>
    <x v="5"/>
    <x v="37"/>
    <n v="143"/>
    <n v="1.2194807332262208E-3"/>
  </r>
  <r>
    <x v="5"/>
    <x v="38"/>
    <n v="96"/>
    <n v="8.1867238034767273E-4"/>
  </r>
  <r>
    <x v="5"/>
    <x v="39"/>
    <n v="96"/>
    <n v="8.1867238034767273E-4"/>
  </r>
  <r>
    <x v="6"/>
    <x v="40"/>
    <n v="60"/>
    <n v="5.1167023771729549E-4"/>
  </r>
  <r>
    <x v="7"/>
    <x v="41"/>
    <n v="416"/>
    <n v="3.5475803148399153E-3"/>
  </r>
  <r>
    <x v="7"/>
    <x v="42"/>
    <n v="342"/>
    <n v="2.9165203549885842E-3"/>
  </r>
  <r>
    <x v="7"/>
    <x v="43"/>
    <n v="135"/>
    <n v="1.1512580348639148E-3"/>
  </r>
  <r>
    <x v="7"/>
    <x v="44"/>
    <n v="491"/>
    <n v="4.1871681119865344E-3"/>
  </r>
  <r>
    <x v="8"/>
    <x v="45"/>
    <n v="570.08790999999997"/>
    <n v="4.861616940490936E-3"/>
  </r>
</pivotCacheRecords>
</file>

<file path=xl/pivotCache/pivotCacheRecords2.xml><?xml version="1.0" encoding="utf-8"?>
<pivotCacheRecords xmlns="http://schemas.openxmlformats.org/spreadsheetml/2006/main" xmlns:r="http://schemas.openxmlformats.org/officeDocument/2006/relationships" count="37">
  <r>
    <x v="0"/>
    <x v="0"/>
    <n v="111"/>
    <n v="131"/>
    <n v="131"/>
    <n v="148"/>
    <n v="165"/>
    <n v="187"/>
    <n v="212"/>
    <n v="259"/>
    <n v="246"/>
    <n v="299"/>
    <x v="0"/>
    <m/>
  </r>
  <r>
    <x v="0"/>
    <x v="1"/>
    <n v="127"/>
    <n v="133"/>
    <n v="103"/>
    <n v="103"/>
    <n v="103"/>
    <n v="115"/>
    <n v="114"/>
    <n v="105"/>
    <n v="100"/>
    <n v="105"/>
    <x v="1"/>
    <m/>
  </r>
  <r>
    <x v="0"/>
    <x v="2"/>
    <n v="36"/>
    <n v="48"/>
    <n v="42"/>
    <n v="47"/>
    <n v="54"/>
    <n v="63"/>
    <n v="72"/>
    <n v="72"/>
    <n v="73"/>
    <n v="81"/>
    <x v="2"/>
    <m/>
  </r>
  <r>
    <x v="0"/>
    <x v="3"/>
    <n v="182"/>
    <n v="210"/>
    <n v="188"/>
    <n v="215"/>
    <n v="242"/>
    <n v="266"/>
    <n v="281"/>
    <n v="286"/>
    <n v="241"/>
    <n v="254"/>
    <x v="3"/>
    <m/>
  </r>
  <r>
    <x v="1"/>
    <x v="4"/>
    <n v="91"/>
    <n v="112"/>
    <n v="83"/>
    <n v="111"/>
    <n v="159"/>
    <n v="255"/>
    <n v="279"/>
    <n v="291"/>
    <n v="273"/>
    <n v="279"/>
    <x v="4"/>
    <m/>
  </r>
  <r>
    <x v="1"/>
    <x v="5"/>
    <n v="125"/>
    <n v="145"/>
    <n v="183"/>
    <n v="130"/>
    <n v="188"/>
    <n v="286"/>
    <n v="320"/>
    <n v="355"/>
    <n v="357"/>
    <n v="364"/>
    <x v="5"/>
    <m/>
  </r>
  <r>
    <x v="1"/>
    <x v="6"/>
    <n v="123"/>
    <n v="170"/>
    <n v="119"/>
    <n v="270"/>
    <n v="352"/>
    <n v="476"/>
    <n v="568"/>
    <n v="578"/>
    <n v="567"/>
    <n v="580"/>
    <x v="6"/>
    <m/>
  </r>
  <r>
    <x v="1"/>
    <x v="7"/>
    <n v="1096"/>
    <n v="1328"/>
    <n v="1191"/>
    <n v="1241"/>
    <n v="1546"/>
    <n v="2004"/>
    <n v="2149"/>
    <n v="2262"/>
    <n v="2237"/>
    <n v="2294"/>
    <x v="7"/>
    <m/>
  </r>
  <r>
    <x v="2"/>
    <x v="8"/>
    <n v="3"/>
    <n v="4"/>
    <n v="3"/>
    <n v="4"/>
    <n v="3"/>
    <n v="2"/>
    <n v="2"/>
    <n v="1"/>
    <n v="1"/>
    <n v="0"/>
    <x v="8"/>
    <m/>
  </r>
  <r>
    <x v="2"/>
    <x v="9"/>
    <n v="8"/>
    <n v="10"/>
    <n v="10"/>
    <n v="7"/>
    <n v="5"/>
    <n v="6"/>
    <n v="6"/>
    <n v="6"/>
    <n v="6"/>
    <n v="1"/>
    <x v="8"/>
    <m/>
  </r>
  <r>
    <x v="2"/>
    <x v="10"/>
    <n v="1"/>
    <n v="1"/>
    <n v="2"/>
    <n v="1"/>
    <n v="2"/>
    <n v="4"/>
    <n v="4"/>
    <n v="3"/>
    <n v="2"/>
    <n v="0"/>
    <x v="8"/>
    <m/>
  </r>
  <r>
    <x v="2"/>
    <x v="11"/>
    <n v="214"/>
    <n v="234"/>
    <n v="232"/>
    <n v="243"/>
    <n v="267"/>
    <n v="293"/>
    <n v="324"/>
    <n v="407"/>
    <n v="450"/>
    <n v="474"/>
    <x v="9"/>
    <m/>
  </r>
  <r>
    <x v="2"/>
    <x v="12"/>
    <n v="14"/>
    <n v="18"/>
    <n v="14"/>
    <n v="14"/>
    <n v="14"/>
    <n v="15"/>
    <n v="21"/>
    <n v="28"/>
    <n v="32"/>
    <n v="25"/>
    <x v="10"/>
    <m/>
  </r>
  <r>
    <x v="2"/>
    <x v="13"/>
    <n v="76"/>
    <n v="79"/>
    <n v="77"/>
    <n v="80"/>
    <n v="74"/>
    <n v="86"/>
    <n v="88"/>
    <n v="92"/>
    <n v="104"/>
    <n v="123"/>
    <x v="11"/>
    <m/>
  </r>
  <r>
    <x v="2"/>
    <x v="14"/>
    <n v="24"/>
    <n v="31"/>
    <n v="34"/>
    <n v="33"/>
    <n v="35"/>
    <n v="38"/>
    <n v="40"/>
    <n v="41"/>
    <n v="37"/>
    <n v="0"/>
    <x v="8"/>
    <m/>
  </r>
  <r>
    <x v="2"/>
    <x v="15"/>
    <n v="86"/>
    <n v="99"/>
    <n v="90"/>
    <n v="93"/>
    <n v="96"/>
    <n v="141"/>
    <n v="157"/>
    <n v="134"/>
    <n v="88"/>
    <n v="12"/>
    <x v="12"/>
    <m/>
  </r>
  <r>
    <x v="2"/>
    <x v="16"/>
    <m/>
    <m/>
    <m/>
    <m/>
    <m/>
    <m/>
    <m/>
    <n v="1"/>
    <n v="1"/>
    <n v="0"/>
    <x v="8"/>
    <m/>
  </r>
  <r>
    <x v="2"/>
    <x v="17"/>
    <m/>
    <m/>
    <m/>
    <m/>
    <m/>
    <m/>
    <n v="0"/>
    <n v="0"/>
    <n v="0"/>
    <n v="7"/>
    <x v="13"/>
    <m/>
  </r>
  <r>
    <x v="2"/>
    <x v="18"/>
    <m/>
    <m/>
    <m/>
    <m/>
    <m/>
    <m/>
    <n v="0"/>
    <n v="0"/>
    <n v="0"/>
    <n v="3"/>
    <x v="13"/>
    <m/>
  </r>
  <r>
    <x v="2"/>
    <x v="19"/>
    <m/>
    <m/>
    <m/>
    <m/>
    <m/>
    <m/>
    <n v="0"/>
    <n v="0"/>
    <n v="0"/>
    <n v="6"/>
    <x v="14"/>
    <m/>
  </r>
  <r>
    <x v="2"/>
    <x v="20"/>
    <m/>
    <m/>
    <m/>
    <m/>
    <m/>
    <m/>
    <n v="0"/>
    <n v="0"/>
    <n v="0"/>
    <n v="2"/>
    <x v="15"/>
    <m/>
  </r>
  <r>
    <x v="3"/>
    <x v="21"/>
    <n v="8"/>
    <n v="9"/>
    <n v="7"/>
    <n v="6"/>
    <n v="7"/>
    <n v="0"/>
    <n v="0"/>
    <n v="0"/>
    <n v="0"/>
    <n v="0"/>
    <x v="8"/>
    <m/>
  </r>
  <r>
    <x v="3"/>
    <x v="22"/>
    <n v="5"/>
    <n v="3"/>
    <n v="4"/>
    <n v="4"/>
    <n v="4"/>
    <n v="0"/>
    <n v="0"/>
    <n v="0"/>
    <n v="0"/>
    <n v="0"/>
    <x v="8"/>
    <m/>
  </r>
  <r>
    <x v="4"/>
    <x v="23"/>
    <n v="2"/>
    <n v="2"/>
    <n v="2"/>
    <n v="2"/>
    <n v="2"/>
    <n v="3"/>
    <n v="2"/>
    <n v="2"/>
    <n v="2"/>
    <n v="2"/>
    <x v="16"/>
    <m/>
  </r>
  <r>
    <x v="4"/>
    <x v="24"/>
    <n v="1"/>
    <n v="1"/>
    <n v="1"/>
    <n v="1"/>
    <n v="1"/>
    <n v="3"/>
    <n v="4"/>
    <n v="4"/>
    <n v="4"/>
    <n v="6"/>
    <x v="17"/>
    <m/>
  </r>
  <r>
    <x v="4"/>
    <x v="25"/>
    <n v="1"/>
    <n v="3"/>
    <n v="3"/>
    <n v="3"/>
    <n v="0"/>
    <n v="4"/>
    <n v="5"/>
    <n v="5"/>
    <n v="5"/>
    <n v="5"/>
    <x v="17"/>
    <m/>
  </r>
  <r>
    <x v="4"/>
    <x v="26"/>
    <n v="30"/>
    <n v="33"/>
    <n v="26"/>
    <n v="33"/>
    <n v="44"/>
    <n v="98"/>
    <n v="116"/>
    <n v="133"/>
    <n v="130"/>
    <n v="144"/>
    <x v="18"/>
    <m/>
  </r>
  <r>
    <x v="4"/>
    <x v="27"/>
    <n v="0"/>
    <n v="0"/>
    <n v="0"/>
    <n v="0"/>
    <n v="1"/>
    <n v="1"/>
    <n v="2"/>
    <n v="2"/>
    <n v="2"/>
    <n v="2"/>
    <x v="16"/>
    <m/>
  </r>
  <r>
    <x v="4"/>
    <x v="28"/>
    <n v="4"/>
    <n v="5"/>
    <n v="4"/>
    <n v="4"/>
    <n v="4"/>
    <n v="4"/>
    <n v="4"/>
    <n v="4"/>
    <n v="4"/>
    <n v="4"/>
    <x v="12"/>
    <m/>
  </r>
  <r>
    <x v="4"/>
    <x v="29"/>
    <n v="1"/>
    <n v="1"/>
    <n v="1"/>
    <n v="1"/>
    <n v="1"/>
    <n v="3"/>
    <n v="3"/>
    <n v="2"/>
    <n v="2"/>
    <n v="1"/>
    <x v="16"/>
    <m/>
  </r>
  <r>
    <x v="4"/>
    <x v="30"/>
    <n v="10"/>
    <n v="11"/>
    <n v="8"/>
    <n v="6"/>
    <n v="5"/>
    <n v="3"/>
    <n v="3"/>
    <n v="3"/>
    <n v="2"/>
    <n v="1"/>
    <x v="16"/>
    <m/>
  </r>
  <r>
    <x v="4"/>
    <x v="31"/>
    <n v="29"/>
    <n v="33"/>
    <n v="28"/>
    <n v="33"/>
    <n v="32"/>
    <n v="27"/>
    <n v="27"/>
    <n v="28"/>
    <n v="28"/>
    <n v="27"/>
    <x v="10"/>
    <m/>
  </r>
  <r>
    <x v="4"/>
    <x v="32"/>
    <n v="7"/>
    <n v="12"/>
    <n v="12"/>
    <n v="13"/>
    <n v="10"/>
    <n v="5"/>
    <n v="5"/>
    <n v="6"/>
    <n v="5"/>
    <n v="5"/>
    <x v="15"/>
    <m/>
  </r>
  <r>
    <x v="5"/>
    <x v="33"/>
    <n v="19"/>
    <n v="19"/>
    <n v="13"/>
    <n v="14"/>
    <n v="21"/>
    <n v="23"/>
    <n v="22"/>
    <n v="23"/>
    <n v="23"/>
    <n v="29"/>
    <x v="8"/>
    <m/>
  </r>
  <r>
    <x v="5"/>
    <x v="34"/>
    <n v="29"/>
    <n v="30"/>
    <n v="26"/>
    <n v="29"/>
    <n v="47"/>
    <n v="29"/>
    <n v="28"/>
    <n v="29"/>
    <n v="29"/>
    <n v="73"/>
    <x v="19"/>
    <m/>
  </r>
  <r>
    <x v="5"/>
    <x v="35"/>
    <n v="70"/>
    <n v="99"/>
    <n v="82"/>
    <n v="35"/>
    <n v="30"/>
    <n v="48"/>
    <n v="51"/>
    <n v="50"/>
    <n v="58"/>
    <n v="23"/>
    <x v="20"/>
    <m/>
  </r>
  <r>
    <x v="6"/>
    <x v="36"/>
    <n v="2533"/>
    <n v="3014"/>
    <n v="2719"/>
    <n v="2924"/>
    <n v="3514"/>
    <n v="4488"/>
    <n v="4909"/>
    <n v="5212"/>
    <n v="5109"/>
    <n v="5231"/>
    <x v="2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13" applyNumberFormats="0" applyBorderFormats="0" applyFontFormats="0" applyPatternFormats="0" applyAlignmentFormats="0" applyWidthHeightFormats="1" dataCaption="Valores" updatedVersion="6" minRefreshableVersion="3" useAutoFormatting="1" itemPrintTitles="1" createdVersion="5" indent="0" compact="0" compactData="0" multipleFieldFilters="0" chartFormat="19">
  <location ref="Q8:U14" firstHeaderRow="0" firstDataRow="1" firstDataCol="1" rowPageCount="1" colPageCount="1"/>
  <pivotFields count="14">
    <pivotField axis="axisRow" compact="0" outline="0" showAll="0">
      <items count="10">
        <item m="1" x="8"/>
        <item m="1" x="7"/>
        <item x="2"/>
        <item h="1" x="3"/>
        <item x="4"/>
        <item x="5"/>
        <item h="1" x="6"/>
        <item x="1"/>
        <item x="0"/>
        <item t="default"/>
      </items>
    </pivotField>
    <pivotField axis="axisPage" compact="0" outline="0" showAll="0">
      <items count="39">
        <item x="8"/>
        <item x="9"/>
        <item x="4"/>
        <item x="23"/>
        <item x="10"/>
        <item x="5"/>
        <item x="21"/>
        <item x="24"/>
        <item x="25"/>
        <item x="26"/>
        <item x="0"/>
        <item x="6"/>
        <item x="11"/>
        <item x="12"/>
        <item x="13"/>
        <item x="1"/>
        <item x="2"/>
        <item x="14"/>
        <item x="3"/>
        <item x="27"/>
        <item x="15"/>
        <item x="28"/>
        <item x="29"/>
        <item x="16"/>
        <item x="33"/>
        <item x="7"/>
        <item x="30"/>
        <item x="22"/>
        <item x="31"/>
        <item x="32"/>
        <item x="36"/>
        <item x="34"/>
        <item m="1" x="37"/>
        <item x="35"/>
        <item x="17"/>
        <item x="18"/>
        <item x="19"/>
        <item x="20"/>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0"/>
  </rowFields>
  <rowItems count="6">
    <i>
      <x v="2"/>
    </i>
    <i>
      <x v="4"/>
    </i>
    <i>
      <x v="5"/>
    </i>
    <i>
      <x v="7"/>
    </i>
    <i>
      <x v="8"/>
    </i>
    <i t="grand">
      <x/>
    </i>
  </rowItems>
  <colFields count="1">
    <field x="-2"/>
  </colFields>
  <colItems count="4">
    <i>
      <x/>
    </i>
    <i i="1">
      <x v="1"/>
    </i>
    <i i="2">
      <x v="2"/>
    </i>
    <i i="3">
      <x v="3"/>
    </i>
  </colItems>
  <pageFields count="1">
    <pageField fld="1" hier="-1"/>
  </pageFields>
  <dataFields count="4">
    <dataField name="Suma de 2015" fld="9" baseField="0" baseItem="1" numFmtId="3"/>
    <dataField name="Suma de 2016" fld="10" baseField="0" baseItem="1" numFmtId="3"/>
    <dataField name="Suma de 2017" fld="11" baseField="0" baseItem="0"/>
    <dataField name="Suma de 2018" fld="12" baseField="0" baseItem="4"/>
  </dataFields>
  <formats count="45">
    <format dxfId="254">
      <pivotArea type="all" dataOnly="0" outline="0" fieldPosition="0"/>
    </format>
    <format dxfId="253">
      <pivotArea outline="0" collapsedLevelsAreSubtotals="1" fieldPosition="0"/>
    </format>
    <format dxfId="252">
      <pivotArea field="0" type="button" dataOnly="0" labelOnly="1" outline="0" axis="axisRow" fieldPosition="0"/>
    </format>
    <format dxfId="251">
      <pivotArea dataOnly="0" labelOnly="1" fieldPosition="0">
        <references count="1">
          <reference field="0" count="0"/>
        </references>
      </pivotArea>
    </format>
    <format dxfId="250">
      <pivotArea dataOnly="0" labelOnly="1" grandRow="1" outline="0" fieldPosition="0"/>
    </format>
    <format dxfId="249">
      <pivotArea type="all" dataOnly="0" outline="0" fieldPosition="0"/>
    </format>
    <format dxfId="248">
      <pivotArea outline="0" collapsedLevelsAreSubtotals="1" fieldPosition="0"/>
    </format>
    <format dxfId="247">
      <pivotArea field="0" type="button" dataOnly="0" labelOnly="1" outline="0" axis="axisRow" fieldPosition="0"/>
    </format>
    <format dxfId="246">
      <pivotArea dataOnly="0" labelOnly="1" fieldPosition="0">
        <references count="1">
          <reference field="0" count="0"/>
        </references>
      </pivotArea>
    </format>
    <format dxfId="245">
      <pivotArea dataOnly="0" labelOnly="1" grandRow="1" outline="0" fieldPosition="0"/>
    </format>
    <format dxfId="244">
      <pivotArea type="all" dataOnly="0" outline="0" fieldPosition="0"/>
    </format>
    <format dxfId="243">
      <pivotArea outline="0" collapsedLevelsAreSubtotals="1" fieldPosition="0"/>
    </format>
    <format dxfId="242">
      <pivotArea field="0" type="button" dataOnly="0" labelOnly="1" outline="0" axis="axisRow" fieldPosition="0"/>
    </format>
    <format dxfId="241">
      <pivotArea dataOnly="0" labelOnly="1" fieldPosition="0">
        <references count="1">
          <reference field="0" count="0"/>
        </references>
      </pivotArea>
    </format>
    <format dxfId="240">
      <pivotArea dataOnly="0" labelOnly="1" grandRow="1" outline="0" fieldPosition="0"/>
    </format>
    <format dxfId="239">
      <pivotArea type="all" dataOnly="0" outline="0" fieldPosition="0"/>
    </format>
    <format dxfId="238">
      <pivotArea outline="0" collapsedLevelsAreSubtotals="1" fieldPosition="0"/>
    </format>
    <format dxfId="237">
      <pivotArea field="0" type="button" dataOnly="0" labelOnly="1" outline="0" axis="axisRow" fieldPosition="0"/>
    </format>
    <format dxfId="236">
      <pivotArea dataOnly="0" labelOnly="1" fieldPosition="0">
        <references count="1">
          <reference field="0" count="0"/>
        </references>
      </pivotArea>
    </format>
    <format dxfId="235">
      <pivotArea dataOnly="0" labelOnly="1" grandRow="1" outline="0" fieldPosition="0"/>
    </format>
    <format dxfId="234">
      <pivotArea dataOnly="0" labelOnly="1" outline="0" fieldPosition="0">
        <references count="1">
          <reference field="4294967294" count="2">
            <x v="0"/>
            <x v="1"/>
          </reference>
        </references>
      </pivotArea>
    </format>
    <format dxfId="233">
      <pivotArea type="all" dataOnly="0" outline="0" fieldPosition="0"/>
    </format>
    <format dxfId="232">
      <pivotArea outline="0" collapsedLevelsAreSubtotals="1" fieldPosition="0"/>
    </format>
    <format dxfId="231">
      <pivotArea field="0" type="button" dataOnly="0" labelOnly="1" outline="0" axis="axisRow" fieldPosition="0"/>
    </format>
    <format dxfId="230">
      <pivotArea dataOnly="0" labelOnly="1" fieldPosition="0">
        <references count="1">
          <reference field="0" count="0"/>
        </references>
      </pivotArea>
    </format>
    <format dxfId="229">
      <pivotArea dataOnly="0" labelOnly="1" grandRow="1" outline="0" fieldPosition="0"/>
    </format>
    <format dxfId="228">
      <pivotArea dataOnly="0" labelOnly="1" outline="0" fieldPosition="0">
        <references count="1">
          <reference field="4294967294" count="2">
            <x v="0"/>
            <x v="1"/>
          </reference>
        </references>
      </pivotArea>
    </format>
    <format dxfId="227">
      <pivotArea type="all" dataOnly="0" outline="0" fieldPosition="0"/>
    </format>
    <format dxfId="226">
      <pivotArea outline="0" collapsedLevelsAreSubtotals="1" fieldPosition="0"/>
    </format>
    <format dxfId="225">
      <pivotArea field="0" type="button" dataOnly="0" labelOnly="1" outline="0" axis="axisRow" fieldPosition="0"/>
    </format>
    <format dxfId="224">
      <pivotArea dataOnly="0" labelOnly="1" fieldPosition="0">
        <references count="1">
          <reference field="0" count="0"/>
        </references>
      </pivotArea>
    </format>
    <format dxfId="223">
      <pivotArea dataOnly="0" labelOnly="1" grandRow="1" outline="0" fieldPosition="0"/>
    </format>
    <format dxfId="222">
      <pivotArea dataOnly="0" labelOnly="1" outline="0" fieldPosition="0">
        <references count="1">
          <reference field="4294967294" count="2">
            <x v="0"/>
            <x v="1"/>
          </reference>
        </references>
      </pivotArea>
    </format>
    <format dxfId="221">
      <pivotArea type="all" dataOnly="0" outline="0" fieldPosition="0"/>
    </format>
    <format dxfId="220">
      <pivotArea outline="0" collapsedLevelsAreSubtotals="1" fieldPosition="0"/>
    </format>
    <format dxfId="219">
      <pivotArea field="0" type="button" dataOnly="0" labelOnly="1" outline="0" axis="axisRow" fieldPosition="0"/>
    </format>
    <format dxfId="218">
      <pivotArea dataOnly="0" labelOnly="1" fieldPosition="0">
        <references count="1">
          <reference field="0" count="0"/>
        </references>
      </pivotArea>
    </format>
    <format dxfId="217">
      <pivotArea dataOnly="0" labelOnly="1" grandRow="1" outline="0" fieldPosition="0"/>
    </format>
    <format dxfId="216">
      <pivotArea dataOnly="0" labelOnly="1" outline="0" fieldPosition="0">
        <references count="1">
          <reference field="4294967294" count="2">
            <x v="0"/>
            <x v="1"/>
          </reference>
        </references>
      </pivotArea>
    </format>
    <format dxfId="215">
      <pivotArea outline="0" fieldPosition="0">
        <references count="1">
          <reference field="4294967294" count="1">
            <x v="1"/>
          </reference>
        </references>
      </pivotArea>
    </format>
    <format dxfId="214">
      <pivotArea outline="0" fieldPosition="0">
        <references count="1">
          <reference field="4294967294" count="1">
            <x v="0"/>
          </reference>
        </references>
      </pivotArea>
    </format>
    <format dxfId="213">
      <pivotArea outline="0" collapsedLevelsAreSubtotals="1" fieldPosition="0">
        <references count="1">
          <reference field="0" count="1" selected="0">
            <x v="7"/>
          </reference>
        </references>
      </pivotArea>
    </format>
    <format dxfId="212">
      <pivotArea grandRow="1" outline="0" collapsedLevelsAreSubtotals="1" fieldPosition="0"/>
    </format>
    <format dxfId="211">
      <pivotArea dataOnly="0" labelOnly="1" outline="0" fieldPosition="0">
        <references count="1">
          <reference field="0" count="1">
            <x v="7"/>
          </reference>
        </references>
      </pivotArea>
    </format>
    <format dxfId="210">
      <pivotArea dataOnly="0" labelOnly="1" grandRow="1" outline="0" fieldPosition="0"/>
    </format>
  </formats>
  <chartFormats count="4">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1">
          <reference field="4294967294" count="1" selected="0">
            <x v="1"/>
          </reference>
        </references>
      </pivotArea>
    </chartFormat>
    <chartFormat chart="0" format="5" series="1">
      <pivotArea type="data" outline="0" fieldPosition="0">
        <references count="1">
          <reference field="4294967294" count="1" selected="0">
            <x v="2"/>
          </reference>
        </references>
      </pivotArea>
    </chartFormat>
    <chartFormat chart="0" format="6"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3" cacheId="13" applyNumberFormats="0" applyBorderFormats="0" applyFontFormats="0" applyPatternFormats="0" applyAlignmentFormats="0" applyWidthHeightFormats="1" dataCaption="Valores" updatedVersion="6" minRefreshableVersion="3" useAutoFormatting="1" itemPrintTitles="1" createdVersion="5" indent="0" compact="0" compactData="0" multipleFieldFilters="0" chartFormat="8">
  <location ref="Q29:U43" firstHeaderRow="0" firstDataRow="1" firstDataCol="1" rowPageCount="1" colPageCount="1"/>
  <pivotFields count="14">
    <pivotField axis="axisPage" compact="0" outline="0" multipleItemSelectionAllowed="1" showAll="0">
      <items count="10">
        <item m="1" x="8"/>
        <item h="1" m="1" x="7"/>
        <item h="1" x="1"/>
        <item x="2"/>
        <item h="1" x="3"/>
        <item h="1" x="4"/>
        <item h="1" x="5"/>
        <item h="1" x="6"/>
        <item h="1" x="0"/>
        <item t="default"/>
      </items>
    </pivotField>
    <pivotField axis="axisRow" compact="0" outline="0" showAll="0">
      <items count="39">
        <item x="8"/>
        <item x="9"/>
        <item x="4"/>
        <item x="23"/>
        <item x="10"/>
        <item x="5"/>
        <item x="21"/>
        <item x="24"/>
        <item x="25"/>
        <item x="26"/>
        <item x="0"/>
        <item x="6"/>
        <item x="11"/>
        <item x="12"/>
        <item x="13"/>
        <item x="1"/>
        <item x="2"/>
        <item x="14"/>
        <item x="3"/>
        <item x="27"/>
        <item x="15"/>
        <item x="28"/>
        <item x="29"/>
        <item x="33"/>
        <item x="7"/>
        <item x="30"/>
        <item x="22"/>
        <item x="31"/>
        <item x="32"/>
        <item h="1" x="36"/>
        <item x="34"/>
        <item m="1" x="37"/>
        <item x="16"/>
        <item x="35"/>
        <item x="17"/>
        <item x="18"/>
        <item x="19"/>
        <item x="20"/>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items count="22">
        <item x="16"/>
        <item x="12"/>
        <item x="15"/>
        <item x="14"/>
        <item x="17"/>
        <item x="13"/>
        <item x="19"/>
        <item x="10"/>
        <item x="2"/>
        <item x="1"/>
        <item x="20"/>
        <item x="18"/>
        <item x="11"/>
        <item x="4"/>
        <item x="3"/>
        <item x="0"/>
        <item x="5"/>
        <item x="6"/>
        <item x="9"/>
        <item x="7"/>
        <item x="21"/>
        <item x="8"/>
      </items>
    </pivotField>
    <pivotField compact="0" outline="0" showAll="0" defaultSubtotal="0"/>
  </pivotFields>
  <rowFields count="1">
    <field x="1"/>
  </rowFields>
  <rowItems count="14">
    <i>
      <x/>
    </i>
    <i>
      <x v="1"/>
    </i>
    <i>
      <x v="4"/>
    </i>
    <i>
      <x v="12"/>
    </i>
    <i>
      <x v="13"/>
    </i>
    <i>
      <x v="14"/>
    </i>
    <i>
      <x v="17"/>
    </i>
    <i>
      <x v="20"/>
    </i>
    <i>
      <x v="32"/>
    </i>
    <i>
      <x v="34"/>
    </i>
    <i>
      <x v="35"/>
    </i>
    <i>
      <x v="36"/>
    </i>
    <i>
      <x v="37"/>
    </i>
    <i t="grand">
      <x/>
    </i>
  </rowItems>
  <colFields count="1">
    <field x="-2"/>
  </colFields>
  <colItems count="4">
    <i>
      <x/>
    </i>
    <i i="1">
      <x v="1"/>
    </i>
    <i i="2">
      <x v="2"/>
    </i>
    <i i="3">
      <x v="3"/>
    </i>
  </colItems>
  <pageFields count="1">
    <pageField fld="0" hier="-1"/>
  </pageFields>
  <dataFields count="4">
    <dataField name="Suma de 2015" fld="9" baseField="1" baseItem="2" numFmtId="3"/>
    <dataField name="Suma de 2016" fld="10" baseField="1" baseItem="2" numFmtId="3"/>
    <dataField name="Suma de 2017" fld="11" baseField="0" baseItem="0"/>
    <dataField name="Suma de 2018" fld="12" baseField="1" baseItem="1"/>
  </dataFields>
  <formats count="46">
    <format dxfId="300">
      <pivotArea type="all" dataOnly="0" outline="0" fieldPosition="0"/>
    </format>
    <format dxfId="299">
      <pivotArea outline="0" collapsedLevelsAreSubtotals="1" fieldPosition="0"/>
    </format>
    <format dxfId="298">
      <pivotArea field="1" type="button" dataOnly="0" labelOnly="1" outline="0" axis="axisRow" fieldPosition="0"/>
    </format>
    <format dxfId="297">
      <pivotArea dataOnly="0" labelOnly="1" outline="0" axis="axisValues" fieldPosition="0"/>
    </format>
    <format dxfId="296">
      <pivotArea dataOnly="0" labelOnly="1" fieldPosition="0">
        <references count="1">
          <reference field="1" count="10">
            <x v="3"/>
            <x v="7"/>
            <x v="8"/>
            <x v="9"/>
            <x v="19"/>
            <x v="21"/>
            <x v="22"/>
            <x v="25"/>
            <x v="27"/>
            <x v="28"/>
          </reference>
        </references>
      </pivotArea>
    </format>
    <format dxfId="295">
      <pivotArea dataOnly="0" labelOnly="1" grandRow="1" outline="0" fieldPosition="0"/>
    </format>
    <format dxfId="294">
      <pivotArea type="all" dataOnly="0" outline="0" fieldPosition="0"/>
    </format>
    <format dxfId="293">
      <pivotArea outline="0" collapsedLevelsAreSubtotals="1" fieldPosition="0"/>
    </format>
    <format dxfId="292">
      <pivotArea field="1" type="button" dataOnly="0" labelOnly="1" outline="0" axis="axisRow" fieldPosition="0"/>
    </format>
    <format dxfId="291">
      <pivotArea dataOnly="0" labelOnly="1" outline="0" axis="axisValues" fieldPosition="0"/>
    </format>
    <format dxfId="290">
      <pivotArea dataOnly="0" labelOnly="1" fieldPosition="0">
        <references count="1">
          <reference field="1" count="10">
            <x v="3"/>
            <x v="7"/>
            <x v="8"/>
            <x v="9"/>
            <x v="19"/>
            <x v="21"/>
            <x v="22"/>
            <x v="25"/>
            <x v="27"/>
            <x v="28"/>
          </reference>
        </references>
      </pivotArea>
    </format>
    <format dxfId="289">
      <pivotArea dataOnly="0" labelOnly="1" grandRow="1" outline="0" fieldPosition="0"/>
    </format>
    <format dxfId="288">
      <pivotArea type="all" dataOnly="0" outline="0" fieldPosition="0"/>
    </format>
    <format dxfId="287">
      <pivotArea outline="0" collapsedLevelsAreSubtotals="1" fieldPosition="0"/>
    </format>
    <format dxfId="286">
      <pivotArea field="1" type="button" dataOnly="0" labelOnly="1" outline="0" axis="axisRow" fieldPosition="0"/>
    </format>
    <format dxfId="285">
      <pivotArea dataOnly="0" labelOnly="1" outline="0" axis="axisValues" fieldPosition="0"/>
    </format>
    <format dxfId="284">
      <pivotArea dataOnly="0" labelOnly="1" fieldPosition="0">
        <references count="1">
          <reference field="1" count="4">
            <x v="2"/>
            <x v="5"/>
            <x v="11"/>
            <x v="24"/>
          </reference>
        </references>
      </pivotArea>
    </format>
    <format dxfId="283">
      <pivotArea dataOnly="0" labelOnly="1" grandRow="1" outline="0" fieldPosition="0"/>
    </format>
    <format dxfId="282">
      <pivotArea type="all" dataOnly="0" outline="0" fieldPosition="0"/>
    </format>
    <format dxfId="281">
      <pivotArea outline="0" collapsedLevelsAreSubtotals="1" fieldPosition="0"/>
    </format>
    <format dxfId="280">
      <pivotArea field="1" type="button" dataOnly="0" labelOnly="1" outline="0" axis="axisRow" fieldPosition="0"/>
    </format>
    <format dxfId="279">
      <pivotArea dataOnly="0" labelOnly="1" fieldPosition="0">
        <references count="1">
          <reference field="1" count="4">
            <x v="2"/>
            <x v="5"/>
            <x v="11"/>
            <x v="24"/>
          </reference>
        </references>
      </pivotArea>
    </format>
    <format dxfId="278">
      <pivotArea dataOnly="0" labelOnly="1" grandRow="1" outline="0" fieldPosition="0"/>
    </format>
    <format dxfId="277">
      <pivotArea dataOnly="0" labelOnly="1" outline="0" fieldPosition="0">
        <references count="1">
          <reference field="4294967294" count="2">
            <x v="0"/>
            <x v="1"/>
          </reference>
        </references>
      </pivotArea>
    </format>
    <format dxfId="276">
      <pivotArea type="all" dataOnly="0" outline="0" fieldPosition="0"/>
    </format>
    <format dxfId="275">
      <pivotArea outline="0" collapsedLevelsAreSubtotals="1" fieldPosition="0"/>
    </format>
    <format dxfId="274">
      <pivotArea field="1" type="button" dataOnly="0" labelOnly="1" outline="0" axis="axisRow" fieldPosition="0"/>
    </format>
    <format dxfId="273">
      <pivotArea dataOnly="0" labelOnly="1" fieldPosition="0">
        <references count="1">
          <reference field="1" count="4">
            <x v="2"/>
            <x v="5"/>
            <x v="11"/>
            <x v="24"/>
          </reference>
        </references>
      </pivotArea>
    </format>
    <format dxfId="272">
      <pivotArea dataOnly="0" labelOnly="1" grandRow="1" outline="0" fieldPosition="0"/>
    </format>
    <format dxfId="271">
      <pivotArea dataOnly="0" labelOnly="1" outline="0" fieldPosition="0">
        <references count="1">
          <reference field="4294967294" count="2">
            <x v="0"/>
            <x v="1"/>
          </reference>
        </references>
      </pivotArea>
    </format>
    <format dxfId="270">
      <pivotArea type="all" dataOnly="0" outline="0" fieldPosition="0"/>
    </format>
    <format dxfId="269">
      <pivotArea outline="0" collapsedLevelsAreSubtotals="1" fieldPosition="0"/>
    </format>
    <format dxfId="268">
      <pivotArea field="1" type="button" dataOnly="0" labelOnly="1" outline="0" axis="axisRow" fieldPosition="0"/>
    </format>
    <format dxfId="267">
      <pivotArea dataOnly="0" labelOnly="1" fieldPosition="0">
        <references count="1">
          <reference field="1" count="4">
            <x v="2"/>
            <x v="5"/>
            <x v="11"/>
            <x v="24"/>
          </reference>
        </references>
      </pivotArea>
    </format>
    <format dxfId="266">
      <pivotArea dataOnly="0" labelOnly="1" grandRow="1" outline="0" fieldPosition="0"/>
    </format>
    <format dxfId="265">
      <pivotArea dataOnly="0" labelOnly="1" outline="0" fieldPosition="0">
        <references count="1">
          <reference field="4294967294" count="2">
            <x v="0"/>
            <x v="1"/>
          </reference>
        </references>
      </pivotArea>
    </format>
    <format dxfId="264">
      <pivotArea type="all" dataOnly="0" outline="0" fieldPosition="0"/>
    </format>
    <format dxfId="263">
      <pivotArea outline="0" collapsedLevelsAreSubtotals="1" fieldPosition="0"/>
    </format>
    <format dxfId="262">
      <pivotArea field="1" type="button" dataOnly="0" labelOnly="1" outline="0" axis="axisRow" fieldPosition="0"/>
    </format>
    <format dxfId="261">
      <pivotArea dataOnly="0" labelOnly="1" fieldPosition="0">
        <references count="1">
          <reference field="1" count="4">
            <x v="2"/>
            <x v="5"/>
            <x v="11"/>
            <x v="24"/>
          </reference>
        </references>
      </pivotArea>
    </format>
    <format dxfId="260">
      <pivotArea dataOnly="0" labelOnly="1" grandRow="1" outline="0" fieldPosition="0"/>
    </format>
    <format dxfId="259">
      <pivotArea dataOnly="0" labelOnly="1" outline="0" fieldPosition="0">
        <references count="1">
          <reference field="4294967294" count="2">
            <x v="0"/>
            <x v="1"/>
          </reference>
        </references>
      </pivotArea>
    </format>
    <format dxfId="258">
      <pivotArea outline="0" fieldPosition="0">
        <references count="1">
          <reference field="4294967294" count="1">
            <x v="0"/>
          </reference>
        </references>
      </pivotArea>
    </format>
    <format dxfId="257">
      <pivotArea outline="0" fieldPosition="0">
        <references count="1">
          <reference field="4294967294" count="1">
            <x v="1"/>
          </reference>
        </references>
      </pivotArea>
    </format>
    <format dxfId="256">
      <pivotArea field="1" grandRow="1" outline="0" axis="axisRow" fieldPosition="0">
        <references count="1">
          <reference field="4294967294" count="1" selected="0">
            <x v="2"/>
          </reference>
        </references>
      </pivotArea>
    </format>
    <format dxfId="255">
      <pivotArea outline="0" fieldPosition="0">
        <references count="1">
          <reference field="1" count="0" selected="0"/>
        </references>
      </pivotArea>
    </format>
  </formats>
  <chartFormats count="4">
    <chartFormat chart="0" format="5"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 chart="0" format="7" series="1">
      <pivotArea type="data" outline="0" fieldPosition="0">
        <references count="1">
          <reference field="4294967294" count="1" selected="0">
            <x v="2"/>
          </reference>
        </references>
      </pivotArea>
    </chartFormat>
    <chartFormat chart="0" format="8"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5" cacheId="12"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32">
  <location ref="Q1:R11" firstHeaderRow="1" firstDataRow="1" firstDataCol="1"/>
  <pivotFields count="4">
    <pivotField axis="axisRow" showAll="0" sortType="descending">
      <items count="10">
        <item x="0"/>
        <item x="1"/>
        <item x="2"/>
        <item x="3"/>
        <item x="4"/>
        <item x="7"/>
        <item x="6"/>
        <item x="5"/>
        <item x="8"/>
        <item t="default"/>
      </items>
      <autoSortScope>
        <pivotArea dataOnly="0" outline="0" fieldPosition="0">
          <references count="1">
            <reference field="4294967294" count="1" selected="0">
              <x v="0"/>
            </reference>
          </references>
        </pivotArea>
      </autoSortScope>
    </pivotField>
    <pivotField showAll="0"/>
    <pivotField dataField="1" numFmtId="3" showAll="0"/>
    <pivotField showAll="0"/>
  </pivotFields>
  <rowFields count="1">
    <field x="0"/>
  </rowFields>
  <rowItems count="10">
    <i>
      <x/>
    </i>
    <i>
      <x v="2"/>
    </i>
    <i>
      <x v="1"/>
    </i>
    <i>
      <x v="4"/>
    </i>
    <i>
      <x v="3"/>
    </i>
    <i>
      <x v="5"/>
    </i>
    <i>
      <x v="8"/>
    </i>
    <i>
      <x v="7"/>
    </i>
    <i>
      <x v="6"/>
    </i>
    <i t="grand">
      <x/>
    </i>
  </rowItems>
  <colItems count="1">
    <i/>
  </colItems>
  <dataFields count="1">
    <dataField name="Suma de Visitas de turistas" fld="2" baseField="0" baseItem="0"/>
  </dataFields>
  <formats count="4">
    <format dxfId="51">
      <pivotArea collapsedLevelsAreSubtotals="1" fieldPosition="0">
        <references count="1">
          <reference field="0" count="0"/>
        </references>
      </pivotArea>
    </format>
    <format dxfId="50">
      <pivotArea grandRow="1" outline="0" collapsedLevelsAreSubtotals="1" fieldPosition="0"/>
    </format>
    <format dxfId="49">
      <pivotArea collapsedLevelsAreSubtotals="1" fieldPosition="0">
        <references count="1">
          <reference field="0" count="1">
            <x v="0"/>
          </reference>
        </references>
      </pivotArea>
    </format>
    <format dxfId="48">
      <pivotArea dataOnly="0" labelOnly="1" fieldPosition="0">
        <references count="1">
          <reference field="0" count="1">
            <x v="0"/>
          </reference>
        </references>
      </pivotArea>
    </format>
  </formats>
  <chartFormats count="1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7">
      <pivotArea type="data" outline="0" fieldPosition="0">
        <references count="2">
          <reference field="4294967294" count="1" selected="0">
            <x v="0"/>
          </reference>
          <reference field="0" count="1" selected="0">
            <x v="5"/>
          </reference>
        </references>
      </pivotArea>
    </chartFormat>
    <chartFormat chart="0" format="8">
      <pivotArea type="data" outline="0" fieldPosition="0">
        <references count="2">
          <reference field="4294967294" count="1" selected="0">
            <x v="0"/>
          </reference>
          <reference field="0" count="1" selected="0">
            <x v="6"/>
          </reference>
        </references>
      </pivotArea>
    </chartFormat>
    <chartFormat chart="8" format="10" series="1">
      <pivotArea type="data" outline="0" fieldPosition="0">
        <references count="1">
          <reference field="4294967294" count="1" selected="0">
            <x v="0"/>
          </reference>
        </references>
      </pivotArea>
    </chartFormat>
    <chartFormat chart="8" format="11">
      <pivotArea type="data" outline="0" fieldPosition="0">
        <references count="2">
          <reference field="4294967294" count="1" selected="0">
            <x v="0"/>
          </reference>
          <reference field="0" count="1" selected="0">
            <x v="0"/>
          </reference>
        </references>
      </pivotArea>
    </chartFormat>
    <chartFormat chart="8" format="12">
      <pivotArea type="data" outline="0" fieldPosition="0">
        <references count="2">
          <reference field="4294967294" count="1" selected="0">
            <x v="0"/>
          </reference>
          <reference field="0" count="1" selected="0">
            <x v="2"/>
          </reference>
        </references>
      </pivotArea>
    </chartFormat>
    <chartFormat chart="8" format="13">
      <pivotArea type="data" outline="0" fieldPosition="0">
        <references count="2">
          <reference field="4294967294" count="1" selected="0">
            <x v="0"/>
          </reference>
          <reference field="0" count="1" selected="0">
            <x v="1"/>
          </reference>
        </references>
      </pivotArea>
    </chartFormat>
    <chartFormat chart="8" format="15">
      <pivotArea type="data" outline="0" fieldPosition="0">
        <references count="2">
          <reference field="4294967294" count="1" selected="0">
            <x v="0"/>
          </reference>
          <reference field="0" count="1" selected="0">
            <x v="3"/>
          </reference>
        </references>
      </pivotArea>
    </chartFormat>
    <chartFormat chart="8" format="16">
      <pivotArea type="data" outline="0" fieldPosition="0">
        <references count="2">
          <reference field="4294967294" count="1" selected="0">
            <x v="0"/>
          </reference>
          <reference field="0" count="1" selected="0">
            <x v="4"/>
          </reference>
        </references>
      </pivotArea>
    </chartFormat>
    <chartFormat chart="8" format="17">
      <pivotArea type="data" outline="0" fieldPosition="0">
        <references count="2">
          <reference field="4294967294" count="1" selected="0">
            <x v="0"/>
          </reference>
          <reference field="0" count="1" selected="0">
            <x v="5"/>
          </reference>
        </references>
      </pivotArea>
    </chartFormat>
    <chartFormat chart="8" format="18">
      <pivotArea type="data" outline="0" fieldPosition="0">
        <references count="2">
          <reference field="4294967294" count="1" selected="0">
            <x v="0"/>
          </reference>
          <reference field="0" count="1" selected="0">
            <x v="6"/>
          </reference>
        </references>
      </pivotArea>
    </chartFormat>
    <chartFormat chart="8" format="20">
      <pivotArea type="data" outline="0" fieldPosition="0">
        <references count="2">
          <reference field="4294967294" count="1" selected="0">
            <x v="0"/>
          </reference>
          <reference field="0" count="1" selected="0">
            <x v="7"/>
          </reference>
        </references>
      </pivotArea>
    </chartFormat>
    <chartFormat chart="8" format="21">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 dinámica4" cacheId="12"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7">
  <location ref="R34:S39" firstHeaderRow="1" firstDataRow="1" firstDataCol="1" rowPageCount="1" colPageCount="1"/>
  <pivotFields count="4">
    <pivotField axis="axisPage" multipleItemSelectionAllowed="1" showAll="0">
      <items count="10">
        <item h="1" x="0"/>
        <item x="1"/>
        <item h="1" x="2"/>
        <item h="1" x="3"/>
        <item h="1" x="4"/>
        <item h="1" x="7"/>
        <item h="1" x="6"/>
        <item h="1" x="5"/>
        <item h="1" x="8"/>
        <item t="default"/>
      </items>
    </pivotField>
    <pivotField axis="axisRow" showAll="0" sortType="descending">
      <items count="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autoSortScope>
        <pivotArea dataOnly="0" outline="0" fieldPosition="0">
          <references count="1">
            <reference field="4294967294" count="1" selected="0">
              <x v="0"/>
            </reference>
          </references>
        </pivotArea>
      </autoSortScope>
    </pivotField>
    <pivotField dataField="1" numFmtId="3" showAll="0"/>
    <pivotField showAll="0"/>
  </pivotFields>
  <rowFields count="1">
    <field x="1"/>
  </rowFields>
  <rowItems count="5">
    <i>
      <x v="17"/>
    </i>
    <i>
      <x v="18"/>
    </i>
    <i>
      <x v="19"/>
    </i>
    <i>
      <x v="20"/>
    </i>
    <i t="grand">
      <x/>
    </i>
  </rowItems>
  <colItems count="1">
    <i/>
  </colItems>
  <pageFields count="1">
    <pageField fld="0" hier="-1"/>
  </pageFields>
  <dataFields count="1">
    <dataField name="Suma de Visitas de turistas" fld="2" baseField="0" baseItem="0" numFmtId="169"/>
  </dataFields>
  <formats count="1">
    <format dxfId="52">
      <pivotArea outline="0" collapsedLevelsAreSubtotals="1" fieldPosition="0"/>
    </format>
  </formats>
  <chartFormats count="3">
    <chartFormat chart="0" format="0" series="1">
      <pivotArea type="data" outline="0" fieldPosition="0">
        <references count="1">
          <reference field="4294967294" count="1" selected="0">
            <x v="0"/>
          </reference>
        </references>
      </pivotArea>
    </chartFormat>
    <chartFormat chart="8" format="15" series="1">
      <pivotArea type="data" outline="0" fieldPosition="0">
        <references count="1">
          <reference field="4294967294" count="1" selected="0">
            <x v="0"/>
          </reference>
        </references>
      </pivotArea>
    </chartFormat>
    <chartFormat chart="16"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2" name="Tabla2" displayName="Tabla2" ref="B4:O41" totalsRowShown="0" headerRowDxfId="209" dataDxfId="208">
  <autoFilter ref="B4:O41"/>
  <sortState ref="B3:O39">
    <sortCondition ref="B3"/>
  </sortState>
  <tableColumns count="14">
    <tableColumn id="1" name="Actividad Económica" dataDxfId="207"/>
    <tableColumn id="2" name="TIPO" dataDxfId="206"/>
    <tableColumn id="3" name="2008" dataDxfId="205"/>
    <tableColumn id="4" name="2009" dataDxfId="204"/>
    <tableColumn id="5" name="2010" dataDxfId="203"/>
    <tableColumn id="6" name="2011" dataDxfId="202"/>
    <tableColumn id="7" name="2012" dataDxfId="201"/>
    <tableColumn id="8" name="2013" dataDxfId="200"/>
    <tableColumn id="9" name="2014" dataDxfId="199"/>
    <tableColumn id="10" name="2015" dataDxfId="198"/>
    <tableColumn id="12" name="2016" dataDxfId="197"/>
    <tableColumn id="11" name="2017" dataDxfId="196"/>
    <tableColumn id="14" name="2018" dataDxfId="195"/>
    <tableColumn id="15" name="2019" dataDxfId="194"/>
  </tableColumns>
  <tableStyleInfo name="TableStyleLight14" showFirstColumn="0" showLastColumn="0" showRowStripes="1" showColumnStripes="0"/>
</table>
</file>

<file path=xl/tables/table2.xml><?xml version="1.0" encoding="utf-8"?>
<table xmlns="http://schemas.openxmlformats.org/spreadsheetml/2006/main" id="1" name="Tabla1" displayName="Tabla1" ref="A4:E29" totalsRowShown="0" headerRowDxfId="7" dataDxfId="6" tableBorderDxfId="5">
  <autoFilter ref="A4:E29"/>
  <tableColumns count="5">
    <tableColumn id="1" name="ACTIVIDAD" dataDxfId="4"/>
    <tableColumn id="2" name="TIPO" dataDxfId="3"/>
    <tableColumn id="3" name="HOMBRE" dataDxfId="2"/>
    <tableColumn id="4" name="MUJERES" dataDxfId="1"/>
    <tableColumn id="5" name="TOTAL" dataDxfId="0"/>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ervicios.turismo.gob.ec/index.php/turismo-cifras"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4.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9.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9.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0.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0.vml"/><Relationship Id="rId5" Type="http://schemas.openxmlformats.org/officeDocument/2006/relationships/drawing" Target="../drawings/drawing12.xml"/><Relationship Id="rId4"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11.xml"/><Relationship Id="rId5" Type="http://schemas.openxmlformats.org/officeDocument/2006/relationships/vmlDrawing" Target="../drawings/vmlDrawing11.vml"/><Relationship Id="rId4" Type="http://schemas.openxmlformats.org/officeDocument/2006/relationships/drawing" Target="../drawings/drawing16.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20.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1.xml"/><Relationship Id="rId4" Type="http://schemas.openxmlformats.org/officeDocument/2006/relationships/drawing" Target="../drawings/drawing18.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1.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6.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48.xml"/><Relationship Id="rId4" Type="http://schemas.openxmlformats.org/officeDocument/2006/relationships/hyperlink" Target="http://www.ambiente.gob.ec/?q=node/71"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98"/>
  <sheetViews>
    <sheetView showGridLines="0" zoomScale="70" zoomScaleNormal="70" workbookViewId="0">
      <selection activeCell="H72" sqref="H72"/>
    </sheetView>
  </sheetViews>
  <sheetFormatPr baseColWidth="10" defaultColWidth="11.42578125" defaultRowHeight="15"/>
  <cols>
    <col min="1" max="1" width="4.28515625" style="1648" bestFit="1" customWidth="1"/>
    <col min="2" max="2" width="52" style="2828" customWidth="1"/>
    <col min="3" max="3" width="14.85546875" style="1648" hidden="1" customWidth="1"/>
    <col min="4" max="7" width="14.140625" style="1648" hidden="1" customWidth="1"/>
    <col min="8" max="9" width="32" style="2911" customWidth="1"/>
    <col min="10" max="10" width="47.28515625" style="2829" customWidth="1"/>
    <col min="11" max="11" width="2.28515625" style="193" customWidth="1"/>
    <col min="12" max="12" width="40.28515625" style="193" customWidth="1"/>
    <col min="13" max="16384" width="11.42578125" style="193"/>
  </cols>
  <sheetData>
    <row r="1" spans="1:17" ht="21">
      <c r="A1" s="3745" t="s">
        <v>192</v>
      </c>
      <c r="B1" s="3746"/>
      <c r="C1" s="3746"/>
      <c r="D1" s="3746"/>
      <c r="E1" s="3746"/>
      <c r="F1" s="3746"/>
      <c r="G1" s="3746"/>
      <c r="H1" s="3746"/>
      <c r="I1" s="3746"/>
      <c r="J1" s="3747"/>
    </row>
    <row r="2" spans="1:17">
      <c r="A2" s="2949"/>
      <c r="B2" s="2880"/>
      <c r="C2" s="2879"/>
      <c r="D2" s="2879"/>
      <c r="E2" s="2879"/>
      <c r="F2" s="2879"/>
      <c r="G2" s="2879"/>
      <c r="H2" s="2958"/>
      <c r="I2" s="2958"/>
      <c r="J2" s="2961"/>
    </row>
    <row r="3" spans="1:17" ht="63" customHeight="1">
      <c r="A3" s="3748" t="s">
        <v>1200</v>
      </c>
      <c r="B3" s="3749"/>
      <c r="C3" s="3749"/>
      <c r="D3" s="3749"/>
      <c r="E3" s="3749"/>
      <c r="F3" s="3749"/>
      <c r="G3" s="3749"/>
      <c r="H3" s="3749"/>
      <c r="I3" s="3749"/>
      <c r="J3" s="3750"/>
    </row>
    <row r="4" spans="1:17" ht="15.75" thickBot="1">
      <c r="A4" s="2949"/>
      <c r="B4" s="2880"/>
      <c r="C4" s="2879"/>
      <c r="D4" s="2879"/>
      <c r="E4" s="2879"/>
      <c r="F4" s="2879"/>
      <c r="G4" s="2879"/>
      <c r="H4" s="3755"/>
      <c r="I4" s="3755"/>
      <c r="J4" s="2961"/>
    </row>
    <row r="5" spans="1:17" s="2830" customFormat="1" ht="35.450000000000003" customHeight="1" thickBot="1">
      <c r="A5" s="3757" t="s">
        <v>1316</v>
      </c>
      <c r="B5" s="3758"/>
      <c r="C5" s="2968"/>
      <c r="D5" s="2969"/>
      <c r="E5" s="2970"/>
      <c r="F5" s="2971"/>
      <c r="G5" s="2972"/>
      <c r="H5" s="2985" t="s">
        <v>1216</v>
      </c>
      <c r="I5" s="2993" t="s">
        <v>955</v>
      </c>
      <c r="J5" s="2973" t="s">
        <v>700</v>
      </c>
    </row>
    <row r="6" spans="1:17" ht="17.45" customHeight="1">
      <c r="A6" s="3711" t="s">
        <v>1305</v>
      </c>
      <c r="B6" s="3708" t="s">
        <v>1222</v>
      </c>
      <c r="C6" s="2844"/>
      <c r="D6" s="2845"/>
      <c r="E6" s="2846"/>
      <c r="F6" s="2847"/>
      <c r="G6" s="2848"/>
      <c r="H6" s="3690">
        <v>283561</v>
      </c>
      <c r="I6" s="2994">
        <v>4230.74</v>
      </c>
      <c r="J6" s="2940" t="s">
        <v>1377</v>
      </c>
      <c r="L6" s="3695" t="s">
        <v>1379</v>
      </c>
      <c r="M6" s="3695"/>
      <c r="N6" s="3695"/>
      <c r="O6" s="3695"/>
      <c r="P6" s="3695"/>
      <c r="Q6" s="3695"/>
    </row>
    <row r="7" spans="1:17" ht="17.45" customHeight="1">
      <c r="A7" s="3711"/>
      <c r="B7" s="3708"/>
      <c r="C7" s="2831"/>
      <c r="D7" s="2832"/>
      <c r="E7" s="2833"/>
      <c r="F7" s="2834"/>
      <c r="G7" s="2835"/>
      <c r="H7" s="3691"/>
      <c r="I7" s="2995">
        <f>I6*9%</f>
        <v>380.76659999999998</v>
      </c>
      <c r="J7" s="3693" t="s">
        <v>1220</v>
      </c>
      <c r="L7" s="3695" t="s">
        <v>1379</v>
      </c>
      <c r="M7" s="3695"/>
      <c r="N7" s="3695"/>
      <c r="O7" s="3695"/>
      <c r="P7" s="3695"/>
      <c r="Q7" s="3695"/>
    </row>
    <row r="8" spans="1:17" ht="30">
      <c r="A8" s="3712"/>
      <c r="B8" s="3709"/>
      <c r="C8" s="2831"/>
      <c r="D8" s="2833"/>
      <c r="E8" s="2833"/>
      <c r="F8" s="2835"/>
      <c r="G8" s="2835"/>
      <c r="H8" s="3692"/>
      <c r="I8" s="2996" t="s">
        <v>1342</v>
      </c>
      <c r="J8" s="3694"/>
      <c r="L8" s="2837"/>
      <c r="M8" s="2837"/>
      <c r="N8" s="2837"/>
      <c r="O8" s="2837"/>
      <c r="P8" s="2837"/>
      <c r="Q8" s="2837"/>
    </row>
    <row r="9" spans="1:17" ht="28.9" customHeight="1">
      <c r="A9" s="2937" t="s">
        <v>1306</v>
      </c>
      <c r="B9" s="2838" t="s">
        <v>1217</v>
      </c>
      <c r="C9" s="2831"/>
      <c r="D9" s="2832"/>
      <c r="E9" s="2833"/>
      <c r="F9" s="2834"/>
      <c r="G9" s="2835"/>
      <c r="H9" s="2986">
        <v>16498502</v>
      </c>
      <c r="I9" s="2995">
        <v>2690150</v>
      </c>
      <c r="J9" s="2936" t="s">
        <v>1315</v>
      </c>
      <c r="L9" s="3695" t="s">
        <v>1380</v>
      </c>
      <c r="M9" s="3695"/>
      <c r="N9" s="3695"/>
      <c r="O9" s="3695"/>
      <c r="P9" s="3695"/>
      <c r="Q9" s="3695"/>
    </row>
    <row r="10" spans="1:17">
      <c r="A10" s="3710" t="s">
        <v>708</v>
      </c>
      <c r="B10" s="3707" t="s">
        <v>1313</v>
      </c>
      <c r="C10" s="2831"/>
      <c r="D10" s="2832"/>
      <c r="E10" s="2833"/>
      <c r="F10" s="2834"/>
      <c r="G10" s="2835"/>
      <c r="H10" s="3705" t="s">
        <v>1343</v>
      </c>
      <c r="I10" s="3706"/>
      <c r="J10" s="2938"/>
      <c r="L10" s="2837"/>
      <c r="M10" s="2837"/>
      <c r="N10" s="2837"/>
      <c r="O10" s="2837"/>
      <c r="P10" s="2837"/>
      <c r="Q10" s="2837"/>
    </row>
    <row r="11" spans="1:17" ht="30">
      <c r="A11" s="3711"/>
      <c r="B11" s="3708"/>
      <c r="C11" s="2831"/>
      <c r="D11" s="2832"/>
      <c r="E11" s="2833"/>
      <c r="F11" s="2834"/>
      <c r="G11" s="2835"/>
      <c r="H11" s="2987" t="s">
        <v>1344</v>
      </c>
      <c r="I11" s="2839" t="s">
        <v>1351</v>
      </c>
      <c r="J11" s="3725" t="s">
        <v>1357</v>
      </c>
      <c r="L11" s="3696" t="s">
        <v>1322</v>
      </c>
      <c r="M11" s="3697" t="s">
        <v>1324</v>
      </c>
      <c r="N11" s="3698" t="s">
        <v>1321</v>
      </c>
      <c r="O11" s="3698"/>
      <c r="P11" s="3698"/>
      <c r="Q11" s="3698"/>
    </row>
    <row r="12" spans="1:17">
      <c r="A12" s="3711"/>
      <c r="B12" s="3708"/>
      <c r="C12" s="2840"/>
      <c r="D12" s="2840"/>
      <c r="E12" s="2840"/>
      <c r="F12" s="2840"/>
      <c r="G12" s="2840"/>
      <c r="H12" s="2987" t="s">
        <v>1345</v>
      </c>
      <c r="I12" s="2839" t="s">
        <v>1352</v>
      </c>
      <c r="J12" s="3726"/>
      <c r="L12" s="3696"/>
      <c r="M12" s="3697"/>
      <c r="N12" s="3698"/>
      <c r="O12" s="3698"/>
      <c r="P12" s="3698"/>
      <c r="Q12" s="3698"/>
    </row>
    <row r="13" spans="1:17" ht="30">
      <c r="A13" s="3711"/>
      <c r="B13" s="3708"/>
      <c r="C13" s="2840"/>
      <c r="D13" s="2840"/>
      <c r="E13" s="2840"/>
      <c r="F13" s="2840"/>
      <c r="G13" s="2840"/>
      <c r="H13" s="2987" t="s">
        <v>1346</v>
      </c>
      <c r="I13" s="2839" t="s">
        <v>1353</v>
      </c>
      <c r="J13" s="3726"/>
      <c r="L13" s="3696"/>
      <c r="M13" s="3697"/>
      <c r="N13" s="3698"/>
      <c r="O13" s="3698"/>
      <c r="P13" s="3698"/>
      <c r="Q13" s="3698"/>
    </row>
    <row r="14" spans="1:17" ht="30">
      <c r="A14" s="3711"/>
      <c r="B14" s="3708"/>
      <c r="C14" s="2840"/>
      <c r="D14" s="2840"/>
      <c r="E14" s="2840"/>
      <c r="F14" s="2840"/>
      <c r="G14" s="2840"/>
      <c r="H14" s="2987" t="s">
        <v>1347</v>
      </c>
      <c r="I14" s="2841" t="s">
        <v>1354</v>
      </c>
      <c r="J14" s="3726"/>
      <c r="L14" s="3696"/>
      <c r="M14" s="3697"/>
      <c r="N14" s="3698"/>
      <c r="O14" s="3698"/>
      <c r="P14" s="3698"/>
      <c r="Q14" s="3698"/>
    </row>
    <row r="15" spans="1:17" ht="30">
      <c r="A15" s="3711"/>
      <c r="B15" s="3708"/>
      <c r="C15" s="2840"/>
      <c r="D15" s="2840"/>
      <c r="E15" s="2840"/>
      <c r="F15" s="2840"/>
      <c r="G15" s="2840"/>
      <c r="H15" s="2987" t="s">
        <v>1348</v>
      </c>
      <c r="I15" s="2839" t="s">
        <v>1355</v>
      </c>
      <c r="J15" s="3726"/>
      <c r="L15" s="3696"/>
      <c r="M15" s="3697"/>
      <c r="N15" s="3698"/>
      <c r="O15" s="3698"/>
      <c r="P15" s="3698"/>
      <c r="Q15" s="3698"/>
    </row>
    <row r="16" spans="1:17" ht="30">
      <c r="A16" s="3711"/>
      <c r="B16" s="3708"/>
      <c r="C16" s="2842"/>
      <c r="D16" s="2842"/>
      <c r="E16" s="2842"/>
      <c r="F16" s="2842"/>
      <c r="G16" s="2842"/>
      <c r="H16" s="2988" t="s">
        <v>1349</v>
      </c>
      <c r="I16" s="2839" t="s">
        <v>1356</v>
      </c>
      <c r="J16" s="3726"/>
      <c r="L16" s="3696"/>
      <c r="M16" s="3697"/>
      <c r="N16" s="3698"/>
      <c r="O16" s="3698"/>
      <c r="P16" s="3698"/>
      <c r="Q16" s="3698"/>
    </row>
    <row r="17" spans="1:17" ht="14.45" customHeight="1">
      <c r="A17" s="3712"/>
      <c r="B17" s="3709"/>
      <c r="C17" s="2842"/>
      <c r="D17" s="2842"/>
      <c r="E17" s="2842"/>
      <c r="F17" s="2842"/>
      <c r="G17" s="2842"/>
      <c r="H17" s="2987" t="s">
        <v>1350</v>
      </c>
      <c r="I17" s="2843"/>
      <c r="J17" s="3727"/>
      <c r="L17" s="3696"/>
      <c r="M17" s="3697"/>
      <c r="N17" s="3698"/>
      <c r="O17" s="3698"/>
      <c r="P17" s="3698"/>
      <c r="Q17" s="3698"/>
    </row>
    <row r="18" spans="1:17" ht="22.5">
      <c r="A18" s="2939" t="s">
        <v>1307</v>
      </c>
      <c r="B18" s="2836" t="s">
        <v>1319</v>
      </c>
      <c r="C18" s="2844"/>
      <c r="D18" s="2845"/>
      <c r="E18" s="2846"/>
      <c r="F18" s="2847"/>
      <c r="G18" s="2848"/>
      <c r="H18" s="2989">
        <v>104295000000</v>
      </c>
      <c r="I18" s="2997">
        <f>'PIB Turistico DMQ'!T37*1000</f>
        <v>24426597899.817356</v>
      </c>
      <c r="J18" s="2940" t="s">
        <v>1317</v>
      </c>
      <c r="L18" s="2849" t="s">
        <v>1322</v>
      </c>
      <c r="M18" s="2850" t="s">
        <v>1324</v>
      </c>
      <c r="N18" s="3698" t="s">
        <v>1321</v>
      </c>
      <c r="O18" s="3698"/>
      <c r="P18" s="3698"/>
      <c r="Q18" s="3698"/>
    </row>
    <row r="19" spans="1:17" s="786" customFormat="1">
      <c r="A19" s="3710" t="s">
        <v>1308</v>
      </c>
      <c r="B19" s="3707" t="s">
        <v>1320</v>
      </c>
      <c r="C19" s="2851"/>
      <c r="D19" s="2852"/>
      <c r="E19" s="2853"/>
      <c r="F19" s="2854"/>
      <c r="G19" s="2855"/>
      <c r="H19" s="2990">
        <f>H18*H20</f>
        <v>2294490000</v>
      </c>
      <c r="I19" s="2998">
        <f>I18*I20</f>
        <v>987108381.28286135</v>
      </c>
      <c r="J19" s="2936" t="s">
        <v>1318</v>
      </c>
    </row>
    <row r="20" spans="1:17" ht="24.6" customHeight="1">
      <c r="A20" s="3712"/>
      <c r="B20" s="3709"/>
      <c r="C20" s="2831"/>
      <c r="D20" s="2832"/>
      <c r="E20" s="2833"/>
      <c r="F20" s="2834"/>
      <c r="G20" s="2835"/>
      <c r="H20" s="2991">
        <v>2.1999999999999999E-2</v>
      </c>
      <c r="I20" s="2999">
        <f>'PIB Turistico DMQ'!S18</f>
        <v>4.0411210162436997E-2</v>
      </c>
      <c r="J20" s="2936" t="s">
        <v>1394</v>
      </c>
      <c r="L20" s="2849" t="s">
        <v>1331</v>
      </c>
      <c r="M20" s="2850" t="s">
        <v>9</v>
      </c>
      <c r="N20" s="3698" t="s">
        <v>1323</v>
      </c>
      <c r="O20" s="3698"/>
      <c r="P20" s="3698"/>
      <c r="Q20" s="3698"/>
    </row>
    <row r="21" spans="1:17" s="786" customFormat="1" ht="17.45" customHeight="1">
      <c r="A21" s="3710" t="s">
        <v>1309</v>
      </c>
      <c r="B21" s="2838" t="s">
        <v>1219</v>
      </c>
      <c r="C21" s="2851"/>
      <c r="D21" s="2852"/>
      <c r="E21" s="2853"/>
      <c r="F21" s="2854"/>
      <c r="G21" s="2855"/>
      <c r="H21" s="2992">
        <v>496833</v>
      </c>
      <c r="I21" s="3000" t="e">
        <f>I22+I23</f>
        <v>#REF!</v>
      </c>
      <c r="J21" s="3734" t="s">
        <v>1218</v>
      </c>
      <c r="L21" s="3702" t="s">
        <v>1326</v>
      </c>
      <c r="M21" s="3702"/>
      <c r="N21" s="2856" t="s">
        <v>1325</v>
      </c>
      <c r="O21" s="2857"/>
      <c r="P21" s="2857"/>
      <c r="Q21" s="2857"/>
    </row>
    <row r="22" spans="1:17" ht="17.45" customHeight="1">
      <c r="A22" s="3711"/>
      <c r="B22" s="2858" t="s">
        <v>566</v>
      </c>
      <c r="C22" s="2859"/>
      <c r="D22" s="2860"/>
      <c r="E22" s="2861"/>
      <c r="F22" s="2862"/>
      <c r="G22" s="2863"/>
      <c r="H22" s="3735" t="s">
        <v>1375</v>
      </c>
      <c r="I22" s="2995" t="e">
        <f>GETPIVOTDATA("Suma de MUJERES",EMPLEO_tur_DMQ!$G$7)</f>
        <v>#REF!</v>
      </c>
      <c r="J22" s="3734"/>
      <c r="L22" s="3737" t="s">
        <v>1330</v>
      </c>
      <c r="M22" s="3738"/>
      <c r="N22" s="3738"/>
      <c r="O22" s="3738"/>
      <c r="P22" s="3738"/>
      <c r="Q22" s="3739"/>
    </row>
    <row r="23" spans="1:17" ht="17.45" customHeight="1">
      <c r="A23" s="3712"/>
      <c r="B23" s="2858" t="s">
        <v>567</v>
      </c>
      <c r="C23" s="2859"/>
      <c r="D23" s="2860"/>
      <c r="E23" s="2861"/>
      <c r="F23" s="2862"/>
      <c r="G23" s="2863"/>
      <c r="H23" s="3736"/>
      <c r="I23" s="2995" t="e">
        <f>GETPIVOTDATA("Suma de HOMBRE",EMPLEO_tur_DMQ!$G$7)</f>
        <v>#REF!</v>
      </c>
      <c r="J23" s="3734"/>
    </row>
    <row r="24" spans="1:17" s="786" customFormat="1" ht="30" customHeight="1">
      <c r="A24" s="3710" t="s">
        <v>1310</v>
      </c>
      <c r="B24" s="3732" t="s">
        <v>1221</v>
      </c>
      <c r="C24" s="2851"/>
      <c r="D24" s="2852"/>
      <c r="E24" s="2853"/>
      <c r="F24" s="2854"/>
      <c r="G24" s="2855"/>
      <c r="H24" s="2992">
        <v>56</v>
      </c>
      <c r="I24" s="3000">
        <v>2</v>
      </c>
      <c r="J24" s="2936" t="s">
        <v>1311</v>
      </c>
      <c r="L24" s="2849" t="s">
        <v>1328</v>
      </c>
      <c r="M24" s="2849" t="s">
        <v>9</v>
      </c>
      <c r="N24" s="3699" t="s">
        <v>1327</v>
      </c>
      <c r="O24" s="3700"/>
      <c r="P24" s="3700"/>
      <c r="Q24" s="3701"/>
    </row>
    <row r="25" spans="1:17" s="786" customFormat="1" ht="17.45" customHeight="1">
      <c r="A25" s="3711"/>
      <c r="B25" s="3733"/>
      <c r="C25" s="2851"/>
      <c r="D25" s="2852"/>
      <c r="E25" s="2853"/>
      <c r="F25" s="2854"/>
      <c r="G25" s="2855"/>
      <c r="H25" s="2992">
        <f>H6*20%</f>
        <v>56712.200000000004</v>
      </c>
      <c r="I25" s="3000">
        <f>I6*38%</f>
        <v>1607.6812</v>
      </c>
      <c r="J25" s="2936" t="s">
        <v>1336</v>
      </c>
      <c r="L25" s="3737" t="s">
        <v>1329</v>
      </c>
      <c r="M25" s="3738"/>
      <c r="N25" s="3738"/>
      <c r="O25" s="3738"/>
      <c r="P25" s="3738"/>
      <c r="Q25" s="3739"/>
    </row>
    <row r="26" spans="1:17" s="786" customFormat="1">
      <c r="A26" s="3711"/>
      <c r="B26" s="3721" t="s">
        <v>1216</v>
      </c>
      <c r="C26" s="3721"/>
      <c r="D26" s="3721"/>
      <c r="E26" s="3721"/>
      <c r="F26" s="3721"/>
      <c r="G26" s="3721"/>
      <c r="H26" s="3721"/>
      <c r="I26" s="3721"/>
      <c r="J26" s="3722"/>
      <c r="L26" s="2927"/>
      <c r="M26" s="2927"/>
      <c r="N26" s="2927"/>
      <c r="O26" s="2927"/>
      <c r="P26" s="2927"/>
      <c r="Q26" s="2927"/>
    </row>
    <row r="27" spans="1:17" ht="330">
      <c r="A27" s="3711"/>
      <c r="B27" s="2789" t="s">
        <v>1372</v>
      </c>
      <c r="C27" s="2789"/>
      <c r="D27" s="2789"/>
      <c r="E27" s="2789"/>
      <c r="F27" s="2789"/>
      <c r="G27" s="2789"/>
      <c r="H27" s="3756" t="s">
        <v>1373</v>
      </c>
      <c r="I27" s="3756"/>
      <c r="J27" s="2941" t="s">
        <v>1283</v>
      </c>
      <c r="L27" s="2849" t="s">
        <v>1328</v>
      </c>
      <c r="M27" s="2849" t="s">
        <v>9</v>
      </c>
      <c r="N27" s="3699" t="s">
        <v>1327</v>
      </c>
      <c r="O27" s="3700"/>
      <c r="P27" s="3700"/>
      <c r="Q27" s="3701"/>
    </row>
    <row r="28" spans="1:17" s="786" customFormat="1">
      <c r="A28" s="2974"/>
      <c r="B28" s="3723" t="s">
        <v>1378</v>
      </c>
      <c r="C28" s="3723"/>
      <c r="D28" s="3723"/>
      <c r="E28" s="3723"/>
      <c r="F28" s="3723"/>
      <c r="G28" s="3723"/>
      <c r="H28" s="3723"/>
      <c r="I28" s="3723"/>
      <c r="J28" s="3724"/>
    </row>
    <row r="29" spans="1:17" s="786" customFormat="1" ht="23.45" customHeight="1">
      <c r="A29" s="3711" t="s">
        <v>1314</v>
      </c>
      <c r="B29" s="2838" t="s">
        <v>1223</v>
      </c>
      <c r="C29" s="2851"/>
      <c r="D29" s="2852"/>
      <c r="E29" s="2853"/>
      <c r="F29" s="2854"/>
      <c r="G29" s="2855"/>
      <c r="H29" s="2864"/>
      <c r="I29" s="2865">
        <v>6</v>
      </c>
      <c r="J29" s="2942"/>
      <c r="L29" s="3677" t="s">
        <v>1329</v>
      </c>
      <c r="M29" s="3678"/>
      <c r="N29" s="3678"/>
      <c r="O29" s="3678"/>
      <c r="P29" s="3678"/>
      <c r="Q29" s="3679"/>
    </row>
    <row r="30" spans="1:17" ht="33" customHeight="1">
      <c r="A30" s="3712"/>
      <c r="B30" s="3719" t="s">
        <v>1376</v>
      </c>
      <c r="C30" s="3719"/>
      <c r="D30" s="2934"/>
      <c r="E30" s="2934"/>
      <c r="F30" s="2934"/>
      <c r="G30" s="2934"/>
      <c r="H30" s="3720" t="s">
        <v>1334</v>
      </c>
      <c r="I30" s="3720"/>
      <c r="J30" s="2943" t="s">
        <v>1335</v>
      </c>
      <c r="L30" s="3680"/>
      <c r="M30" s="3681"/>
      <c r="N30" s="3681"/>
      <c r="O30" s="3681"/>
      <c r="P30" s="3681"/>
      <c r="Q30" s="3682"/>
    </row>
    <row r="31" spans="1:17">
      <c r="A31" s="2944"/>
      <c r="B31" s="3713" t="s">
        <v>1374</v>
      </c>
      <c r="C31" s="3714"/>
      <c r="D31" s="3714"/>
      <c r="E31" s="3714"/>
      <c r="F31" s="3714"/>
      <c r="G31" s="3714"/>
      <c r="H31" s="3714"/>
      <c r="I31" s="3714"/>
      <c r="J31" s="3715"/>
      <c r="L31" s="3683"/>
      <c r="M31" s="3684"/>
      <c r="N31" s="3684"/>
      <c r="O31" s="3684"/>
      <c r="P31" s="3684"/>
      <c r="Q31" s="3685"/>
    </row>
    <row r="32" spans="1:17">
      <c r="A32" s="2944"/>
      <c r="B32" s="2866"/>
      <c r="C32" s="2866"/>
      <c r="D32" s="2866"/>
      <c r="E32" s="2866"/>
      <c r="F32" s="2866"/>
      <c r="G32" s="2866"/>
      <c r="H32" s="2866"/>
      <c r="I32" s="2866"/>
      <c r="J32" s="2945"/>
    </row>
    <row r="33" spans="1:12" ht="15.75" thickBot="1">
      <c r="A33" s="2944"/>
      <c r="B33" s="2866"/>
      <c r="C33" s="2866"/>
      <c r="D33" s="2866"/>
      <c r="E33" s="2866"/>
      <c r="F33" s="2866"/>
      <c r="G33" s="2866"/>
      <c r="H33" s="2866"/>
      <c r="I33" s="2866"/>
      <c r="J33" s="2945"/>
    </row>
    <row r="34" spans="1:12" ht="29.25" thickBot="1">
      <c r="A34" s="3716" t="s">
        <v>1358</v>
      </c>
      <c r="B34" s="3717"/>
      <c r="C34" s="3717"/>
      <c r="D34" s="3717"/>
      <c r="E34" s="3717"/>
      <c r="F34" s="3717"/>
      <c r="G34" s="3717"/>
      <c r="H34" s="3717"/>
      <c r="I34" s="3717"/>
      <c r="J34" s="3718"/>
    </row>
    <row r="35" spans="1:12" s="2830" customFormat="1">
      <c r="A35" s="2975"/>
      <c r="B35" s="2976" t="s">
        <v>1312</v>
      </c>
      <c r="C35" s="2977">
        <v>2013</v>
      </c>
      <c r="D35" s="2978">
        <v>2014</v>
      </c>
      <c r="E35" s="2979">
        <v>2015</v>
      </c>
      <c r="F35" s="2980">
        <v>2016</v>
      </c>
      <c r="G35" s="2981">
        <v>2017</v>
      </c>
      <c r="H35" s="2982">
        <v>2018</v>
      </c>
      <c r="I35" s="2978" t="s">
        <v>1135</v>
      </c>
      <c r="J35" s="2983" t="s">
        <v>700</v>
      </c>
      <c r="L35" s="3743" t="s">
        <v>1359</v>
      </c>
    </row>
    <row r="36" spans="1:12" s="2830" customFormat="1">
      <c r="A36" s="2947">
        <v>1</v>
      </c>
      <c r="B36" s="2867" t="s">
        <v>286</v>
      </c>
      <c r="C36" s="2831">
        <f>'Llegadas '!$H$16</f>
        <v>628958</v>
      </c>
      <c r="D36" s="2832">
        <f>'Llegadas '!I16</f>
        <v>703015</v>
      </c>
      <c r="E36" s="2833">
        <f>'Llegadas '!J16</f>
        <v>712877</v>
      </c>
      <c r="F36" s="2834">
        <f>'Llegadas '!K16</f>
        <v>627626</v>
      </c>
      <c r="G36" s="2835">
        <f>'Llegadas '!L16</f>
        <v>652931</v>
      </c>
      <c r="H36" s="2868">
        <f>'Llegadas '!M16</f>
        <v>692492</v>
      </c>
      <c r="I36" s="2832">
        <f>'Llegadas '!N16</f>
        <v>712849</v>
      </c>
      <c r="J36" s="2936" t="s">
        <v>190</v>
      </c>
      <c r="L36" s="3743"/>
    </row>
    <row r="37" spans="1:12" s="2830" customFormat="1">
      <c r="A37" s="2947">
        <f>A36+1</f>
        <v>2</v>
      </c>
      <c r="B37" s="2867" t="s">
        <v>285</v>
      </c>
      <c r="C37" s="2869">
        <f>'Llegadas '!$H$20</f>
        <v>0.17902065392214572</v>
      </c>
      <c r="D37" s="2870">
        <f t="shared" ref="D37:I37" si="0">D36/C36-1</f>
        <v>0.11774554103771639</v>
      </c>
      <c r="E37" s="2871">
        <f t="shared" si="0"/>
        <v>1.4028150181717214E-2</v>
      </c>
      <c r="F37" s="2872">
        <f t="shared" si="0"/>
        <v>-0.11958724997439951</v>
      </c>
      <c r="G37" s="2873">
        <f t="shared" si="0"/>
        <v>4.0318597381242993E-2</v>
      </c>
      <c r="H37" s="2874">
        <f t="shared" si="0"/>
        <v>6.0589863247418219E-2</v>
      </c>
      <c r="I37" s="2875">
        <f t="shared" si="0"/>
        <v>2.9396729492903839E-2</v>
      </c>
      <c r="J37" s="2936" t="s">
        <v>545</v>
      </c>
      <c r="L37" s="3743"/>
    </row>
    <row r="38" spans="1:12" s="2830" customFormat="1">
      <c r="A38" s="2947">
        <f t="shared" ref="A38:A40" si="1">A37+1</f>
        <v>3</v>
      </c>
      <c r="B38" s="2867" t="s">
        <v>653</v>
      </c>
      <c r="C38" s="3751">
        <f>'Llegadas '!C83</f>
        <v>690747.04283740208</v>
      </c>
      <c r="D38" s="3751"/>
      <c r="E38" s="3751"/>
      <c r="F38" s="3751"/>
      <c r="G38" s="3751"/>
      <c r="H38" s="3751"/>
      <c r="I38" s="3752"/>
      <c r="J38" s="2936" t="s">
        <v>190</v>
      </c>
      <c r="L38" s="3743"/>
    </row>
    <row r="39" spans="1:12" s="2830" customFormat="1" ht="28.9" customHeight="1">
      <c r="A39" s="2947">
        <f t="shared" si="1"/>
        <v>4</v>
      </c>
      <c r="B39" s="2867" t="s">
        <v>188</v>
      </c>
      <c r="C39" s="3730" t="s">
        <v>701</v>
      </c>
      <c r="D39" s="3730"/>
      <c r="E39" s="3730"/>
      <c r="F39" s="3730"/>
      <c r="G39" s="3730"/>
      <c r="H39" s="3730"/>
      <c r="I39" s="3730"/>
      <c r="J39" s="3731"/>
      <c r="L39" s="3743"/>
    </row>
    <row r="40" spans="1:12" s="2830" customFormat="1" ht="28.9" customHeight="1">
      <c r="A40" s="2947">
        <f t="shared" si="1"/>
        <v>5</v>
      </c>
      <c r="B40" s="2876" t="s">
        <v>189</v>
      </c>
      <c r="C40" s="3753" t="s">
        <v>1361</v>
      </c>
      <c r="D40" s="3753"/>
      <c r="E40" s="3753"/>
      <c r="F40" s="3753"/>
      <c r="G40" s="3753"/>
      <c r="H40" s="3753"/>
      <c r="I40" s="3753"/>
      <c r="J40" s="3754"/>
      <c r="L40" s="3743"/>
    </row>
    <row r="41" spans="1:12" s="2830" customFormat="1">
      <c r="A41" s="2946"/>
      <c r="B41" s="2877"/>
      <c r="C41" s="2878"/>
      <c r="D41" s="2878"/>
      <c r="E41" s="2878"/>
      <c r="F41" s="2878"/>
      <c r="G41" s="2878"/>
      <c r="H41" s="2878"/>
      <c r="I41" s="2878"/>
      <c r="J41" s="2948"/>
    </row>
    <row r="42" spans="1:12" ht="15.75" thickBot="1">
      <c r="A42" s="2949"/>
      <c r="B42" s="2880"/>
      <c r="C42" s="2881"/>
      <c r="D42" s="2881"/>
      <c r="E42" s="2881"/>
      <c r="F42" s="2881"/>
      <c r="G42" s="2881"/>
      <c r="H42" s="2878"/>
      <c r="I42" s="2878"/>
      <c r="J42" s="2948"/>
    </row>
    <row r="43" spans="1:12" s="2830" customFormat="1" ht="81.75" customHeight="1">
      <c r="A43" s="2975"/>
      <c r="B43" s="2976" t="s">
        <v>1333</v>
      </c>
      <c r="C43" s="3452" t="str">
        <f>'Sugeridos-estancia-gasto'!G4</f>
        <v xml:space="preserve"> junio 2013</v>
      </c>
      <c r="D43" s="3453" t="str">
        <f>'Sugeridos-estancia-gasto'!H4</f>
        <v xml:space="preserve"> agosto 2014</v>
      </c>
      <c r="E43" s="3454" t="str">
        <f>'Sugeridos-estancia-gasto'!I4</f>
        <v xml:space="preserve"> agosto 2015</v>
      </c>
      <c r="F43" s="3455" t="str">
        <f>'Sugeridos-estancia-gasto'!J4</f>
        <v xml:space="preserve"> diciembre 2016</v>
      </c>
      <c r="G43" s="3456" t="str">
        <f>'Sugeridos-estancia-gasto'!K4</f>
        <v xml:space="preserve"> enero 2017 (e) </v>
      </c>
      <c r="H43" s="2982" t="s">
        <v>1007</v>
      </c>
      <c r="I43" s="3457" t="s">
        <v>1040</v>
      </c>
      <c r="J43" s="2983" t="s">
        <v>700</v>
      </c>
      <c r="L43" s="3744" t="s">
        <v>1360</v>
      </c>
    </row>
    <row r="44" spans="1:12" s="2830" customFormat="1">
      <c r="A44" s="2947">
        <f>A40+1</f>
        <v>6</v>
      </c>
      <c r="B44" s="2867" t="s">
        <v>585</v>
      </c>
      <c r="C44" s="2882">
        <f>'Sugeridos-estancia-gasto'!G5</f>
        <v>5.38</v>
      </c>
      <c r="D44" s="2883">
        <f>'Sugeridos-estancia-gasto'!H5</f>
        <v>7.45</v>
      </c>
      <c r="E44" s="2884">
        <f>'Sugeridos-estancia-gasto'!I5</f>
        <v>5.92</v>
      </c>
      <c r="F44" s="2885">
        <f>'Sugeridos-estancia-gasto'!J5</f>
        <v>5.53</v>
      </c>
      <c r="G44" s="2886">
        <f>'Sugeridos-estancia-gasto'!K5</f>
        <v>4.8682914931280266</v>
      </c>
      <c r="H44" s="2887">
        <f>'Sugeridos-estancia-gasto'!L5</f>
        <v>5.84</v>
      </c>
      <c r="I44" s="3458">
        <f>'Sugeridos-estancia-gasto'!N5</f>
        <v>0</v>
      </c>
      <c r="J44" s="2936" t="s">
        <v>1332</v>
      </c>
      <c r="L44" s="3744"/>
    </row>
    <row r="45" spans="1:12" s="2830" customFormat="1">
      <c r="A45" s="2947">
        <f>A44+1</f>
        <v>7</v>
      </c>
      <c r="B45" s="2867" t="s">
        <v>602</v>
      </c>
      <c r="C45" s="2882">
        <f>'Sugeridos-estancia-gasto'!G6</f>
        <v>572</v>
      </c>
      <c r="D45" s="2883">
        <f>'Sugeridos-estancia-gasto'!H6</f>
        <v>666</v>
      </c>
      <c r="E45" s="2884">
        <f>'Sugeridos-estancia-gasto'!I6</f>
        <v>446</v>
      </c>
      <c r="F45" s="2885">
        <f>'Sugeridos-estancia-gasto'!J6</f>
        <v>631</v>
      </c>
      <c r="G45" s="2886">
        <f>'Sugeridos-estancia-gasto'!K6</f>
        <v>550.08828863600218</v>
      </c>
      <c r="H45" s="2887">
        <f>'Sugeridos-estancia-gasto'!L6</f>
        <v>690</v>
      </c>
      <c r="I45" s="3458">
        <f>'Sugeridos-estancia-gasto'!N6</f>
        <v>0</v>
      </c>
      <c r="J45" s="2936" t="s">
        <v>749</v>
      </c>
      <c r="L45" s="3744"/>
    </row>
    <row r="46" spans="1:12" s="2830" customFormat="1">
      <c r="A46" s="2947">
        <f t="shared" ref="A46:A48" si="2">A45+1</f>
        <v>8</v>
      </c>
      <c r="B46" s="2867" t="s">
        <v>603</v>
      </c>
      <c r="C46" s="2882">
        <f>'Sugeridos-estancia-gasto'!G7</f>
        <v>106</v>
      </c>
      <c r="D46" s="2883">
        <f>'Sugeridos-estancia-gasto'!H7</f>
        <v>89</v>
      </c>
      <c r="E46" s="2884">
        <f>'Sugeridos-estancia-gasto'!I7</f>
        <v>75</v>
      </c>
      <c r="F46" s="2885">
        <f>'Sugeridos-estancia-gasto'!J7</f>
        <v>114</v>
      </c>
      <c r="G46" s="2886">
        <f>'Sugeridos-estancia-gasto'!K7</f>
        <v>112.99411496055541</v>
      </c>
      <c r="H46" s="2887">
        <f>'Sugeridos-estancia-gasto'!L7</f>
        <v>118.15068493150686</v>
      </c>
      <c r="I46" s="3458">
        <f>'Sugeridos-estancia-gasto'!N7</f>
        <v>0</v>
      </c>
      <c r="J46" s="2936" t="s">
        <v>750</v>
      </c>
      <c r="L46" s="3744"/>
    </row>
    <row r="47" spans="1:12" s="2830" customFormat="1">
      <c r="A47" s="2947">
        <f t="shared" si="2"/>
        <v>9</v>
      </c>
      <c r="B47" s="2867" t="s">
        <v>611</v>
      </c>
      <c r="C47" s="2882">
        <f>'perfil-Ingre_divisa-2015'!G18</f>
        <v>326.08048142306973</v>
      </c>
      <c r="D47" s="2883">
        <f>'perfil-Ingre_divisa-2015'!H18</f>
        <v>437.39520600457314</v>
      </c>
      <c r="E47" s="2884">
        <f>'perfil-Ingre_divisa-2015'!I18</f>
        <v>402.95932772507791</v>
      </c>
      <c r="F47" s="2885">
        <f>'perfil-Ingre_divisa-2015'!J18</f>
        <v>476.88278732000003</v>
      </c>
      <c r="G47" s="2886">
        <f>'perfil-Ingre_divisa-2015'!K18</f>
        <v>496.11003242000004</v>
      </c>
      <c r="H47" s="2887">
        <f>'perfil-Ingre_divisa-2015'!L18*1000000</f>
        <v>526169271.44000012</v>
      </c>
      <c r="I47" s="3458">
        <f>'perfil-Ingre_divisa-2015'!M18</f>
        <v>0</v>
      </c>
      <c r="J47" s="2936" t="s">
        <v>1318</v>
      </c>
      <c r="L47" s="3744"/>
    </row>
    <row r="48" spans="1:12" s="2830" customFormat="1" ht="28.15" customHeight="1">
      <c r="A48" s="2947">
        <f t="shared" si="2"/>
        <v>10</v>
      </c>
      <c r="B48" s="2867" t="s">
        <v>193</v>
      </c>
      <c r="C48" s="3728" t="s">
        <v>654</v>
      </c>
      <c r="D48" s="3728"/>
      <c r="E48" s="3728"/>
      <c r="F48" s="3728"/>
      <c r="G48" s="3728"/>
      <c r="H48" s="3728"/>
      <c r="I48" s="3728"/>
      <c r="J48" s="3729"/>
      <c r="L48" s="3744"/>
    </row>
    <row r="49" spans="1:17" s="2830" customFormat="1">
      <c r="A49" s="2946"/>
      <c r="B49" s="2877"/>
      <c r="C49" s="2888"/>
      <c r="D49" s="2888"/>
      <c r="E49" s="2888"/>
      <c r="F49" s="2888"/>
      <c r="G49" s="2888"/>
      <c r="H49" s="2888"/>
      <c r="I49" s="2888"/>
      <c r="J49" s="2951"/>
    </row>
    <row r="50" spans="1:17" ht="15.75" thickBot="1">
      <c r="A50" s="2949"/>
      <c r="B50" s="2880"/>
      <c r="C50" s="2881"/>
      <c r="D50" s="2881"/>
      <c r="E50" s="2881"/>
      <c r="F50" s="2881"/>
      <c r="G50" s="2881"/>
      <c r="H50" s="2878"/>
      <c r="I50" s="2888"/>
      <c r="J50" s="2951"/>
    </row>
    <row r="51" spans="1:17" s="2830" customFormat="1">
      <c r="A51" s="2975"/>
      <c r="B51" s="2976" t="s">
        <v>546</v>
      </c>
      <c r="C51" s="2977">
        <v>2013</v>
      </c>
      <c r="D51" s="2978">
        <v>2014</v>
      </c>
      <c r="E51" s="2979">
        <f>E35</f>
        <v>2015</v>
      </c>
      <c r="F51" s="2980">
        <f>F35</f>
        <v>2016</v>
      </c>
      <c r="G51" s="2981" t="s">
        <v>696</v>
      </c>
      <c r="H51" s="2982" t="s">
        <v>1007</v>
      </c>
      <c r="I51" s="3457" t="s">
        <v>1433</v>
      </c>
      <c r="J51" s="2983" t="s">
        <v>700</v>
      </c>
    </row>
    <row r="52" spans="1:17" s="2830" customFormat="1" ht="28.9" customHeight="1">
      <c r="A52" s="2954">
        <f>A48+1</f>
        <v>11</v>
      </c>
      <c r="B52" s="3482" t="s">
        <v>1427</v>
      </c>
      <c r="C52" s="3483"/>
      <c r="D52" s="3483"/>
      <c r="E52" s="3483"/>
      <c r="F52" s="3483"/>
      <c r="G52" s="3483"/>
      <c r="H52" s="2889">
        <f>'TOH '!N5</f>
        <v>46.433055555555562</v>
      </c>
      <c r="I52" s="3458"/>
      <c r="J52" s="3693" t="s">
        <v>34</v>
      </c>
      <c r="L52" s="3740" t="s">
        <v>1381</v>
      </c>
      <c r="M52" s="3686" t="s">
        <v>1382</v>
      </c>
      <c r="N52" s="3687"/>
      <c r="O52" s="3687"/>
      <c r="P52" s="3687"/>
      <c r="Q52" s="3687"/>
    </row>
    <row r="53" spans="1:17" s="2830" customFormat="1">
      <c r="A53" s="2957"/>
      <c r="B53" s="3484" t="s">
        <v>1362</v>
      </c>
      <c r="C53" s="3158">
        <f>'TOH '!I5</f>
        <v>58.003843053502898</v>
      </c>
      <c r="D53" s="2883">
        <f>'TOH '!J5</f>
        <v>56.91449749144774</v>
      </c>
      <c r="E53" s="2884">
        <f>'TOH '!K5</f>
        <v>52.646506184060037</v>
      </c>
      <c r="F53" s="2885">
        <f>'TOH '!L5</f>
        <v>46.512730614023319</v>
      </c>
      <c r="G53" s="2886">
        <f>'TOH '!M5</f>
        <v>46.020581605453351</v>
      </c>
      <c r="H53" s="3451">
        <f>'TOH '!O5</f>
        <v>50.197122475217498</v>
      </c>
      <c r="I53" s="3458">
        <f>'TOH '!P5</f>
        <v>51.795609300014824</v>
      </c>
      <c r="J53" s="3694"/>
      <c r="L53" s="3741"/>
      <c r="M53" s="3686"/>
      <c r="N53" s="3687"/>
      <c r="O53" s="3687"/>
      <c r="P53" s="3687"/>
      <c r="Q53" s="3687"/>
    </row>
    <row r="54" spans="1:17" s="2830" customFormat="1" ht="30">
      <c r="A54" s="2957">
        <f>A52+1</f>
        <v>12</v>
      </c>
      <c r="B54" s="2876" t="s">
        <v>1428</v>
      </c>
      <c r="H54" s="2909">
        <f>'TOH '!N6</f>
        <v>58.598333333333329</v>
      </c>
      <c r="I54" s="3481"/>
      <c r="J54" s="3693" t="s">
        <v>34</v>
      </c>
      <c r="L54" s="3741"/>
      <c r="M54" s="3686"/>
      <c r="N54" s="3687"/>
      <c r="O54" s="3687"/>
      <c r="P54" s="3687"/>
      <c r="Q54" s="3687"/>
    </row>
    <row r="55" spans="1:17" s="2830" customFormat="1">
      <c r="A55" s="2953"/>
      <c r="B55" s="2952" t="s">
        <v>1431</v>
      </c>
      <c r="C55" s="2882">
        <f>'TOH '!I6</f>
        <v>72.996543651867498</v>
      </c>
      <c r="D55" s="2883">
        <f>'TOH '!J6</f>
        <v>71.928309465167587</v>
      </c>
      <c r="E55" s="2884">
        <f>'TOH '!K6</f>
        <v>64.822142260364402</v>
      </c>
      <c r="F55" s="2885">
        <f>'TOH '!L6</f>
        <v>56.255716656902933</v>
      </c>
      <c r="G55" s="2886">
        <f>'TOH '!M6</f>
        <v>55.680000000000007</v>
      </c>
      <c r="H55" s="3451">
        <f>'TOH '!O6</f>
        <v>58.598333333333329</v>
      </c>
      <c r="I55" s="3458">
        <f>'TOH '!P6</f>
        <v>60.454041666666662</v>
      </c>
      <c r="J55" s="3694"/>
      <c r="L55" s="3741"/>
      <c r="M55" s="3686"/>
      <c r="N55" s="3687"/>
      <c r="O55" s="3687"/>
      <c r="P55" s="3687"/>
      <c r="Q55" s="3687"/>
    </row>
    <row r="56" spans="1:17" s="2830" customFormat="1" ht="30">
      <c r="A56" s="2953">
        <f>A54+1</f>
        <v>13</v>
      </c>
      <c r="B56" s="2867" t="s">
        <v>1429</v>
      </c>
      <c r="H56" s="2887">
        <f>'TOH '!N7</f>
        <v>55</v>
      </c>
      <c r="I56" s="3458"/>
      <c r="J56" s="3693" t="s">
        <v>34</v>
      </c>
      <c r="L56" s="3741"/>
      <c r="M56" s="3686"/>
      <c r="N56" s="3687"/>
      <c r="O56" s="3687"/>
      <c r="P56" s="3687"/>
      <c r="Q56" s="3687"/>
    </row>
    <row r="57" spans="1:17" s="2830" customFormat="1">
      <c r="A57" s="2954"/>
      <c r="B57" s="2952" t="s">
        <v>1431</v>
      </c>
      <c r="C57" s="2882">
        <f>'TOH '!I7</f>
        <v>61.425279513620964</v>
      </c>
      <c r="D57" s="2883">
        <f>'TOH '!J7</f>
        <v>61.063023474311244</v>
      </c>
      <c r="E57" s="2884">
        <f>'TOH '!K7</f>
        <v>55.378711204374724</v>
      </c>
      <c r="F57" s="2885">
        <f>'TOH '!L7</f>
        <v>48.255950576103231</v>
      </c>
      <c r="G57" s="2886">
        <f>'TOH '!M7</f>
        <v>50.666666666666664</v>
      </c>
      <c r="H57" s="3451">
        <f>'TOH '!O7</f>
        <v>55</v>
      </c>
      <c r="I57" s="3458">
        <f>'TOH '!P7</f>
        <v>58.882586745064032</v>
      </c>
      <c r="J57" s="3694"/>
      <c r="L57" s="3741"/>
      <c r="M57" s="3686"/>
      <c r="N57" s="3687"/>
      <c r="O57" s="3687"/>
      <c r="P57" s="3687"/>
      <c r="Q57" s="3687"/>
    </row>
    <row r="58" spans="1:17" s="2830" customFormat="1" ht="30">
      <c r="A58" s="2953">
        <f>A56+1</f>
        <v>14</v>
      </c>
      <c r="B58" s="2867" t="s">
        <v>1430</v>
      </c>
      <c r="H58" s="2887">
        <f>'TOH '!N8</f>
        <v>25.833333333333332</v>
      </c>
      <c r="I58" s="3458"/>
      <c r="J58" s="3693" t="s">
        <v>34</v>
      </c>
      <c r="L58" s="3742"/>
      <c r="M58" s="3686"/>
      <c r="N58" s="3687"/>
      <c r="O58" s="3687"/>
      <c r="P58" s="3687"/>
      <c r="Q58" s="3687"/>
    </row>
    <row r="59" spans="1:17" s="2830" customFormat="1">
      <c r="A59" s="2953"/>
      <c r="B59" s="2952" t="s">
        <v>1431</v>
      </c>
      <c r="C59" s="2882">
        <f>'TOH '!I8</f>
        <v>42.685597701509735</v>
      </c>
      <c r="D59" s="2883">
        <f>'TOH '!J8</f>
        <v>40.793439968219424</v>
      </c>
      <c r="E59" s="2884">
        <f>'TOH '!K8</f>
        <v>40.019455322143479</v>
      </c>
      <c r="F59" s="2885">
        <f>'TOH '!L8</f>
        <v>36.569361252115065</v>
      </c>
      <c r="G59" s="2886">
        <f>'TOH '!M8</f>
        <v>27.666666666666668</v>
      </c>
      <c r="H59" s="3451">
        <f>'TOH '!O8</f>
        <v>43.385741017973068</v>
      </c>
      <c r="I59" s="3458">
        <f>'TOH '!P8</f>
        <v>43.385741017973068</v>
      </c>
      <c r="J59" s="3694"/>
      <c r="L59" s="2891"/>
      <c r="M59" s="2891"/>
      <c r="N59" s="2891"/>
      <c r="O59" s="2891"/>
      <c r="P59" s="2891"/>
      <c r="Q59" s="2891"/>
    </row>
    <row r="60" spans="1:17" ht="19.5" thickBot="1">
      <c r="A60" s="3001"/>
      <c r="B60" s="3002"/>
      <c r="C60" s="3003"/>
      <c r="D60" s="3003"/>
      <c r="E60" s="3003"/>
      <c r="F60" s="3003"/>
      <c r="G60" s="3003"/>
      <c r="H60" s="3004"/>
      <c r="I60" s="3459"/>
      <c r="J60" s="3005"/>
      <c r="L60" s="2892"/>
      <c r="M60" s="2892"/>
      <c r="N60" s="2892"/>
      <c r="O60" s="2892"/>
      <c r="P60" s="2892"/>
      <c r="Q60" s="2892"/>
    </row>
    <row r="61" spans="1:17" s="3412" customFormat="1" ht="15.75" thickTop="1">
      <c r="A61" s="3408">
        <f>A58+1</f>
        <v>15</v>
      </c>
      <c r="B61" s="3409" t="s">
        <v>194</v>
      </c>
      <c r="C61" s="3410">
        <f>'Tarifa Promedio Hab ocupada'!FH7</f>
        <v>70.816867591603753</v>
      </c>
      <c r="D61" s="3410">
        <f>'Tarifa Promedio Hab ocupada'!FI7</f>
        <v>74.546770196242463</v>
      </c>
      <c r="E61" s="3410">
        <f>'Tarifa Promedio Hab ocupada'!FJ7</f>
        <v>74.014241640131232</v>
      </c>
      <c r="F61" s="3410">
        <f>'Tarifa Promedio Hab ocupada'!FK7</f>
        <v>75.128842081056305</v>
      </c>
      <c r="G61" s="3410">
        <f>'Tarifa Promedio Hab ocupada'!FL7</f>
        <v>74.830703976826754</v>
      </c>
      <c r="H61" s="3410">
        <f>'Tarifa Promedio Hab ocupada'!FM7</f>
        <v>73.867485097172107</v>
      </c>
      <c r="I61" s="3460">
        <f>'Tarifa Promedio Hab ocupada'!FN7</f>
        <v>74.477608598285769</v>
      </c>
      <c r="J61" s="3411" t="s">
        <v>191</v>
      </c>
    </row>
    <row r="62" spans="1:17" s="2830" customFormat="1">
      <c r="A62" s="2953">
        <f t="shared" ref="A62:A68" si="3">A61+1</f>
        <v>16</v>
      </c>
      <c r="B62" s="2867" t="s">
        <v>1399</v>
      </c>
      <c r="C62" s="3413">
        <f>'Tarifa Promedio Hab ocupada'!FH8</f>
        <v>107.48127913034415</v>
      </c>
      <c r="D62" s="3413">
        <f>'Tarifa Promedio Hab ocupada'!FI8</f>
        <v>108.36970892473407</v>
      </c>
      <c r="E62" s="3413">
        <f>'Tarifa Promedio Hab ocupada'!FJ8</f>
        <v>109.76973658136149</v>
      </c>
      <c r="F62" s="3413">
        <f>'Tarifa Promedio Hab ocupada'!FK8</f>
        <v>111.32438408792268</v>
      </c>
      <c r="G62" s="3413">
        <f>'Tarifa Promedio Hab ocupada'!FL8</f>
        <v>110.77102068584797</v>
      </c>
      <c r="H62" s="3413">
        <f>'Tarifa Promedio Hab ocupada'!FM8</f>
        <v>100.971</v>
      </c>
      <c r="I62" s="3461">
        <f>'Tarifa Promedio Hab ocupada'!FN8</f>
        <v>100.86699999999999</v>
      </c>
      <c r="J62" s="2936" t="s">
        <v>191</v>
      </c>
    </row>
    <row r="63" spans="1:17" s="2830" customFormat="1">
      <c r="A63" s="2953">
        <f t="shared" si="3"/>
        <v>17</v>
      </c>
      <c r="B63" s="2867" t="s">
        <v>1400</v>
      </c>
      <c r="C63" s="3413">
        <f>'Tarifa Promedio Hab ocupada'!FH9</f>
        <v>65.881004587108848</v>
      </c>
      <c r="D63" s="3413">
        <f>'Tarifa Promedio Hab ocupada'!FI9</f>
        <v>71.127635656641971</v>
      </c>
      <c r="E63" s="3413">
        <f>'Tarifa Promedio Hab ocupada'!FJ9</f>
        <v>70.751485187846001</v>
      </c>
      <c r="F63" s="3413">
        <f>'Tarifa Promedio Hab ocupada'!FK9</f>
        <v>73.191647386778854</v>
      </c>
      <c r="G63" s="3413">
        <f>'Tarifa Promedio Hab ocupada'!FL9</f>
        <v>72.461903330985947</v>
      </c>
      <c r="H63" s="3413">
        <f>'Tarifa Promedio Hab ocupada'!FM9</f>
        <v>65.051999999999992</v>
      </c>
      <c r="I63" s="3461">
        <f>'Tarifa Promedio Hab ocupada'!FN9</f>
        <v>64.871999999999986</v>
      </c>
      <c r="J63" s="2936" t="s">
        <v>191</v>
      </c>
    </row>
    <row r="64" spans="1:17" s="2830" customFormat="1" ht="15.75" thickBot="1">
      <c r="A64" s="2955">
        <f t="shared" si="3"/>
        <v>18</v>
      </c>
      <c r="B64" s="2893" t="s">
        <v>1401</v>
      </c>
      <c r="C64" s="3414">
        <f>'Tarifa Promedio Hab ocupada'!FH10</f>
        <v>25.571024828160251</v>
      </c>
      <c r="D64" s="3414">
        <f>'Tarifa Promedio Hab ocupada'!FI10</f>
        <v>30.034124512722617</v>
      </c>
      <c r="E64" s="3414">
        <f>'Tarifa Promedio Hab ocupada'!FJ10</f>
        <v>29.809169797596006</v>
      </c>
      <c r="F64" s="3414">
        <f>'Tarifa Promedio Hab ocupada'!FK10</f>
        <v>29.263269989189585</v>
      </c>
      <c r="G64" s="3414">
        <f>'Tarifa Promedio Hab ocupada'!FL10</f>
        <v>29.566671308973152</v>
      </c>
      <c r="H64" s="3414">
        <f>'Tarifa Promedio Hab ocupada'!FM10</f>
        <v>0</v>
      </c>
      <c r="I64" s="3462">
        <f>'Tarifa Promedio Hab ocupada'!FN10</f>
        <v>0</v>
      </c>
      <c r="J64" s="2956" t="s">
        <v>191</v>
      </c>
    </row>
    <row r="65" spans="1:17" s="3412" customFormat="1" ht="15.75" thickTop="1">
      <c r="A65" s="3408">
        <f t="shared" si="3"/>
        <v>19</v>
      </c>
      <c r="B65" s="3409" t="s">
        <v>195</v>
      </c>
      <c r="C65" s="3446">
        <v>1.5954468689699381</v>
      </c>
      <c r="D65" s="3447">
        <f>'Estancia hotelera'!L19</f>
        <v>1.6156575134046374</v>
      </c>
      <c r="E65" s="3448">
        <f>'Estancia hotelera'!M19</f>
        <v>1.5855894194982867</v>
      </c>
      <c r="F65" s="3449">
        <f>'Estancia hotelera'!N19</f>
        <v>1.5566332188277681</v>
      </c>
      <c r="G65" s="3450">
        <f>'Estancia hotelera'!O19</f>
        <v>1.5448134813886878</v>
      </c>
      <c r="H65" s="3447">
        <f>'Estancia hotelera'!P19</f>
        <v>1.5756734082798449</v>
      </c>
      <c r="I65" s="3463">
        <f>'Estancia hotelera'!Q19</f>
        <v>1.5656773819986467</v>
      </c>
      <c r="J65" s="3411" t="s">
        <v>196</v>
      </c>
    </row>
    <row r="66" spans="1:17" s="2830" customFormat="1">
      <c r="A66" s="2953">
        <f t="shared" si="3"/>
        <v>20</v>
      </c>
      <c r="B66" s="2867" t="s">
        <v>1402</v>
      </c>
      <c r="C66" s="2899">
        <v>1.6793686513898753</v>
      </c>
      <c r="D66" s="2900">
        <f>'Estancia hotelera'!L16</f>
        <v>1.7163406179145451</v>
      </c>
      <c r="E66" s="2901">
        <f>'Estancia hotelera'!M16</f>
        <v>1.707987782490568</v>
      </c>
      <c r="F66" s="2902">
        <f>'Estancia hotelera'!N16</f>
        <v>1.672298398929029</v>
      </c>
      <c r="G66" s="2903">
        <f>'Estancia hotelera'!O16</f>
        <v>1.6794015480118631</v>
      </c>
      <c r="H66" s="2900">
        <f>'Estancia hotelera'!P16</f>
        <v>1.6940070868365014</v>
      </c>
      <c r="I66" s="3464">
        <f>'Estancia hotelera'!Q16</f>
        <v>1.6884237040669905</v>
      </c>
      <c r="J66" s="2936" t="s">
        <v>196</v>
      </c>
    </row>
    <row r="67" spans="1:17" s="2830" customFormat="1">
      <c r="A67" s="2953">
        <f t="shared" si="3"/>
        <v>21</v>
      </c>
      <c r="B67" s="2867" t="s">
        <v>1403</v>
      </c>
      <c r="C67" s="2899">
        <v>1.6993283773797931</v>
      </c>
      <c r="D67" s="2900">
        <f>'Estancia hotelera'!L17</f>
        <v>1.5809865305383213</v>
      </c>
      <c r="E67" s="2901">
        <f>'Estancia hotelera'!M17</f>
        <v>1.5535594304643294</v>
      </c>
      <c r="F67" s="2902">
        <f>'Estancia hotelera'!N17</f>
        <v>1.5537887147871752</v>
      </c>
      <c r="G67" s="2903">
        <f>'Estancia hotelera'!O17</f>
        <v>1.5315145834595965</v>
      </c>
      <c r="H67" s="2900">
        <f>'Estancia hotelera'!P17</f>
        <v>1.5549623148123557</v>
      </c>
      <c r="I67" s="3464">
        <f>'Estancia hotelera'!Q17</f>
        <v>1.5484562608808641</v>
      </c>
      <c r="J67" s="2936" t="s">
        <v>196</v>
      </c>
    </row>
    <row r="68" spans="1:17" s="2830" customFormat="1">
      <c r="A68" s="2957">
        <f t="shared" si="3"/>
        <v>22</v>
      </c>
      <c r="B68" s="2876" t="s">
        <v>1404</v>
      </c>
      <c r="C68" s="2904">
        <v>1.3756954837204702</v>
      </c>
      <c r="D68" s="2905">
        <f>'Estancia hotelera'!L18</f>
        <v>1.5242255498597903</v>
      </c>
      <c r="E68" s="2906">
        <f>'Estancia hotelera'!M18</f>
        <v>1.4809016616053134</v>
      </c>
      <c r="F68" s="2907">
        <f>'Estancia hotelera'!N18</f>
        <v>1.4348377511665937</v>
      </c>
      <c r="G68" s="2908">
        <f>'Estancia hotelera'!O18</f>
        <v>1.4157283717951621</v>
      </c>
      <c r="H68" s="2905">
        <f>'Estancia hotelera'!P18</f>
        <v>1.463923333606715</v>
      </c>
      <c r="I68" s="3465">
        <f>'Estancia hotelera'!Q18</f>
        <v>1.448847779543446</v>
      </c>
      <c r="J68" s="2940" t="s">
        <v>196</v>
      </c>
    </row>
    <row r="69" spans="1:17" s="2830" customFormat="1">
      <c r="A69" s="2946"/>
      <c r="B69" s="2877"/>
      <c r="C69" s="2894"/>
      <c r="D69" s="2895"/>
      <c r="E69" s="2896"/>
      <c r="F69" s="2897"/>
      <c r="G69" s="2898"/>
      <c r="H69" s="2910"/>
      <c r="I69" s="3466"/>
      <c r="J69" s="2950"/>
    </row>
    <row r="70" spans="1:17" ht="15.75" thickBot="1">
      <c r="A70" s="2949"/>
      <c r="B70" s="2880"/>
      <c r="C70" s="2879"/>
      <c r="D70" s="2879"/>
      <c r="E70" s="2879"/>
      <c r="F70" s="2879"/>
      <c r="G70" s="2879"/>
      <c r="H70" s="2958"/>
      <c r="I70" s="3467"/>
      <c r="J70" s="2959"/>
    </row>
    <row r="71" spans="1:17" s="2830" customFormat="1">
      <c r="A71" s="2975"/>
      <c r="B71" s="2976" t="s">
        <v>328</v>
      </c>
      <c r="C71" s="2977">
        <v>2013</v>
      </c>
      <c r="D71" s="2978">
        <v>2014</v>
      </c>
      <c r="E71" s="2979">
        <v>2015</v>
      </c>
      <c r="F71" s="2980">
        <v>2016</v>
      </c>
      <c r="G71" s="2981" t="s">
        <v>696</v>
      </c>
      <c r="H71" s="2982">
        <v>2018</v>
      </c>
      <c r="I71" s="3457" t="s">
        <v>1433</v>
      </c>
      <c r="J71" s="2983" t="s">
        <v>700</v>
      </c>
    </row>
    <row r="72" spans="1:17" s="2830" customFormat="1" ht="28.9" customHeight="1">
      <c r="A72" s="3703">
        <f>A68+1</f>
        <v>23</v>
      </c>
      <c r="B72" s="2867" t="str">
        <f>'Actividades económicas TUR'!C4</f>
        <v>OPERACIÓN E INTERMEDIACIÓN TUR (AGENCIA DE VIAJES Y TURISMO)</v>
      </c>
      <c r="C72" s="2882">
        <f>'Actividades económicas TUR'!I4</f>
        <v>631</v>
      </c>
      <c r="D72" s="2912">
        <f>'Actividades económicas TUR'!J4</f>
        <v>679</v>
      </c>
      <c r="E72" s="2913">
        <f>'Actividades económicas TUR'!K4</f>
        <v>722</v>
      </c>
      <c r="F72" s="2914">
        <f>'Actividades económicas TUR'!L4</f>
        <v>660</v>
      </c>
      <c r="G72" s="2915">
        <f>'Actividades económicas TUR'!M4</f>
        <v>739</v>
      </c>
      <c r="H72" s="2916">
        <f>'Actividades económicas TUR'!N4</f>
        <v>644</v>
      </c>
      <c r="I72" s="3468"/>
      <c r="J72" s="2936" t="s">
        <v>757</v>
      </c>
      <c r="L72" s="3688" t="s">
        <v>1363</v>
      </c>
      <c r="M72" s="3688"/>
      <c r="N72" s="3688"/>
      <c r="O72" s="3688"/>
      <c r="P72" s="3688"/>
      <c r="Q72" s="3688"/>
    </row>
    <row r="73" spans="1:17" s="2921" customFormat="1">
      <c r="A73" s="3704"/>
      <c r="B73" s="2917" t="s">
        <v>1364</v>
      </c>
      <c r="C73" s="2918"/>
      <c r="D73" s="2919"/>
      <c r="E73" s="2919"/>
      <c r="F73" s="2920"/>
      <c r="G73" s="2920"/>
      <c r="H73" s="2935">
        <v>0.15</v>
      </c>
      <c r="I73" s="3468"/>
      <c r="J73" s="2984" t="s">
        <v>1365</v>
      </c>
      <c r="L73" s="3689"/>
      <c r="M73" s="3689"/>
      <c r="N73" s="3689"/>
      <c r="O73" s="3689"/>
      <c r="P73" s="3689"/>
      <c r="Q73" s="3689"/>
    </row>
    <row r="74" spans="1:17" s="2830" customFormat="1" ht="28.9" customHeight="1">
      <c r="A74" s="3703">
        <f>A72+1</f>
        <v>24</v>
      </c>
      <c r="B74" s="2867" t="str">
        <f>'Actividades económicas TUR'!C5</f>
        <v xml:space="preserve">ALIMENTOS Y BEBIDAS </v>
      </c>
      <c r="C74" s="2882">
        <f>'Actividades económicas TUR'!I5</f>
        <v>3021</v>
      </c>
      <c r="D74" s="2912">
        <f>'Actividades económicas TUR'!J5</f>
        <v>3316</v>
      </c>
      <c r="E74" s="2913">
        <f>'Actividades económicas TUR'!K5</f>
        <v>3486</v>
      </c>
      <c r="F74" s="2914">
        <f>'Actividades económicas TUR'!L5</f>
        <v>3434</v>
      </c>
      <c r="G74" s="2915">
        <f>'Actividades económicas TUR'!M5</f>
        <v>3517</v>
      </c>
      <c r="H74" s="2916">
        <f>'Actividades económicas TUR'!N5</f>
        <v>2786</v>
      </c>
      <c r="I74" s="3468"/>
      <c r="J74" s="2936" t="s">
        <v>757</v>
      </c>
      <c r="L74" s="3689"/>
      <c r="M74" s="3689"/>
      <c r="N74" s="3689"/>
      <c r="O74" s="3689"/>
      <c r="P74" s="3689"/>
      <c r="Q74" s="3689"/>
    </row>
    <row r="75" spans="1:17" s="2925" customFormat="1">
      <c r="A75" s="3704"/>
      <c r="B75" s="2917" t="s">
        <v>1364</v>
      </c>
      <c r="C75" s="2922"/>
      <c r="D75" s="2922"/>
      <c r="E75" s="2923"/>
      <c r="F75" s="2923"/>
      <c r="G75" s="2924">
        <v>0.15</v>
      </c>
      <c r="H75" s="2935">
        <v>0.64</v>
      </c>
      <c r="I75" s="3468"/>
      <c r="J75" s="2984" t="s">
        <v>1365</v>
      </c>
      <c r="L75" s="3689"/>
      <c r="M75" s="3689"/>
      <c r="N75" s="3689"/>
      <c r="O75" s="3689"/>
      <c r="P75" s="3689"/>
      <c r="Q75" s="3689"/>
    </row>
    <row r="76" spans="1:17" s="2830" customFormat="1" ht="28.9" customHeight="1">
      <c r="A76" s="3703">
        <f>A74+1</f>
        <v>25</v>
      </c>
      <c r="B76" s="2867" t="str">
        <f>'Actividades económicas TUR'!C6</f>
        <v xml:space="preserve">ALOJAMIENTO </v>
      </c>
      <c r="C76" s="2882">
        <f>'Actividades económicas TUR'!I6</f>
        <v>585</v>
      </c>
      <c r="D76" s="2912">
        <f>'Actividades económicas TUR'!J6</f>
        <v>642</v>
      </c>
      <c r="E76" s="2913">
        <f>'Actividades económicas TUR'!K6</f>
        <v>713</v>
      </c>
      <c r="F76" s="2914">
        <f>'Actividades económicas TUR'!L6</f>
        <v>721</v>
      </c>
      <c r="G76" s="2915">
        <f>'Actividades económicas TUR'!M6</f>
        <v>653</v>
      </c>
      <c r="H76" s="2916">
        <f>'Actividades económicas TUR'!N6</f>
        <v>684</v>
      </c>
      <c r="I76" s="3468"/>
      <c r="J76" s="2936" t="s">
        <v>757</v>
      </c>
      <c r="L76" s="3689"/>
      <c r="M76" s="3689"/>
      <c r="N76" s="3689"/>
      <c r="O76" s="3689"/>
      <c r="P76" s="3689"/>
      <c r="Q76" s="3689"/>
    </row>
    <row r="77" spans="1:17" s="2925" customFormat="1">
      <c r="A77" s="3704"/>
      <c r="B77" s="2917" t="s">
        <v>1364</v>
      </c>
      <c r="C77" s="2926"/>
      <c r="D77" s="2922"/>
      <c r="E77" s="2922"/>
      <c r="F77" s="2923"/>
      <c r="G77" s="2923"/>
      <c r="H77" s="2935">
        <v>0.16</v>
      </c>
      <c r="I77" s="3468"/>
      <c r="J77" s="2984" t="s">
        <v>1365</v>
      </c>
      <c r="L77" s="3689"/>
      <c r="M77" s="3689"/>
      <c r="N77" s="3689"/>
      <c r="O77" s="3689"/>
      <c r="P77" s="3689"/>
      <c r="Q77" s="3689"/>
    </row>
    <row r="78" spans="1:17" s="2830" customFormat="1" ht="28.15" customHeight="1">
      <c r="A78" s="3703">
        <f>A76+1</f>
        <v>26</v>
      </c>
      <c r="B78" s="2867" t="str">
        <f>'Actividades económicas TUR'!C8</f>
        <v>RECREACIÓN DIVERSIÓN Y ESPARCIMIENTO</v>
      </c>
      <c r="C78" s="2882">
        <f>'Actividades económicas TUR'!I8</f>
        <v>151</v>
      </c>
      <c r="D78" s="2912">
        <f>'Actividades económicas TUR'!J8</f>
        <v>171</v>
      </c>
      <c r="E78" s="2913">
        <f>'Actividades económicas TUR'!K8</f>
        <v>189</v>
      </c>
      <c r="F78" s="2914">
        <f>'Actividades económicas TUR'!L8</f>
        <v>184</v>
      </c>
      <c r="G78" s="2915">
        <f>'Actividades económicas TUR'!M8</f>
        <v>197</v>
      </c>
      <c r="H78" s="2916">
        <f>'Actividades económicas TUR'!N8</f>
        <v>174</v>
      </c>
      <c r="I78" s="3468"/>
      <c r="J78" s="2936" t="s">
        <v>757</v>
      </c>
      <c r="L78" s="3689"/>
      <c r="M78" s="3689"/>
      <c r="N78" s="3689"/>
      <c r="O78" s="3689"/>
      <c r="P78" s="3689"/>
      <c r="Q78" s="3689"/>
    </row>
    <row r="79" spans="1:17" s="2925" customFormat="1">
      <c r="A79" s="3704"/>
      <c r="B79" s="2917" t="s">
        <v>1364</v>
      </c>
      <c r="C79" s="2926"/>
      <c r="D79" s="2922"/>
      <c r="E79" s="2922"/>
      <c r="F79" s="2923"/>
      <c r="G79" s="2923"/>
      <c r="H79" s="2935">
        <v>0.04</v>
      </c>
      <c r="I79" s="3468"/>
      <c r="J79" s="2984" t="s">
        <v>1365</v>
      </c>
      <c r="L79" s="3689"/>
      <c r="M79" s="3689"/>
      <c r="N79" s="3689"/>
      <c r="O79" s="3689"/>
      <c r="P79" s="3689"/>
      <c r="Q79" s="3689"/>
    </row>
    <row r="80" spans="1:17" s="2830" customFormat="1" ht="28.15" customHeight="1">
      <c r="A80" s="3703">
        <f>A78+1</f>
        <v>27</v>
      </c>
      <c r="B80" s="2867" t="str">
        <f>'Actividades económicas TUR'!C9</f>
        <v>TRANSPORTE TURISTICO</v>
      </c>
      <c r="C80" s="2882">
        <f>'Actividades económicas TUR'!I9</f>
        <v>100</v>
      </c>
      <c r="D80" s="2912">
        <f>'Actividades económicas TUR'!J9</f>
        <v>101</v>
      </c>
      <c r="E80" s="2913">
        <f>'Actividades económicas TUR'!K9</f>
        <v>102</v>
      </c>
      <c r="F80" s="2914">
        <f>'Actividades económicas TUR'!L9</f>
        <v>110</v>
      </c>
      <c r="G80" s="2915">
        <f>'Actividades económicas TUR'!M9</f>
        <v>125</v>
      </c>
      <c r="H80" s="2916">
        <f>'Actividades económicas TUR'!N9</f>
        <v>93</v>
      </c>
      <c r="I80" s="3468"/>
      <c r="J80" s="2936" t="s">
        <v>757</v>
      </c>
      <c r="L80" s="3689"/>
      <c r="M80" s="3689"/>
      <c r="N80" s="3689"/>
      <c r="O80" s="3689"/>
      <c r="P80" s="3689"/>
      <c r="Q80" s="3689"/>
    </row>
    <row r="81" spans="1:17" s="2925" customFormat="1">
      <c r="A81" s="3704"/>
      <c r="B81" s="2917" t="s">
        <v>1364</v>
      </c>
      <c r="C81" s="2926"/>
      <c r="D81" s="2922"/>
      <c r="E81" s="2922"/>
      <c r="F81" s="2923"/>
      <c r="G81" s="2923"/>
      <c r="H81" s="2935">
        <v>0.02</v>
      </c>
      <c r="I81" s="3468"/>
      <c r="J81" s="2984" t="s">
        <v>1365</v>
      </c>
      <c r="L81" s="3689"/>
      <c r="M81" s="3689"/>
      <c r="N81" s="3689"/>
      <c r="O81" s="3689"/>
      <c r="P81" s="3689"/>
      <c r="Q81" s="3689"/>
    </row>
    <row r="82" spans="1:17" s="2830" customFormat="1" ht="26.45" customHeight="1">
      <c r="A82" s="2960"/>
      <c r="B82" s="2928" t="s">
        <v>1366</v>
      </c>
      <c r="C82" s="3471">
        <f>'Actividades económicas TUR'!I10</f>
        <v>4488</v>
      </c>
      <c r="D82" s="2929">
        <f>'Actividades económicas TUR'!J10</f>
        <v>4909</v>
      </c>
      <c r="E82" s="2930">
        <f>'Actividades económicas TUR'!K10</f>
        <v>5212</v>
      </c>
      <c r="F82" s="2931">
        <f>'Actividades económicas TUR'!L10</f>
        <v>5109</v>
      </c>
      <c r="G82" s="2932">
        <f>'Actividades económicas TUR'!M10</f>
        <v>5231</v>
      </c>
      <c r="H82" s="2933">
        <f>'Actividades económicas TUR'!N10</f>
        <v>4381</v>
      </c>
      <c r="I82" s="3469"/>
      <c r="J82" s="2961"/>
      <c r="L82" s="3689"/>
      <c r="M82" s="3689"/>
      <c r="N82" s="3689"/>
      <c r="O82" s="3689"/>
      <c r="P82" s="3689"/>
      <c r="Q82" s="3689"/>
    </row>
    <row r="83" spans="1:17" s="2830" customFormat="1">
      <c r="A83" s="2946"/>
      <c r="B83" s="2877"/>
      <c r="C83" s="2888"/>
      <c r="D83" s="2929"/>
      <c r="E83" s="2930"/>
      <c r="F83" s="2931"/>
      <c r="G83" s="2932"/>
      <c r="H83" s="2958"/>
      <c r="I83" s="3467"/>
      <c r="J83" s="2961"/>
    </row>
    <row r="84" spans="1:17" ht="15.75" thickBot="1">
      <c r="A84" s="2949"/>
      <c r="B84" s="2880"/>
      <c r="C84" s="2879"/>
      <c r="D84" s="2879"/>
      <c r="E84" s="2879"/>
      <c r="F84" s="2879"/>
      <c r="G84" s="2879"/>
      <c r="H84" s="2958"/>
      <c r="I84" s="3467"/>
      <c r="J84" s="2961"/>
    </row>
    <row r="85" spans="1:17" ht="20.45" customHeight="1">
      <c r="A85" s="2975"/>
      <c r="B85" s="2976" t="s">
        <v>1367</v>
      </c>
      <c r="C85" s="2977">
        <v>2013</v>
      </c>
      <c r="D85" s="2978">
        <v>2014</v>
      </c>
      <c r="E85" s="2979">
        <v>2015</v>
      </c>
      <c r="F85" s="2980">
        <v>2016</v>
      </c>
      <c r="G85" s="2981" t="s">
        <v>696</v>
      </c>
      <c r="H85" s="2982">
        <v>2018</v>
      </c>
      <c r="I85" s="3457" t="s">
        <v>1433</v>
      </c>
      <c r="J85" s="2983" t="s">
        <v>700</v>
      </c>
    </row>
    <row r="86" spans="1:17" s="3480" customFormat="1">
      <c r="A86" s="3474">
        <f>A80+1</f>
        <v>28</v>
      </c>
      <c r="B86" s="3475" t="s">
        <v>1368</v>
      </c>
      <c r="C86" s="3476"/>
      <c r="D86" s="3476"/>
      <c r="E86" s="3476"/>
      <c r="F86" s="3476"/>
      <c r="G86" s="3476">
        <f>'Aloj-Hab-Plazas'!D13</f>
        <v>653</v>
      </c>
      <c r="H86" s="3477">
        <f>'Aloj-Hab-Plazas'!D14</f>
        <v>684</v>
      </c>
      <c r="I86" s="3478"/>
      <c r="J86" s="3479" t="s">
        <v>757</v>
      </c>
      <c r="L86" s="3676" t="s">
        <v>1371</v>
      </c>
      <c r="M86" s="3676"/>
      <c r="N86" s="3676"/>
      <c r="O86" s="3676"/>
      <c r="P86" s="3676"/>
      <c r="Q86" s="3676"/>
    </row>
    <row r="87" spans="1:17">
      <c r="A87" s="2947">
        <f>A86+1</f>
        <v>29</v>
      </c>
      <c r="B87" s="2867" t="s">
        <v>1370</v>
      </c>
      <c r="C87" s="3472">
        <f>'Aloj-Hab-Plazas'!E9</f>
        <v>11794</v>
      </c>
      <c r="D87" s="3472">
        <f>'Aloj-Hab-Plazas'!E10</f>
        <v>12956</v>
      </c>
      <c r="E87" s="3472">
        <f>'Aloj-Hab-Plazas'!E11</f>
        <v>14286</v>
      </c>
      <c r="F87" s="3472">
        <f>'Aloj-Hab-Plazas'!E12</f>
        <v>14739</v>
      </c>
      <c r="G87" s="3472">
        <f>'Aloj-Hab-Plazas'!E13</f>
        <v>13357</v>
      </c>
      <c r="H87" s="2916">
        <f>'Aloj-Hab-Plazas'!E14</f>
        <v>13776</v>
      </c>
      <c r="I87" s="3468"/>
      <c r="J87" s="2936" t="s">
        <v>757</v>
      </c>
      <c r="L87" s="3676"/>
      <c r="M87" s="3676"/>
      <c r="N87" s="3676"/>
      <c r="O87" s="3676"/>
      <c r="P87" s="3676"/>
      <c r="Q87" s="3676"/>
    </row>
    <row r="88" spans="1:17" ht="15.75" thickBot="1">
      <c r="A88" s="2963">
        <f>A87+1</f>
        <v>30</v>
      </c>
      <c r="B88" s="2964" t="s">
        <v>1369</v>
      </c>
      <c r="C88" s="3473">
        <f>'Aloj-Hab-Plazas'!F9</f>
        <v>23588</v>
      </c>
      <c r="D88" s="3473">
        <f>'Aloj-Hab-Plazas'!F10</f>
        <v>25912</v>
      </c>
      <c r="E88" s="3473">
        <f>'Aloj-Hab-Plazas'!F11</f>
        <v>28572</v>
      </c>
      <c r="F88" s="3473">
        <f>'Aloj-Hab-Plazas'!F12</f>
        <v>29478</v>
      </c>
      <c r="G88" s="3473">
        <f>'Aloj-Hab-Plazas'!F13</f>
        <v>26851</v>
      </c>
      <c r="H88" s="2966">
        <f>'Aloj-Hab-Plazas'!F14</f>
        <v>28458</v>
      </c>
      <c r="I88" s="3470"/>
      <c r="J88" s="2967" t="s">
        <v>757</v>
      </c>
      <c r="L88" s="3676"/>
      <c r="M88" s="3676"/>
      <c r="N88" s="3676"/>
      <c r="O88" s="3676"/>
      <c r="P88" s="3676"/>
      <c r="Q88" s="3676"/>
    </row>
    <row r="89" spans="1:17">
      <c r="A89" s="2949"/>
      <c r="B89" s="2880"/>
      <c r="C89" s="2879"/>
      <c r="D89" s="2879"/>
      <c r="E89" s="2879"/>
      <c r="F89" s="2879"/>
      <c r="G89" s="2879"/>
      <c r="H89" s="2958"/>
      <c r="I89" s="3467"/>
      <c r="J89" s="2961"/>
    </row>
    <row r="90" spans="1:17" ht="15.75" thickBot="1">
      <c r="A90" s="2949"/>
      <c r="B90" s="2880"/>
      <c r="C90" s="2879"/>
      <c r="D90" s="2879"/>
      <c r="E90" s="2879"/>
      <c r="F90" s="2879"/>
      <c r="G90" s="2879"/>
      <c r="H90" s="2958"/>
      <c r="I90" s="3467"/>
      <c r="J90" s="2961"/>
    </row>
    <row r="91" spans="1:17" ht="30">
      <c r="A91" s="2975"/>
      <c r="B91" s="2976" t="s">
        <v>1384</v>
      </c>
      <c r="C91" s="2977">
        <v>2013</v>
      </c>
      <c r="D91" s="2978">
        <v>2014</v>
      </c>
      <c r="E91" s="2979">
        <v>2015</v>
      </c>
      <c r="F91" s="2980">
        <v>2016</v>
      </c>
      <c r="G91" s="2981" t="s">
        <v>696</v>
      </c>
      <c r="H91" s="2982">
        <v>2018</v>
      </c>
      <c r="I91" s="3457" t="s">
        <v>1433</v>
      </c>
      <c r="J91" s="2983" t="s">
        <v>700</v>
      </c>
    </row>
    <row r="92" spans="1:17">
      <c r="A92" s="2947">
        <f>A88+1</f>
        <v>31</v>
      </c>
      <c r="B92" s="2890" t="s">
        <v>1383</v>
      </c>
      <c r="C92" s="2879"/>
      <c r="D92" s="2879"/>
      <c r="E92" s="2879"/>
      <c r="F92" s="2879"/>
      <c r="G92" s="2879"/>
      <c r="H92" s="2916" t="e">
        <f>GETPIVOTDATA("Cuenta de N° REGISTRO TURÍSTICO",'Aloj-Capacidad-TASA'!$B$4)</f>
        <v>#REF!</v>
      </c>
      <c r="I92" s="3468"/>
      <c r="J92" s="2936" t="s">
        <v>757</v>
      </c>
      <c r="L92" s="3676" t="s">
        <v>1371</v>
      </c>
      <c r="M92" s="3676"/>
      <c r="N92" s="3676"/>
      <c r="O92" s="3676"/>
      <c r="P92" s="3676"/>
      <c r="Q92" s="3676"/>
    </row>
    <row r="93" spans="1:17">
      <c r="A93" s="2947">
        <f>A92+1</f>
        <v>32</v>
      </c>
      <c r="B93" s="2890" t="s">
        <v>1385</v>
      </c>
      <c r="C93" s="2962"/>
      <c r="D93" s="2962"/>
      <c r="E93" s="2962"/>
      <c r="F93" s="2962"/>
      <c r="G93" s="2962"/>
      <c r="H93" s="2916" t="e">
        <f>GETPIVOTDATA("Suma de NÚMERO HABITACIONES",'Aloj-Capacidad-TASA'!$B$4)</f>
        <v>#REF!</v>
      </c>
      <c r="I93" s="3468"/>
      <c r="J93" s="2936" t="s">
        <v>757</v>
      </c>
      <c r="L93" s="3676"/>
      <c r="M93" s="3676"/>
      <c r="N93" s="3676"/>
      <c r="O93" s="3676"/>
      <c r="P93" s="3676"/>
      <c r="Q93" s="3676"/>
    </row>
    <row r="94" spans="1:17" ht="15.75" thickBot="1">
      <c r="A94" s="2963">
        <f>A93+1</f>
        <v>33</v>
      </c>
      <c r="B94" s="3006" t="s">
        <v>1386</v>
      </c>
      <c r="C94" s="2965"/>
      <c r="D94" s="2965"/>
      <c r="E94" s="2965"/>
      <c r="F94" s="2965"/>
      <c r="G94" s="2965"/>
      <c r="H94" s="2966" t="e">
        <f>GETPIVOTDATA("Suma de NÚMERO DE PLAZAS",'Aloj-Capacidad-TASA'!$B$4)</f>
        <v>#REF!</v>
      </c>
      <c r="I94" s="3470"/>
      <c r="J94" s="2967" t="s">
        <v>757</v>
      </c>
      <c r="L94" s="3676"/>
      <c r="M94" s="3676"/>
      <c r="N94" s="3676"/>
      <c r="O94" s="3676"/>
      <c r="P94" s="3676"/>
      <c r="Q94" s="3676"/>
    </row>
    <row r="96" spans="1:17">
      <c r="B96" s="193"/>
      <c r="L96" s="2837"/>
      <c r="M96" s="2837"/>
      <c r="N96" s="2837"/>
      <c r="O96" s="2837"/>
      <c r="P96" s="2837"/>
      <c r="Q96" s="2837"/>
    </row>
    <row r="98" spans="2:2" ht="30">
      <c r="B98" s="2828" t="s">
        <v>1432</v>
      </c>
    </row>
  </sheetData>
  <mergeCells count="61">
    <mergeCell ref="A1:J1"/>
    <mergeCell ref="A3:J3"/>
    <mergeCell ref="C38:I38"/>
    <mergeCell ref="C40:J40"/>
    <mergeCell ref="H4:I4"/>
    <mergeCell ref="A19:A20"/>
    <mergeCell ref="A21:A23"/>
    <mergeCell ref="H27:I27"/>
    <mergeCell ref="A24:A27"/>
    <mergeCell ref="A29:A30"/>
    <mergeCell ref="A5:B5"/>
    <mergeCell ref="B6:B8"/>
    <mergeCell ref="A6:A8"/>
    <mergeCell ref="L86:Q88"/>
    <mergeCell ref="J11:J17"/>
    <mergeCell ref="C48:J48"/>
    <mergeCell ref="C39:J39"/>
    <mergeCell ref="B24:B25"/>
    <mergeCell ref="J21:J23"/>
    <mergeCell ref="B19:B20"/>
    <mergeCell ref="H22:H23"/>
    <mergeCell ref="L22:Q22"/>
    <mergeCell ref="N24:Q24"/>
    <mergeCell ref="L25:Q25"/>
    <mergeCell ref="L52:L58"/>
    <mergeCell ref="L35:L40"/>
    <mergeCell ref="L43:L48"/>
    <mergeCell ref="J56:J57"/>
    <mergeCell ref="J58:J59"/>
    <mergeCell ref="A74:A75"/>
    <mergeCell ref="A76:A77"/>
    <mergeCell ref="A78:A79"/>
    <mergeCell ref="A80:A81"/>
    <mergeCell ref="H10:I10"/>
    <mergeCell ref="B10:B17"/>
    <mergeCell ref="A10:A17"/>
    <mergeCell ref="B31:J31"/>
    <mergeCell ref="A34:J34"/>
    <mergeCell ref="B30:C30"/>
    <mergeCell ref="H30:I30"/>
    <mergeCell ref="B26:J26"/>
    <mergeCell ref="B28:J28"/>
    <mergeCell ref="A72:A73"/>
    <mergeCell ref="J52:J53"/>
    <mergeCell ref="J54:J55"/>
    <mergeCell ref="L92:Q94"/>
    <mergeCell ref="L29:Q31"/>
    <mergeCell ref="M52:Q58"/>
    <mergeCell ref="L72:Q82"/>
    <mergeCell ref="H6:H8"/>
    <mergeCell ref="J7:J8"/>
    <mergeCell ref="L6:Q6"/>
    <mergeCell ref="L7:Q7"/>
    <mergeCell ref="L9:Q9"/>
    <mergeCell ref="L11:L17"/>
    <mergeCell ref="M11:M17"/>
    <mergeCell ref="N11:Q17"/>
    <mergeCell ref="N27:Q27"/>
    <mergeCell ref="N18:Q18"/>
    <mergeCell ref="N20:Q20"/>
    <mergeCell ref="L21:M21"/>
  </mergeCells>
  <hyperlinks>
    <hyperlink ref="N18" r:id="rId1"/>
    <hyperlink ref="N20" r:id="rId2"/>
    <hyperlink ref="N21" r:id="rId3"/>
    <hyperlink ref="N24" r:id="rId4"/>
    <hyperlink ref="M52" r:id="rId5" display="http://servicios.turismo.gob.ec/index.php/turismo-cifras/2018-09-18-21-11-17/indicadores-de-alojamiento"/>
    <hyperlink ref="N11" r:id="rId6"/>
    <hyperlink ref="N27" r:id="rId7"/>
  </hyperlinks>
  <pageMargins left="0.39370078740157483" right="0.19685039370078741" top="0.39370078740157483" bottom="0.39370078740157483" header="0.31496062992125984" footer="0.31496062992125984"/>
  <pageSetup paperSize="256" scale="85" fitToHeight="4" orientation="landscape" r:id="rId8"/>
  <drawing r:id="rId9"/>
  <legacyDrawing r:id="rId1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J9"/>
  <sheetViews>
    <sheetView workbookViewId="0">
      <selection activeCell="H12" sqref="H12"/>
    </sheetView>
  </sheetViews>
  <sheetFormatPr baseColWidth="10" defaultRowHeight="15"/>
  <cols>
    <col min="1" max="1" width="27.85546875" customWidth="1"/>
    <col min="9" max="9" width="22.7109375" customWidth="1"/>
  </cols>
  <sheetData>
    <row r="1" spans="1:10" s="55" customFormat="1">
      <c r="A1" s="1895" t="s">
        <v>1062</v>
      </c>
      <c r="I1" s="1896" t="s">
        <v>1065</v>
      </c>
    </row>
    <row r="3" spans="1:10" s="1902" customFormat="1" ht="30">
      <c r="A3" s="1900"/>
      <c r="B3" s="1901">
        <v>2014</v>
      </c>
      <c r="C3" s="1901">
        <v>2015</v>
      </c>
      <c r="D3" s="1901">
        <v>2016</v>
      </c>
      <c r="E3" s="1901">
        <v>2017</v>
      </c>
      <c r="F3" s="1901" t="s">
        <v>1055</v>
      </c>
      <c r="G3" s="1903" t="s">
        <v>1064</v>
      </c>
      <c r="J3" s="1901">
        <v>2018</v>
      </c>
    </row>
    <row r="4" spans="1:10">
      <c r="A4" s="1887" t="s">
        <v>1050</v>
      </c>
      <c r="B4" s="1888"/>
      <c r="C4" s="1888"/>
      <c r="D4" s="1888"/>
      <c r="E4" s="1888">
        <v>5443</v>
      </c>
      <c r="F4" s="1888">
        <v>7575</v>
      </c>
      <c r="G4" s="1608">
        <f>F4/E4-1</f>
        <v>0.39169575601690254</v>
      </c>
      <c r="I4" s="1887"/>
      <c r="J4" s="1888"/>
    </row>
    <row r="5" spans="1:10">
      <c r="A5" s="1891" t="s">
        <v>1053</v>
      </c>
      <c r="B5" s="1890"/>
      <c r="C5" s="1890"/>
      <c r="D5" s="1890"/>
      <c r="E5" s="1890">
        <f>E4/4</f>
        <v>1360.75</v>
      </c>
      <c r="F5" s="1890">
        <f>F4/4</f>
        <v>1893.75</v>
      </c>
      <c r="G5" s="1608">
        <f>F5/E5-1</f>
        <v>0.39169575601690254</v>
      </c>
      <c r="I5" s="1887"/>
      <c r="J5" s="1888"/>
    </row>
    <row r="6" spans="1:10">
      <c r="A6" s="1893" t="s">
        <v>1063</v>
      </c>
      <c r="B6" s="1890"/>
      <c r="C6" s="1890"/>
      <c r="D6" s="1890"/>
      <c r="E6" s="1890"/>
      <c r="I6" s="1899"/>
      <c r="J6" s="1898"/>
    </row>
    <row r="7" spans="1:10">
      <c r="A7" s="1889"/>
      <c r="B7" s="1890"/>
      <c r="C7" s="1890"/>
      <c r="D7" s="1890"/>
      <c r="E7" s="1890"/>
    </row>
    <row r="8" spans="1:10">
      <c r="A8" s="1889"/>
      <c r="B8" s="1890"/>
      <c r="C8" s="1890"/>
      <c r="D8" s="1890"/>
      <c r="E8" s="1890"/>
      <c r="I8" s="1891"/>
      <c r="J8" s="1890"/>
    </row>
    <row r="9" spans="1:10" s="1609" customFormat="1">
      <c r="I9" s="1897"/>
      <c r="J9"/>
    </row>
  </sheetData>
  <pageMargins left="0.70866141732283472" right="0.70866141732283472" top="0.74803149606299213" bottom="0.74803149606299213" header="0.31496062992125984" footer="0.31496062992125984"/>
  <pageSetup paperSize="9" scale="79" orientation="landscape" verticalDpi="597"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I15"/>
  <sheetViews>
    <sheetView workbookViewId="0">
      <selection activeCell="I6" sqref="I6"/>
    </sheetView>
  </sheetViews>
  <sheetFormatPr baseColWidth="10" defaultRowHeight="15"/>
  <cols>
    <col min="1" max="1" width="27.85546875" customWidth="1"/>
    <col min="8" max="8" width="22.7109375" customWidth="1"/>
  </cols>
  <sheetData>
    <row r="1" spans="1:9" s="55" customFormat="1">
      <c r="A1" s="1895" t="s">
        <v>1061</v>
      </c>
      <c r="H1" s="1896" t="s">
        <v>1060</v>
      </c>
    </row>
    <row r="3" spans="1:9" s="2168" customFormat="1" ht="17.25">
      <c r="A3" s="1900"/>
      <c r="B3" s="1901">
        <v>2014</v>
      </c>
      <c r="C3" s="1901">
        <v>2015</v>
      </c>
      <c r="D3" s="1901">
        <v>2016</v>
      </c>
      <c r="E3" s="1901" t="s">
        <v>1048</v>
      </c>
      <c r="F3" s="1901" t="s">
        <v>1055</v>
      </c>
      <c r="I3" s="1901">
        <v>2018</v>
      </c>
    </row>
    <row r="4" spans="1:9">
      <c r="A4" s="1887" t="s">
        <v>1050</v>
      </c>
      <c r="B4" s="1888">
        <v>5125</v>
      </c>
      <c r="C4" s="1888">
        <v>5927</v>
      </c>
      <c r="D4" s="1888">
        <v>5260</v>
      </c>
      <c r="E4" s="1888">
        <v>5100</v>
      </c>
      <c r="F4" s="1888">
        <v>4967</v>
      </c>
      <c r="H4" s="1887" t="s">
        <v>1058</v>
      </c>
      <c r="I4" s="1888">
        <f>7875+8440+4052+11266</f>
        <v>31633</v>
      </c>
    </row>
    <row r="5" spans="1:9">
      <c r="A5" s="1891" t="s">
        <v>1049</v>
      </c>
      <c r="B5" s="1890">
        <v>1708</v>
      </c>
      <c r="C5" s="1890">
        <v>1976</v>
      </c>
      <c r="D5" s="1890">
        <v>1753</v>
      </c>
      <c r="E5" s="1890">
        <v>1700</v>
      </c>
      <c r="F5" s="1890">
        <f>F4/3</f>
        <v>1655.6666666666667</v>
      </c>
      <c r="H5" s="1887" t="s">
        <v>1059</v>
      </c>
      <c r="I5" s="1888">
        <f>9090+7815+7095+7215</f>
        <v>31215</v>
      </c>
    </row>
    <row r="6" spans="1:9">
      <c r="A6" s="1893" t="s">
        <v>1057</v>
      </c>
      <c r="B6" s="1890"/>
      <c r="C6" s="1890"/>
      <c r="D6" s="1890"/>
      <c r="E6" s="1890"/>
      <c r="H6" s="1899" t="s">
        <v>33</v>
      </c>
      <c r="I6" s="1898">
        <f>I4+I5</f>
        <v>62848</v>
      </c>
    </row>
    <row r="7" spans="1:9">
      <c r="A7" s="1889"/>
      <c r="B7" s="1890"/>
      <c r="C7" s="1890"/>
      <c r="D7" s="1890"/>
      <c r="E7" s="1890"/>
    </row>
    <row r="8" spans="1:9">
      <c r="A8" s="1889"/>
      <c r="B8" s="1890"/>
      <c r="C8" s="1890"/>
      <c r="D8" s="1890"/>
      <c r="E8" s="1890"/>
      <c r="H8" s="1891" t="s">
        <v>1053</v>
      </c>
      <c r="I8" s="1890">
        <f>(I4+I5)/4</f>
        <v>15712</v>
      </c>
    </row>
    <row r="9" spans="1:9" s="1609" customFormat="1">
      <c r="H9" s="1897" t="s">
        <v>1054</v>
      </c>
      <c r="I9"/>
    </row>
    <row r="11" spans="1:9">
      <c r="A11" s="1894" t="s">
        <v>1061</v>
      </c>
      <c r="B11" s="1609"/>
      <c r="C11" s="1609"/>
      <c r="D11" s="1609"/>
      <c r="E11" s="1609"/>
      <c r="F11" s="1609"/>
      <c r="G11" s="1609"/>
    </row>
    <row r="12" spans="1:9" s="2168" customFormat="1" ht="17.25">
      <c r="A12" s="1900"/>
      <c r="B12" s="1901">
        <v>2014</v>
      </c>
      <c r="C12" s="1901">
        <v>2015</v>
      </c>
      <c r="D12" s="1901">
        <v>2016</v>
      </c>
      <c r="E12" s="1901" t="s">
        <v>1051</v>
      </c>
      <c r="F12" s="1901" t="s">
        <v>1056</v>
      </c>
    </row>
    <row r="13" spans="1:9">
      <c r="A13" s="1887" t="s">
        <v>1050</v>
      </c>
      <c r="B13" s="1888">
        <v>12326</v>
      </c>
      <c r="C13" s="1888">
        <v>13111</v>
      </c>
      <c r="D13" s="1888">
        <v>12960</v>
      </c>
      <c r="E13" s="1888">
        <v>12799</v>
      </c>
      <c r="F13" s="1888">
        <v>12353</v>
      </c>
    </row>
    <row r="14" spans="1:9">
      <c r="A14" s="1892" t="s">
        <v>1052</v>
      </c>
      <c r="B14" s="1890">
        <v>1761</v>
      </c>
      <c r="C14" s="1890">
        <v>1873</v>
      </c>
      <c r="D14" s="1890">
        <v>1851</v>
      </c>
      <c r="E14" s="1890">
        <v>1828</v>
      </c>
      <c r="F14" s="1890">
        <f>F13/7</f>
        <v>1764.7142857142858</v>
      </c>
    </row>
    <row r="15" spans="1:9">
      <c r="A15" s="1893" t="s">
        <v>1057</v>
      </c>
    </row>
  </sheetData>
  <pageMargins left="0.70866141732283472" right="0.70866141732283472" top="0.74803149606299213" bottom="0.74803149606299213" header="0.31496062992125984" footer="0.31496062992125984"/>
  <pageSetup paperSize="9" scale="69" orientation="landscape" verticalDpi="597"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M21"/>
  <sheetViews>
    <sheetView workbookViewId="0">
      <selection activeCell="F7" sqref="F7"/>
    </sheetView>
  </sheetViews>
  <sheetFormatPr baseColWidth="10" defaultRowHeight="15"/>
  <cols>
    <col min="1" max="1" width="27.85546875" customWidth="1"/>
    <col min="9" max="9" width="22.7109375" customWidth="1"/>
  </cols>
  <sheetData>
    <row r="1" spans="1:13" s="55" customFormat="1">
      <c r="A1" s="1895" t="s">
        <v>1068</v>
      </c>
      <c r="I1" s="1896" t="s">
        <v>1066</v>
      </c>
    </row>
    <row r="3" spans="1:13" s="1902" customFormat="1" ht="30">
      <c r="A3" s="1900"/>
      <c r="B3" s="1901">
        <v>2014</v>
      </c>
      <c r="C3" s="1901">
        <v>2015</v>
      </c>
      <c r="D3" s="1901">
        <v>2016</v>
      </c>
      <c r="E3" s="1901">
        <v>2017</v>
      </c>
      <c r="F3" s="1901">
        <v>2018</v>
      </c>
      <c r="G3" s="1903" t="s">
        <v>1064</v>
      </c>
      <c r="J3" s="1901">
        <v>2018</v>
      </c>
    </row>
    <row r="4" spans="1:13">
      <c r="A4" s="1887" t="s">
        <v>1050</v>
      </c>
      <c r="B4" s="1888"/>
      <c r="C4" s="1888"/>
      <c r="D4" s="1888"/>
      <c r="E4" s="1888">
        <f>4754+1367</f>
        <v>6121</v>
      </c>
      <c r="F4" s="1888">
        <f>4576+1591</f>
        <v>6167</v>
      </c>
      <c r="G4" s="2099">
        <f>F4/E4-1</f>
        <v>7.5151119098186836E-3</v>
      </c>
      <c r="I4" s="1887" t="s">
        <v>1058</v>
      </c>
      <c r="J4" s="1888"/>
    </row>
    <row r="5" spans="1:13">
      <c r="A5" s="1891" t="s">
        <v>1053</v>
      </c>
      <c r="B5" s="1890"/>
      <c r="C5" s="1890"/>
      <c r="D5" s="1890"/>
      <c r="E5" s="1890">
        <f>E4/4</f>
        <v>1530.25</v>
      </c>
      <c r="F5" s="1890">
        <f>F4/4</f>
        <v>1541.75</v>
      </c>
      <c r="G5" s="2099">
        <f>F5/E5-1</f>
        <v>7.5151119098186836E-3</v>
      </c>
      <c r="I5" s="1887" t="s">
        <v>1059</v>
      </c>
      <c r="J5" s="1888"/>
    </row>
    <row r="6" spans="1:13">
      <c r="B6" s="1890"/>
      <c r="C6" s="1890"/>
      <c r="D6" s="1890"/>
      <c r="E6" s="1890"/>
      <c r="F6" s="1893" t="s">
        <v>1063</v>
      </c>
      <c r="I6" s="1899"/>
      <c r="J6" s="1898"/>
    </row>
    <row r="7" spans="1:13">
      <c r="A7" s="1889"/>
      <c r="B7" s="1890"/>
      <c r="C7" s="1890"/>
      <c r="D7" s="1890"/>
      <c r="E7" s="1890"/>
    </row>
    <row r="8" spans="1:13">
      <c r="A8" s="1889"/>
      <c r="B8" s="1890"/>
      <c r="C8" s="1890"/>
      <c r="D8" s="1890"/>
      <c r="E8" s="1890"/>
      <c r="J8" s="1890"/>
    </row>
    <row r="9" spans="1:13" s="1609" customFormat="1">
      <c r="I9" s="1897"/>
      <c r="J9"/>
    </row>
    <row r="13" spans="1:13" s="55" customFormat="1">
      <c r="A13" s="1895" t="s">
        <v>1067</v>
      </c>
      <c r="I13" s="1896" t="s">
        <v>1069</v>
      </c>
    </row>
    <row r="15" spans="1:13" s="1902" customFormat="1" ht="30">
      <c r="A15" s="1900"/>
      <c r="B15" s="1901">
        <v>2014</v>
      </c>
      <c r="C15" s="1901">
        <v>2015</v>
      </c>
      <c r="D15" s="1901">
        <v>2016</v>
      </c>
      <c r="E15" s="1901">
        <v>2017</v>
      </c>
      <c r="F15" s="1901">
        <v>2018</v>
      </c>
      <c r="G15" s="1903" t="s">
        <v>1064</v>
      </c>
      <c r="J15" s="1901">
        <v>2015</v>
      </c>
      <c r="K15" s="1901">
        <v>2016</v>
      </c>
      <c r="L15" s="1901">
        <v>2017</v>
      </c>
      <c r="M15" s="1901">
        <v>2018</v>
      </c>
    </row>
    <row r="16" spans="1:13">
      <c r="A16" s="1887" t="s">
        <v>1050</v>
      </c>
      <c r="B16" s="1888"/>
      <c r="C16" s="1888"/>
      <c r="D16" s="1888"/>
      <c r="E16" s="1888">
        <v>5239</v>
      </c>
      <c r="F16" s="1888">
        <v>5372</v>
      </c>
      <c r="G16" s="2100">
        <f>F16/E16-1</f>
        <v>2.5386524145829314E-2</v>
      </c>
      <c r="I16" s="1887" t="s">
        <v>1058</v>
      </c>
      <c r="J16" s="1888"/>
      <c r="M16" s="1888"/>
    </row>
    <row r="17" spans="1:13">
      <c r="A17" s="1891" t="s">
        <v>1049</v>
      </c>
      <c r="B17" s="1890"/>
      <c r="C17" s="1890"/>
      <c r="D17" s="1890"/>
      <c r="E17" s="1890">
        <f>E16/3</f>
        <v>1746.3333333333333</v>
      </c>
      <c r="F17" s="1890">
        <f>F16/3</f>
        <v>1790.6666666666667</v>
      </c>
      <c r="I17" s="1887" t="s">
        <v>1059</v>
      </c>
      <c r="J17" s="1888"/>
      <c r="M17" s="1888"/>
    </row>
    <row r="18" spans="1:13">
      <c r="B18" s="1890"/>
      <c r="C18" s="1890"/>
      <c r="D18" s="1890"/>
      <c r="E18" s="1890"/>
      <c r="F18" s="1893" t="s">
        <v>1063</v>
      </c>
      <c r="I18" s="1899"/>
      <c r="J18" s="1898">
        <f>SUM(J16:J17)</f>
        <v>0</v>
      </c>
      <c r="K18" s="1898">
        <f t="shared" ref="K18:M18" si="0">SUM(K16:K17)</f>
        <v>0</v>
      </c>
      <c r="L18" s="1898">
        <f t="shared" si="0"/>
        <v>0</v>
      </c>
      <c r="M18" s="1898">
        <f t="shared" si="0"/>
        <v>0</v>
      </c>
    </row>
    <row r="19" spans="1:13">
      <c r="A19" s="1889"/>
      <c r="B19" s="1890"/>
      <c r="C19" s="1890"/>
      <c r="D19" s="1890"/>
      <c r="E19" s="1890"/>
    </row>
    <row r="20" spans="1:13">
      <c r="I20" s="1891" t="s">
        <v>1053</v>
      </c>
      <c r="J20" s="1890">
        <f>(J16+J17)/4</f>
        <v>0</v>
      </c>
      <c r="K20" s="1890">
        <f t="shared" ref="K20:M20" si="1">(K16+K17)/4</f>
        <v>0</v>
      </c>
      <c r="L20" s="1890">
        <f t="shared" si="1"/>
        <v>0</v>
      </c>
      <c r="M20" s="1890">
        <f t="shared" si="1"/>
        <v>0</v>
      </c>
    </row>
    <row r="21" spans="1:13">
      <c r="J21" s="3932"/>
      <c r="K21" s="3932"/>
      <c r="L21" s="3932"/>
      <c r="M21" s="3932"/>
    </row>
  </sheetData>
  <mergeCells count="1">
    <mergeCell ref="J21:M21"/>
  </mergeCells>
  <pageMargins left="0.70866141732283472" right="0.70866141732283472" top="0.74803149606299213" bottom="0.74803149606299213" header="0.31496062992125984" footer="0.31496062992125984"/>
  <pageSetup paperSize="9" scale="74" orientation="landscape" verticalDpi="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N11"/>
  <sheetViews>
    <sheetView topLeftCell="C1" workbookViewId="0">
      <selection activeCell="M7" sqref="M7"/>
    </sheetView>
  </sheetViews>
  <sheetFormatPr baseColWidth="10" defaultRowHeight="15"/>
  <cols>
    <col min="1" max="1" width="27.85546875" customWidth="1"/>
    <col min="9" max="9" width="22.7109375" customWidth="1"/>
  </cols>
  <sheetData>
    <row r="1" spans="1:14" ht="15.75" thickBot="1"/>
    <row r="2" spans="1:14" s="55" customFormat="1">
      <c r="A2" s="2079" t="s">
        <v>1067</v>
      </c>
      <c r="B2" s="2080"/>
      <c r="C2" s="2080"/>
      <c r="D2" s="2080"/>
      <c r="E2" s="2080"/>
      <c r="F2" s="2080"/>
      <c r="G2" s="2081"/>
      <c r="I2" s="2094" t="s">
        <v>1089</v>
      </c>
      <c r="J2" s="2080"/>
      <c r="K2" s="2080"/>
      <c r="L2" s="2080"/>
      <c r="M2" s="2080"/>
      <c r="N2" s="2081"/>
    </row>
    <row r="3" spans="1:14">
      <c r="A3" s="53"/>
      <c r="B3" s="36"/>
      <c r="C3" s="36"/>
      <c r="D3" s="36"/>
      <c r="E3" s="36"/>
      <c r="F3" s="36"/>
      <c r="G3" s="54"/>
      <c r="I3" s="53"/>
      <c r="J3" s="36"/>
      <c r="K3" s="36"/>
      <c r="L3" s="36"/>
      <c r="M3" s="36"/>
      <c r="N3" s="54"/>
    </row>
    <row r="4" spans="1:14" s="1950" customFormat="1" ht="30">
      <c r="A4" s="2082"/>
      <c r="B4" s="2083">
        <v>2014</v>
      </c>
      <c r="C4" s="2083">
        <v>2015</v>
      </c>
      <c r="D4" s="2083">
        <v>2016</v>
      </c>
      <c r="E4" s="2083">
        <v>2017</v>
      </c>
      <c r="F4" s="2083">
        <v>2018</v>
      </c>
      <c r="G4" s="2084" t="s">
        <v>1064</v>
      </c>
      <c r="I4" s="628"/>
      <c r="J4" s="2083">
        <v>2015</v>
      </c>
      <c r="K4" s="2083">
        <v>2016</v>
      </c>
      <c r="L4" s="2083">
        <v>2017</v>
      </c>
      <c r="M4" s="2083">
        <v>2018</v>
      </c>
      <c r="N4" s="2084" t="s">
        <v>1064</v>
      </c>
    </row>
    <row r="5" spans="1:14">
      <c r="A5" s="2085" t="s">
        <v>1050</v>
      </c>
      <c r="B5" s="2086"/>
      <c r="C5" s="2086"/>
      <c r="D5" s="2086"/>
      <c r="E5" s="2086">
        <v>7025</v>
      </c>
      <c r="F5" s="2086">
        <v>7175</v>
      </c>
      <c r="G5" s="2097">
        <f>F5/E5-1</f>
        <v>2.1352313167259718E-2</v>
      </c>
      <c r="I5" s="2085" t="s">
        <v>1058</v>
      </c>
      <c r="J5" s="2086">
        <v>59301</v>
      </c>
      <c r="K5" s="36">
        <v>60187</v>
      </c>
      <c r="L5" s="36">
        <v>59894</v>
      </c>
      <c r="M5" s="2086">
        <v>61508</v>
      </c>
      <c r="N5" s="2097">
        <f>M5/L5-1</f>
        <v>2.6947607439810284E-2</v>
      </c>
    </row>
    <row r="6" spans="1:14">
      <c r="A6" s="53"/>
      <c r="B6" s="36"/>
      <c r="C6" s="36"/>
      <c r="D6" s="36"/>
      <c r="E6" s="36"/>
      <c r="F6" s="36"/>
      <c r="G6" s="2098"/>
      <c r="I6" s="2085" t="s">
        <v>1059</v>
      </c>
      <c r="J6" s="2086">
        <v>25230</v>
      </c>
      <c r="K6" s="36">
        <v>28200</v>
      </c>
      <c r="L6" s="36">
        <v>29160</v>
      </c>
      <c r="M6" s="2086">
        <v>30105</v>
      </c>
      <c r="N6" s="2097">
        <f t="shared" ref="N6:N9" si="0">M6/L6-1</f>
        <v>3.240740740740744E-2</v>
      </c>
    </row>
    <row r="7" spans="1:14">
      <c r="A7" s="53"/>
      <c r="B7" s="36"/>
      <c r="C7" s="36"/>
      <c r="D7" s="36"/>
      <c r="E7" s="36"/>
      <c r="F7" s="36"/>
      <c r="G7" s="2098"/>
      <c r="I7" s="2095"/>
      <c r="J7" s="2096">
        <f>SUM(J4:J6)</f>
        <v>86546</v>
      </c>
      <c r="K7" s="2096">
        <f t="shared" ref="K7:M7" si="1">SUM(K4:K6)</f>
        <v>90403</v>
      </c>
      <c r="L7" s="2096">
        <f t="shared" si="1"/>
        <v>91071</v>
      </c>
      <c r="M7" s="2096">
        <f t="shared" si="1"/>
        <v>93631</v>
      </c>
      <c r="N7" s="2097">
        <f t="shared" si="0"/>
        <v>2.8109936203621455E-2</v>
      </c>
    </row>
    <row r="8" spans="1:14">
      <c r="A8" s="53"/>
      <c r="B8" s="36"/>
      <c r="C8" s="36"/>
      <c r="D8" s="36"/>
      <c r="E8" s="36"/>
      <c r="F8" s="36"/>
      <c r="G8" s="2098"/>
      <c r="I8" s="53"/>
      <c r="J8" s="36"/>
      <c r="K8" s="36"/>
      <c r="L8" s="36"/>
      <c r="M8" s="36"/>
      <c r="N8" s="2097"/>
    </row>
    <row r="9" spans="1:14">
      <c r="A9" s="2087" t="s">
        <v>1053</v>
      </c>
      <c r="B9" s="2088"/>
      <c r="C9" s="2088"/>
      <c r="D9" s="2088"/>
      <c r="E9" s="2088">
        <f>E5/4</f>
        <v>1756.25</v>
      </c>
      <c r="F9" s="2088">
        <f>F5/4</f>
        <v>1793.75</v>
      </c>
      <c r="G9" s="2097">
        <f>F9/E9-1</f>
        <v>2.1352313167259718E-2</v>
      </c>
      <c r="I9" s="2087" t="s">
        <v>1053</v>
      </c>
      <c r="J9" s="2088">
        <f>(J5+J6)/4</f>
        <v>21132.75</v>
      </c>
      <c r="K9" s="2088">
        <f t="shared" ref="K9:M9" si="2">(K5+K6)/4</f>
        <v>22096.75</v>
      </c>
      <c r="L9" s="2088">
        <f t="shared" si="2"/>
        <v>22263.5</v>
      </c>
      <c r="M9" s="2088">
        <f t="shared" si="2"/>
        <v>22903.25</v>
      </c>
      <c r="N9" s="2097">
        <f t="shared" si="0"/>
        <v>2.8735374042715645E-2</v>
      </c>
    </row>
    <row r="10" spans="1:14" ht="15.75" thickBot="1">
      <c r="A10" s="2089"/>
      <c r="B10" s="2090"/>
      <c r="C10" s="2090"/>
      <c r="D10" s="2090"/>
      <c r="E10" s="2091" t="s">
        <v>1063</v>
      </c>
      <c r="F10" s="2092"/>
      <c r="G10" s="2093"/>
      <c r="I10" s="2089"/>
      <c r="J10" s="3933" t="s">
        <v>1088</v>
      </c>
      <c r="K10" s="3933"/>
      <c r="L10" s="3933"/>
      <c r="M10" s="3933"/>
      <c r="N10" s="2093"/>
    </row>
    <row r="11" spans="1:14">
      <c r="A11" s="1889"/>
      <c r="B11" s="1890"/>
      <c r="C11" s="1890"/>
      <c r="D11" s="1890"/>
      <c r="E11" s="1890"/>
    </row>
  </sheetData>
  <mergeCells count="1">
    <mergeCell ref="J10:M10"/>
  </mergeCells>
  <pageMargins left="0.70866141732283472" right="0.70866141732283472" top="0.74803149606299213" bottom="0.74803149606299213" header="0.31496062992125984" footer="0.31496062992125984"/>
  <pageSetup paperSize="9" scale="74" orientation="landscape" verticalDpi="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L10"/>
  <sheetViews>
    <sheetView workbookViewId="0">
      <selection activeCell="H11" sqref="H11"/>
    </sheetView>
  </sheetViews>
  <sheetFormatPr baseColWidth="10" defaultRowHeight="15"/>
  <cols>
    <col min="1" max="1" width="27.85546875" customWidth="1"/>
    <col min="2" max="3" width="0" hidden="1" customWidth="1"/>
    <col min="8" max="8" width="22.7109375" customWidth="1"/>
    <col min="9" max="12" width="11.140625" customWidth="1"/>
  </cols>
  <sheetData>
    <row r="1" spans="1:12" s="55" customFormat="1">
      <c r="A1" s="1895" t="s">
        <v>1115</v>
      </c>
      <c r="H1" s="1896" t="s">
        <v>1116</v>
      </c>
      <c r="I1" s="1896"/>
      <c r="J1" s="1896"/>
      <c r="K1" s="1896"/>
    </row>
    <row r="3" spans="1:12" s="1886" customFormat="1">
      <c r="A3" s="1900"/>
      <c r="B3" s="1901">
        <v>2014</v>
      </c>
      <c r="C3" s="1901">
        <v>2015</v>
      </c>
      <c r="D3" s="1901">
        <v>2016</v>
      </c>
      <c r="E3" s="1901">
        <v>2017</v>
      </c>
      <c r="F3" s="2170" t="s">
        <v>1007</v>
      </c>
      <c r="I3" s="700">
        <v>2016</v>
      </c>
      <c r="J3" s="700">
        <v>2016</v>
      </c>
      <c r="K3" s="700">
        <v>2017</v>
      </c>
      <c r="L3" s="1901">
        <v>2018</v>
      </c>
    </row>
    <row r="4" spans="1:12">
      <c r="A4" s="1887" t="s">
        <v>1050</v>
      </c>
      <c r="B4" s="1888"/>
      <c r="C4" s="1888"/>
      <c r="D4" s="1888">
        <v>5981</v>
      </c>
      <c r="E4" s="1888">
        <v>6110</v>
      </c>
      <c r="F4" s="1888">
        <f>E4+(E4*4%)</f>
        <v>6354.4</v>
      </c>
      <c r="H4" s="1887" t="s">
        <v>1058</v>
      </c>
      <c r="I4" s="2335">
        <f>11549+7843+8176+15477</f>
        <v>43045</v>
      </c>
      <c r="J4" s="2335">
        <f>12117+8269+8850+16668</f>
        <v>45904</v>
      </c>
      <c r="K4" s="2335">
        <f>12685+8695+9524+17859</f>
        <v>48763</v>
      </c>
      <c r="L4" s="2336">
        <f>13253+9121+10198+19050</f>
        <v>51622</v>
      </c>
    </row>
    <row r="5" spans="1:12">
      <c r="A5" s="1891" t="s">
        <v>1053</v>
      </c>
      <c r="B5" s="1890"/>
      <c r="C5" s="1890"/>
      <c r="D5" s="1890">
        <f>D4/4</f>
        <v>1495.25</v>
      </c>
      <c r="E5" s="1890">
        <f>E4/4</f>
        <v>1527.5</v>
      </c>
      <c r="F5" s="1890">
        <f>F4/4</f>
        <v>1588.6</v>
      </c>
      <c r="H5" s="1887" t="s">
        <v>1059</v>
      </c>
      <c r="I5" s="2335">
        <f>6270+6195+6480+6075</f>
        <v>25020</v>
      </c>
      <c r="J5" s="2335">
        <f>8475+8160+6780+6645</f>
        <v>30060</v>
      </c>
      <c r="K5" s="2335">
        <f>8565+8085+6780+7095</f>
        <v>30525</v>
      </c>
      <c r="L5" s="2336">
        <f>8595+7155+7215+7035</f>
        <v>30000</v>
      </c>
    </row>
    <row r="6" spans="1:12">
      <c r="A6" s="1893" t="s">
        <v>1057</v>
      </c>
      <c r="B6" s="1890"/>
      <c r="C6" s="1890"/>
      <c r="D6" s="1890"/>
      <c r="E6" s="1890"/>
      <c r="H6" s="1899" t="s">
        <v>33</v>
      </c>
      <c r="I6" s="1898">
        <f t="shared" ref="I6:K6" si="0">I4+I5</f>
        <v>68065</v>
      </c>
      <c r="J6" s="1898">
        <f t="shared" si="0"/>
        <v>75964</v>
      </c>
      <c r="K6" s="1898">
        <f t="shared" si="0"/>
        <v>79288</v>
      </c>
      <c r="L6" s="1898">
        <f>L4+L5</f>
        <v>81622</v>
      </c>
    </row>
    <row r="7" spans="1:12">
      <c r="A7" s="1889"/>
      <c r="B7" s="1890"/>
      <c r="C7" s="1890"/>
      <c r="D7" s="1890"/>
      <c r="E7" s="2169">
        <f>E4/D4-1</f>
        <v>2.1568299615448927E-2</v>
      </c>
      <c r="F7" s="2169">
        <f>F4/E4-1</f>
        <v>4.0000000000000036E-2</v>
      </c>
      <c r="J7" s="1608">
        <f t="shared" ref="J7:K7" si="1">J6/I6-1</f>
        <v>0.11605083376184533</v>
      </c>
      <c r="K7" s="1608">
        <f t="shared" si="1"/>
        <v>4.3757569374966998E-2</v>
      </c>
      <c r="L7" s="1608">
        <f>L6/K6-1</f>
        <v>2.9436989203914798E-2</v>
      </c>
    </row>
    <row r="8" spans="1:12">
      <c r="A8" s="1889"/>
      <c r="B8" s="1890"/>
      <c r="C8" s="1890"/>
      <c r="D8" s="1890"/>
      <c r="E8" s="2169"/>
      <c r="F8" s="2169"/>
      <c r="J8" s="1608"/>
      <c r="K8" s="1608"/>
      <c r="L8" s="1608"/>
    </row>
    <row r="9" spans="1:12">
      <c r="A9" s="1889"/>
      <c r="B9" s="1890"/>
      <c r="C9" s="1890"/>
      <c r="D9" s="1890"/>
      <c r="E9" s="1890"/>
      <c r="H9" s="1891" t="s">
        <v>1053</v>
      </c>
      <c r="I9" s="1890">
        <f t="shared" ref="I9:K9" si="2">(I4+I5)/4</f>
        <v>17016.25</v>
      </c>
      <c r="J9" s="1890">
        <f t="shared" si="2"/>
        <v>18991</v>
      </c>
      <c r="K9" s="1890">
        <f t="shared" si="2"/>
        <v>19822</v>
      </c>
      <c r="L9" s="1890">
        <f>(L4+L5)/4</f>
        <v>20405.5</v>
      </c>
    </row>
    <row r="10" spans="1:12" s="1609" customFormat="1">
      <c r="H10" s="1897" t="s">
        <v>1139</v>
      </c>
      <c r="I10" s="1897"/>
      <c r="J10" s="1897"/>
      <c r="K10" s="1897"/>
      <c r="L10"/>
    </row>
  </sheetData>
  <pageMargins left="0.70866141732283472" right="0.70866141732283472" top="0.74803149606299213" bottom="0.74803149606299213" header="0.31496062992125984" footer="0.31496062992125984"/>
  <pageSetup paperSize="9" scale="85" orientation="landscape" verticalDpi="597"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L9"/>
  <sheetViews>
    <sheetView workbookViewId="0">
      <selection activeCell="G12" sqref="G12"/>
    </sheetView>
  </sheetViews>
  <sheetFormatPr baseColWidth="10" defaultRowHeight="15"/>
  <cols>
    <col min="1" max="1" width="27.85546875" customWidth="1"/>
    <col min="2" max="3" width="11.42578125" hidden="1" customWidth="1"/>
    <col min="9" max="9" width="22.7109375" customWidth="1"/>
    <col min="10" max="11" width="11.42578125" customWidth="1"/>
  </cols>
  <sheetData>
    <row r="1" spans="1:12" s="55" customFormat="1">
      <c r="A1" s="1895" t="s">
        <v>1119</v>
      </c>
      <c r="I1" s="1896" t="s">
        <v>1121</v>
      </c>
      <c r="J1" s="1896"/>
      <c r="K1" s="1896"/>
    </row>
    <row r="3" spans="1:12" s="2171" customFormat="1">
      <c r="A3" s="1900"/>
      <c r="B3" s="1901">
        <v>2014</v>
      </c>
      <c r="C3" s="1901">
        <v>2015</v>
      </c>
      <c r="D3" s="1901">
        <v>2016</v>
      </c>
      <c r="E3" s="1901">
        <v>2017</v>
      </c>
      <c r="F3" s="2170" t="s">
        <v>1007</v>
      </c>
      <c r="J3" s="700">
        <v>2016</v>
      </c>
      <c r="K3" s="700">
        <v>2017</v>
      </c>
      <c r="L3" s="1901">
        <v>2018</v>
      </c>
    </row>
    <row r="4" spans="1:12">
      <c r="A4" s="1887" t="s">
        <v>1050</v>
      </c>
      <c r="B4" s="1888"/>
      <c r="C4" s="1888"/>
      <c r="D4" s="1888">
        <v>9283</v>
      </c>
      <c r="E4" s="1888">
        <v>10220</v>
      </c>
      <c r="F4" s="2337">
        <f>E4+(E4*4%)</f>
        <v>10628.8</v>
      </c>
      <c r="I4" s="1887" t="s">
        <v>1058</v>
      </c>
      <c r="J4" s="1887"/>
      <c r="K4" s="1887"/>
      <c r="L4" s="1888"/>
    </row>
    <row r="5" spans="1:12">
      <c r="A5" s="1891" t="s">
        <v>1120</v>
      </c>
      <c r="B5" s="1890"/>
      <c r="C5" s="1890"/>
      <c r="D5" s="1890">
        <f>D4/6</f>
        <v>1547.1666666666667</v>
      </c>
      <c r="E5" s="1890">
        <f>E4/6</f>
        <v>1703.3333333333333</v>
      </c>
      <c r="F5" s="2338">
        <f>F4/6</f>
        <v>1771.4666666666665</v>
      </c>
      <c r="I5" s="1887" t="s">
        <v>1059</v>
      </c>
      <c r="J5" s="1887"/>
      <c r="K5" s="1887"/>
      <c r="L5" s="1888"/>
    </row>
    <row r="6" spans="1:12">
      <c r="A6" s="1893" t="s">
        <v>1057</v>
      </c>
      <c r="B6" s="1890"/>
      <c r="C6" s="1890"/>
      <c r="D6" s="1890"/>
      <c r="E6" s="1890"/>
      <c r="I6" s="1899" t="s">
        <v>33</v>
      </c>
      <c r="J6" s="1899"/>
      <c r="K6" s="1899"/>
      <c r="L6" s="1898">
        <f>L4+L5</f>
        <v>0</v>
      </c>
    </row>
    <row r="7" spans="1:12">
      <c r="A7" s="1889"/>
      <c r="B7" s="1890"/>
      <c r="C7" s="1890"/>
      <c r="D7" s="1890"/>
      <c r="E7" s="2169">
        <f>E4/D4-1</f>
        <v>0.10093719702682313</v>
      </c>
      <c r="F7" s="2169">
        <f>F4/E4-1</f>
        <v>4.0000000000000036E-2</v>
      </c>
    </row>
    <row r="8" spans="1:12">
      <c r="A8" s="1889"/>
      <c r="B8" s="1890"/>
      <c r="C8" s="1890"/>
      <c r="D8" s="1890"/>
      <c r="E8" s="1890"/>
      <c r="I8" s="1891" t="s">
        <v>1053</v>
      </c>
      <c r="J8" s="1891"/>
      <c r="K8" s="1891"/>
      <c r="L8" s="1890">
        <f>(L4+L5)/4</f>
        <v>0</v>
      </c>
    </row>
    <row r="9" spans="1:12" s="1609" customFormat="1">
      <c r="I9" s="1897" t="s">
        <v>1117</v>
      </c>
      <c r="J9" s="1897"/>
      <c r="K9" s="1897"/>
      <c r="L9"/>
    </row>
  </sheetData>
  <pageMargins left="0.70866141732283472" right="0.70866141732283472" top="0.74803149606299213" bottom="0.74803149606299213" header="0.31496062992125984" footer="0.31496062992125984"/>
  <pageSetup paperSize="9" scale="85" orientation="landscape" verticalDpi="597"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BR167"/>
  <sheetViews>
    <sheetView showGridLines="0" topLeftCell="AQ1" zoomScale="70" zoomScaleNormal="70" workbookViewId="0">
      <selection activeCell="BC5" sqref="BC5:BC30"/>
    </sheetView>
  </sheetViews>
  <sheetFormatPr baseColWidth="10" defaultColWidth="11.42578125" defaultRowHeight="15"/>
  <cols>
    <col min="1" max="1" width="21.28515625" style="186" customWidth="1"/>
    <col min="2" max="4" width="15.5703125" style="186" customWidth="1"/>
    <col min="5" max="13" width="11.5703125" style="186" customWidth="1"/>
    <col min="14" max="16" width="11.5703125" style="1609" customWidth="1"/>
    <col min="17" max="17" width="5.5703125" style="186" customWidth="1"/>
    <col min="18" max="18" width="31.85546875" style="1609" bestFit="1" customWidth="1"/>
    <col min="19" max="20" width="11.42578125" style="1609"/>
    <col min="21" max="21" width="11.42578125" style="1609" customWidth="1"/>
    <col min="22" max="30" width="11.42578125" style="1609"/>
    <col min="31" max="31" width="13" style="186" bestFit="1" customWidth="1"/>
    <col min="32" max="32" width="3.5703125" style="186" customWidth="1"/>
    <col min="33" max="33" width="26.5703125" style="186" customWidth="1"/>
    <col min="34" max="43" width="11.28515625" style="186" customWidth="1"/>
    <col min="44" max="45" width="16.42578125" style="186" customWidth="1"/>
    <col min="46" max="48" width="16.42578125" style="1609" customWidth="1"/>
    <col min="49" max="52" width="11.42578125" style="186"/>
    <col min="53" max="53" width="4.5703125" style="186" bestFit="1" customWidth="1"/>
    <col min="54" max="54" width="8.85546875" style="186" bestFit="1" customWidth="1"/>
    <col min="55" max="55" width="16.85546875" style="186" bestFit="1" customWidth="1"/>
    <col min="56" max="16384" width="11.42578125" style="186"/>
  </cols>
  <sheetData>
    <row r="1" spans="1:59" ht="15.75" thickBot="1">
      <c r="A1" s="195" t="s">
        <v>752</v>
      </c>
      <c r="B1" s="195"/>
      <c r="C1" s="195"/>
      <c r="D1" s="195"/>
      <c r="E1" s="195"/>
      <c r="F1" s="195"/>
      <c r="G1" s="195"/>
      <c r="H1" s="195"/>
      <c r="I1" s="196"/>
      <c r="J1" s="196"/>
      <c r="K1" s="196"/>
      <c r="L1" s="196"/>
      <c r="M1" s="196"/>
      <c r="N1" s="196"/>
      <c r="O1" s="196"/>
      <c r="P1" s="196"/>
      <c r="Q1" s="196"/>
      <c r="R1" s="663"/>
      <c r="S1" s="3191" t="s">
        <v>1415</v>
      </c>
      <c r="T1" s="3163"/>
      <c r="U1" s="3163" t="s">
        <v>34</v>
      </c>
      <c r="V1" s="3163"/>
      <c r="W1" s="3163"/>
      <c r="X1" s="3163"/>
      <c r="Y1" s="3163"/>
      <c r="Z1" s="3163"/>
      <c r="AA1" s="3163"/>
      <c r="AB1" s="3163"/>
      <c r="AC1" s="3163"/>
      <c r="AD1" s="3164"/>
      <c r="AE1" s="1609"/>
      <c r="AG1" s="195" t="s">
        <v>160</v>
      </c>
      <c r="AL1" s="186" t="s">
        <v>165</v>
      </c>
    </row>
    <row r="2" spans="1:59" s="2732" customFormat="1" ht="45">
      <c r="A2" s="2734" t="s">
        <v>161</v>
      </c>
      <c r="B2" s="3934" t="s">
        <v>609</v>
      </c>
      <c r="C2" s="3935"/>
      <c r="D2" s="3935"/>
      <c r="E2" s="3935"/>
      <c r="F2" s="3935"/>
      <c r="G2" s="3935"/>
      <c r="H2" s="3935"/>
      <c r="I2" s="3935"/>
      <c r="J2" s="3935"/>
      <c r="K2" s="3935"/>
      <c r="L2" s="3935"/>
      <c r="M2" s="3936"/>
      <c r="N2" s="2815" t="s">
        <v>1339</v>
      </c>
      <c r="O2" s="2814" t="s">
        <v>1340</v>
      </c>
      <c r="P2" s="2814" t="s">
        <v>1340</v>
      </c>
      <c r="Q2" s="2735"/>
      <c r="R2" s="965"/>
      <c r="S2" s="3192" t="s">
        <v>37</v>
      </c>
      <c r="T2" s="3165" t="s">
        <v>206</v>
      </c>
      <c r="U2" s="3165" t="s">
        <v>652</v>
      </c>
      <c r="V2" s="3165" t="s">
        <v>207</v>
      </c>
      <c r="W2" s="3165" t="s">
        <v>208</v>
      </c>
      <c r="X2" s="3165" t="s">
        <v>199</v>
      </c>
      <c r="Y2" s="3165" t="s">
        <v>43</v>
      </c>
      <c r="Z2" s="3165" t="s">
        <v>44</v>
      </c>
      <c r="AA2" s="3165" t="s">
        <v>45</v>
      </c>
      <c r="AB2" s="3165" t="s">
        <v>46</v>
      </c>
      <c r="AC2" s="3165" t="s">
        <v>47</v>
      </c>
      <c r="AD2" s="3166" t="s">
        <v>48</v>
      </c>
      <c r="AG2" s="2734" t="s">
        <v>161</v>
      </c>
      <c r="AH2" s="2736" t="s">
        <v>167</v>
      </c>
      <c r="AI2" s="2733" t="s">
        <v>49</v>
      </c>
      <c r="AJ2" s="2733" t="s">
        <v>49</v>
      </c>
      <c r="AK2" s="2733" t="s">
        <v>168</v>
      </c>
      <c r="AL2" s="2733" t="s">
        <v>168</v>
      </c>
      <c r="AM2" s="2733" t="s">
        <v>49</v>
      </c>
      <c r="AN2" s="2733" t="s">
        <v>49</v>
      </c>
      <c r="AO2" s="2733" t="s">
        <v>49</v>
      </c>
      <c r="AP2" s="2733" t="s">
        <v>49</v>
      </c>
      <c r="AQ2" s="2733" t="s">
        <v>49</v>
      </c>
      <c r="AR2" s="2733" t="s">
        <v>49</v>
      </c>
      <c r="AS2" s="2730" t="s">
        <v>1203</v>
      </c>
      <c r="AT2" s="2823" t="s">
        <v>1204</v>
      </c>
      <c r="AU2" s="2731" t="s">
        <v>1341</v>
      </c>
      <c r="AV2" s="2731" t="s">
        <v>1341</v>
      </c>
      <c r="BA2" s="2732" t="s">
        <v>636</v>
      </c>
      <c r="BC2" s="2732" t="s">
        <v>637</v>
      </c>
      <c r="BD2" s="2732" t="s">
        <v>645</v>
      </c>
      <c r="BE2" s="2732" t="s">
        <v>646</v>
      </c>
    </row>
    <row r="3" spans="1:59" s="657" customFormat="1" ht="15.75" thickBot="1">
      <c r="A3" s="654" t="s">
        <v>166</v>
      </c>
      <c r="B3" s="975">
        <v>2006</v>
      </c>
      <c r="C3" s="975">
        <v>2007</v>
      </c>
      <c r="D3" s="975">
        <v>2008</v>
      </c>
      <c r="E3" s="975">
        <v>2009</v>
      </c>
      <c r="F3" s="975">
        <v>2010</v>
      </c>
      <c r="G3" s="975">
        <v>2011</v>
      </c>
      <c r="H3" s="975">
        <v>2012</v>
      </c>
      <c r="I3" s="975">
        <v>2013</v>
      </c>
      <c r="J3" s="975">
        <v>2014</v>
      </c>
      <c r="K3" s="975">
        <v>2015</v>
      </c>
      <c r="L3" s="975">
        <f>AR3</f>
        <v>2016</v>
      </c>
      <c r="M3" s="1308" t="s">
        <v>696</v>
      </c>
      <c r="N3" s="2816" t="s">
        <v>1007</v>
      </c>
      <c r="O3" s="1308" t="s">
        <v>1007</v>
      </c>
      <c r="P3" s="3195" t="s">
        <v>1135</v>
      </c>
      <c r="Q3" s="824"/>
      <c r="R3" s="965"/>
      <c r="S3" s="3193" t="s">
        <v>694</v>
      </c>
      <c r="T3" s="2753" t="s">
        <v>694</v>
      </c>
      <c r="U3" s="2753" t="s">
        <v>694</v>
      </c>
      <c r="V3" s="2753" t="s">
        <v>694</v>
      </c>
      <c r="W3" s="2753" t="s">
        <v>694</v>
      </c>
      <c r="X3" s="2753" t="s">
        <v>694</v>
      </c>
      <c r="Y3" s="2753" t="s">
        <v>694</v>
      </c>
      <c r="Z3" s="2753" t="s">
        <v>694</v>
      </c>
      <c r="AA3" s="2753" t="s">
        <v>694</v>
      </c>
      <c r="AB3" s="2753" t="s">
        <v>694</v>
      </c>
      <c r="AC3" s="2753" t="s">
        <v>694</v>
      </c>
      <c r="AD3" s="3194" t="s">
        <v>694</v>
      </c>
      <c r="AE3" s="1609"/>
      <c r="AG3" s="654" t="s">
        <v>166</v>
      </c>
      <c r="AH3" s="947">
        <v>2006</v>
      </c>
      <c r="AI3" s="948">
        <v>2007</v>
      </c>
      <c r="AJ3" s="948">
        <v>2008</v>
      </c>
      <c r="AK3" s="948">
        <v>2009</v>
      </c>
      <c r="AL3" s="948">
        <v>2010</v>
      </c>
      <c r="AM3" s="948">
        <v>2011</v>
      </c>
      <c r="AN3" s="948">
        <v>2012</v>
      </c>
      <c r="AO3" s="948">
        <v>2013</v>
      </c>
      <c r="AP3" s="948">
        <v>2014</v>
      </c>
      <c r="AQ3" s="948">
        <v>2015</v>
      </c>
      <c r="AR3" s="948">
        <v>2016</v>
      </c>
      <c r="AS3" s="946" t="s">
        <v>696</v>
      </c>
      <c r="AT3" s="2820" t="s">
        <v>1413</v>
      </c>
      <c r="AU3" s="946" t="s">
        <v>1007</v>
      </c>
      <c r="AV3" s="3168" t="s">
        <v>1135</v>
      </c>
      <c r="AZ3" s="186"/>
      <c r="BA3" s="186" t="s">
        <v>636</v>
      </c>
      <c r="BB3" s="186" t="s">
        <v>638</v>
      </c>
      <c r="BC3" s="186" t="s">
        <v>639</v>
      </c>
      <c r="BD3" s="186"/>
      <c r="BE3" s="186"/>
      <c r="BF3" s="186"/>
      <c r="BG3" s="186"/>
    </row>
    <row r="4" spans="1:59" s="657" customFormat="1" ht="18" customHeight="1" thickBot="1">
      <c r="A4" s="654"/>
      <c r="B4" s="975"/>
      <c r="C4" s="975"/>
      <c r="D4" s="975"/>
      <c r="E4" s="975"/>
      <c r="F4" s="975"/>
      <c r="G4" s="975"/>
      <c r="H4" s="975"/>
      <c r="I4" s="975"/>
      <c r="J4" s="975"/>
      <c r="K4" s="975"/>
      <c r="L4" s="975"/>
      <c r="M4" s="1307" t="s">
        <v>898</v>
      </c>
      <c r="N4" s="2816" t="s">
        <v>1110</v>
      </c>
      <c r="O4" s="1954" t="s">
        <v>1110</v>
      </c>
      <c r="P4" s="1954" t="s">
        <v>1110</v>
      </c>
      <c r="Q4" s="824"/>
      <c r="R4" s="3177" t="s">
        <v>1337</v>
      </c>
      <c r="S4" s="3181">
        <f>S20+S20*S10</f>
        <v>49.12824192369046</v>
      </c>
      <c r="T4" s="2755">
        <f t="shared" ref="T4:AD4" si="0">T20+T20*T10</f>
        <v>52.851571352171433</v>
      </c>
      <c r="U4" s="2755">
        <f t="shared" si="0"/>
        <v>53.36327</v>
      </c>
      <c r="V4" s="2755">
        <f t="shared" si="0"/>
        <v>51.029290000000003</v>
      </c>
      <c r="W4" s="2755">
        <f t="shared" si="0"/>
        <v>47.565249113530641</v>
      </c>
      <c r="X4" s="2755">
        <f t="shared" si="0"/>
        <v>52.281689064582174</v>
      </c>
      <c r="Y4" s="2755">
        <f t="shared" si="0"/>
        <v>52.53</v>
      </c>
      <c r="Z4" s="2755">
        <f t="shared" si="0"/>
        <v>49.306209510106079</v>
      </c>
      <c r="AA4" s="2755">
        <f t="shared" si="0"/>
        <v>52.239733066052487</v>
      </c>
      <c r="AB4" s="2755">
        <f t="shared" si="0"/>
        <v>64.515110325116282</v>
      </c>
      <c r="AC4" s="2755">
        <f t="shared" si="0"/>
        <v>52.920974017457659</v>
      </c>
      <c r="AD4" s="2756">
        <f t="shared" si="0"/>
        <v>43.815973227470693</v>
      </c>
      <c r="AE4" s="202"/>
      <c r="AG4" s="949"/>
      <c r="AH4" s="950"/>
      <c r="AI4" s="950"/>
      <c r="AJ4" s="950"/>
      <c r="AK4" s="950"/>
      <c r="AL4" s="950"/>
      <c r="AM4" s="950"/>
      <c r="AN4" s="950"/>
      <c r="AO4" s="950"/>
      <c r="AP4" s="950"/>
      <c r="AQ4" s="950"/>
      <c r="AR4" s="950"/>
      <c r="AS4" s="951"/>
      <c r="AT4" s="2821"/>
      <c r="AU4" s="951"/>
      <c r="AV4" s="3169"/>
      <c r="AZ4" s="186"/>
      <c r="BA4" s="700">
        <f>SUM(BA5:BA20)</f>
        <v>105</v>
      </c>
      <c r="BB4" s="700">
        <f>SUM(BB5:BB20)</f>
        <v>28175</v>
      </c>
      <c r="BC4" s="1342">
        <f>SUM(BC5:BC20)</f>
        <v>730.06847716411744</v>
      </c>
      <c r="BD4" s="700">
        <f>SUM(BD5:BD20)</f>
        <v>1015</v>
      </c>
      <c r="BE4" s="700">
        <f>SUM(BE5:BE20)</f>
        <v>5446.363722860402</v>
      </c>
      <c r="BF4" s="186"/>
      <c r="BG4" s="186"/>
    </row>
    <row r="5" spans="1:59" ht="16.5" thickBot="1">
      <c r="A5" s="201" t="s">
        <v>357</v>
      </c>
      <c r="B5" s="976">
        <v>48.375059198551497</v>
      </c>
      <c r="C5" s="976">
        <v>51.967628115580197</v>
      </c>
      <c r="D5" s="976">
        <v>53.89808563246357</v>
      </c>
      <c r="E5" s="976">
        <v>49.915766115218879</v>
      </c>
      <c r="F5" s="976">
        <v>52.30718839571739</v>
      </c>
      <c r="G5" s="976">
        <v>53.751290875611595</v>
      </c>
      <c r="H5" s="976">
        <v>57.762568107254687</v>
      </c>
      <c r="I5" s="976">
        <v>58.003843053502898</v>
      </c>
      <c r="J5" s="976">
        <f t="shared" ref="J5:O5" si="1">AP5</f>
        <v>56.91449749144774</v>
      </c>
      <c r="K5" s="976">
        <f t="shared" si="1"/>
        <v>52.646506184060037</v>
      </c>
      <c r="L5" s="976">
        <f t="shared" si="1"/>
        <v>46.512730614023319</v>
      </c>
      <c r="M5" s="1309">
        <f t="shared" si="1"/>
        <v>46.020581605453351</v>
      </c>
      <c r="N5" s="2817">
        <f t="shared" si="1"/>
        <v>46.433055555555562</v>
      </c>
      <c r="O5" s="1309">
        <f t="shared" si="1"/>
        <v>50.197122475217498</v>
      </c>
      <c r="P5" s="3196">
        <f>AV5</f>
        <v>51.795609300014824</v>
      </c>
      <c r="Q5" s="963"/>
      <c r="R5" s="3178" t="s">
        <v>1099</v>
      </c>
      <c r="S5" s="3182">
        <f t="shared" ref="S5:AD5" si="2">AVERAGE(S6,S11,S13)</f>
        <v>40.700123231092157</v>
      </c>
      <c r="T5" s="2808">
        <f t="shared" si="2"/>
        <v>48.522449999999999</v>
      </c>
      <c r="U5" s="2808">
        <f t="shared" si="2"/>
        <v>50.930183333333332</v>
      </c>
      <c r="V5" s="2808">
        <f t="shared" si="2"/>
        <v>51.349283333333339</v>
      </c>
      <c r="W5" s="2808">
        <f t="shared" si="2"/>
        <v>45.558583333333331</v>
      </c>
      <c r="X5" s="2808">
        <f t="shared" si="2"/>
        <v>51.977499999999999</v>
      </c>
      <c r="Y5" s="2808">
        <f t="shared" si="2"/>
        <v>47.922133333333335</v>
      </c>
      <c r="Z5" s="2808">
        <f t="shared" si="2"/>
        <v>44.599633333333337</v>
      </c>
      <c r="AA5" s="2808">
        <f t="shared" si="2"/>
        <v>48.7851</v>
      </c>
      <c r="AB5" s="2808">
        <f t="shared" si="2"/>
        <v>53.836950000000002</v>
      </c>
      <c r="AC5" s="2808">
        <f t="shared" si="2"/>
        <v>50.774516666666671</v>
      </c>
      <c r="AD5" s="2809">
        <f t="shared" si="2"/>
        <v>37.141750000000002</v>
      </c>
      <c r="AE5" s="202"/>
      <c r="AG5" s="201" t="s">
        <v>169</v>
      </c>
      <c r="AH5" s="1344">
        <v>48.375059198551497</v>
      </c>
      <c r="AI5" s="203">
        <v>51.967628115580197</v>
      </c>
      <c r="AJ5" s="203">
        <v>53.89808563246357</v>
      </c>
      <c r="AK5" s="1344">
        <v>49.915766115218879</v>
      </c>
      <c r="AL5" s="203">
        <v>52.30718839571739</v>
      </c>
      <c r="AM5" s="203">
        <v>53.751290875611595</v>
      </c>
      <c r="AN5" s="203">
        <v>57.762568107254687</v>
      </c>
      <c r="AO5" s="203">
        <v>58.003843053502898</v>
      </c>
      <c r="AP5" s="203">
        <v>56.91449749144774</v>
      </c>
      <c r="AQ5" s="1752">
        <v>52.646506184060037</v>
      </c>
      <c r="AR5" s="1753">
        <v>46.512730614023319</v>
      </c>
      <c r="AS5" s="1754">
        <f>AVERAGE(S36:AD36)</f>
        <v>46.020581605453351</v>
      </c>
      <c r="AT5" s="2824">
        <f>AVERAGE(S21:AD21)</f>
        <v>46.433055555555562</v>
      </c>
      <c r="AU5" s="1754">
        <f>AVERAGE(S20:AD20)</f>
        <v>50.197122475217498</v>
      </c>
      <c r="AV5" s="3170">
        <f>AVERAGE(S4:AD4)</f>
        <v>51.795609300014824</v>
      </c>
      <c r="AW5" s="1751"/>
      <c r="AX5" s="822"/>
      <c r="BA5" s="186">
        <v>1</v>
      </c>
      <c r="BB5" s="186">
        <v>2006</v>
      </c>
      <c r="BC5" s="3507">
        <f>AH5</f>
        <v>48.375059198551497</v>
      </c>
      <c r="BD5" s="186">
        <f>BA5^2</f>
        <v>1</v>
      </c>
      <c r="BE5" s="186">
        <f>BA5*BC5</f>
        <v>48.375059198551497</v>
      </c>
    </row>
    <row r="6" spans="1:59" ht="15.75">
      <c r="A6" s="204" t="str">
        <f>AG6</f>
        <v>5 estrellas - Lujo</v>
      </c>
      <c r="B6" s="977">
        <v>67.85119661120612</v>
      </c>
      <c r="C6" s="977">
        <v>71.102153932831911</v>
      </c>
      <c r="D6" s="977">
        <v>71.50575775394951</v>
      </c>
      <c r="E6" s="977">
        <v>62.861776384029497</v>
      </c>
      <c r="F6" s="977">
        <v>66.861811372641952</v>
      </c>
      <c r="G6" s="977">
        <v>69.368258591218705</v>
      </c>
      <c r="H6" s="977">
        <v>74.754902797291749</v>
      </c>
      <c r="I6" s="977">
        <v>72.996543651867498</v>
      </c>
      <c r="J6" s="977">
        <f t="shared" ref="J6:K8" si="3">AP6</f>
        <v>71.928309465167587</v>
      </c>
      <c r="K6" s="977">
        <f t="shared" si="3"/>
        <v>64.822142260364402</v>
      </c>
      <c r="L6" s="977">
        <f t="shared" ref="L6:N8" si="4">AR6</f>
        <v>56.255716656902933</v>
      </c>
      <c r="M6" s="1310">
        <f t="shared" si="4"/>
        <v>55.680000000000007</v>
      </c>
      <c r="N6" s="2818">
        <f t="shared" si="4"/>
        <v>58.598333333333329</v>
      </c>
      <c r="O6" s="1310">
        <f>AU6</f>
        <v>58.598333333333329</v>
      </c>
      <c r="P6" s="3197">
        <f t="shared" ref="P6:P8" si="5">AV6</f>
        <v>60.454041666666662</v>
      </c>
      <c r="Q6" s="963"/>
      <c r="R6" s="2794" t="s">
        <v>1215</v>
      </c>
      <c r="S6" s="3183">
        <f t="shared" ref="S6:V6" si="6">AVERAGE(S7:S8)</f>
        <v>50.44</v>
      </c>
      <c r="T6" s="3173">
        <f t="shared" si="6"/>
        <v>62.137349999999998</v>
      </c>
      <c r="U6" s="3173">
        <f t="shared" si="6"/>
        <v>59.060549999999999</v>
      </c>
      <c r="V6" s="3173">
        <f t="shared" si="6"/>
        <v>68.557850000000002</v>
      </c>
      <c r="W6" s="3173">
        <f>AVERAGE(W7:W8)</f>
        <v>58.39575</v>
      </c>
      <c r="X6" s="3173">
        <f t="shared" ref="X6:AD6" si="7">AVERAGE(X7:X8)</f>
        <v>61.172499999999999</v>
      </c>
      <c r="Y6" s="3173">
        <f t="shared" si="7"/>
        <v>57.246400000000001</v>
      </c>
      <c r="Z6" s="3173">
        <f t="shared" si="7"/>
        <v>52.428899999999999</v>
      </c>
      <c r="AA6" s="3173">
        <f t="shared" si="7"/>
        <v>64.985299999999995</v>
      </c>
      <c r="AB6" s="3173">
        <f t="shared" si="7"/>
        <v>63.660850000000003</v>
      </c>
      <c r="AC6" s="3173">
        <f t="shared" si="7"/>
        <v>66.833550000000002</v>
      </c>
      <c r="AD6" s="3175">
        <f t="shared" si="7"/>
        <v>50.655250000000002</v>
      </c>
      <c r="AE6" s="202"/>
      <c r="AG6" s="204" t="s">
        <v>1206</v>
      </c>
      <c r="AH6" s="205">
        <v>67.85119661120612</v>
      </c>
      <c r="AI6" s="205">
        <v>71.102153932831911</v>
      </c>
      <c r="AJ6" s="205">
        <v>71.50575775394951</v>
      </c>
      <c r="AK6" s="205">
        <v>62.861776384029497</v>
      </c>
      <c r="AL6" s="205">
        <v>66.861811372641952</v>
      </c>
      <c r="AM6" s="205">
        <v>69.368258591218705</v>
      </c>
      <c r="AN6" s="205">
        <v>74.754902797291749</v>
      </c>
      <c r="AO6" s="205">
        <v>72.996543651867498</v>
      </c>
      <c r="AP6" s="205">
        <v>71.928309465167587</v>
      </c>
      <c r="AQ6" s="205">
        <v>64.822142260364402</v>
      </c>
      <c r="AR6" s="1412">
        <v>56.255716656902933</v>
      </c>
      <c r="AS6" s="2727">
        <f>AVERAGE(S39:AD39)</f>
        <v>55.680000000000007</v>
      </c>
      <c r="AT6" s="2825">
        <f>AVERAGE(S24:AD24)</f>
        <v>58.598333333333329</v>
      </c>
      <c r="AU6" s="2727">
        <f>AVERAGE(S24:AD24)</f>
        <v>58.598333333333329</v>
      </c>
      <c r="AV6" s="3171">
        <f>AVERAGE(S8:AD8)</f>
        <v>60.454041666666662</v>
      </c>
      <c r="BA6" s="186">
        <v>2</v>
      </c>
      <c r="BB6" s="186">
        <v>2007</v>
      </c>
      <c r="BC6" s="3507">
        <f>AI5</f>
        <v>51.967628115580197</v>
      </c>
      <c r="BD6" s="186">
        <f t="shared" ref="BD6:BD18" si="8">BA6^2</f>
        <v>4</v>
      </c>
      <c r="BE6" s="186">
        <f t="shared" ref="BE6:BE18" si="9">BA6*BC6</f>
        <v>103.93525623116039</v>
      </c>
    </row>
    <row r="7" spans="1:59" ht="15.75">
      <c r="A7" s="204" t="str">
        <f t="shared" ref="A7:A8" si="10">AG7</f>
        <v>4 Estrellas - Primera</v>
      </c>
      <c r="B7" s="977">
        <v>45.725166885376801</v>
      </c>
      <c r="C7" s="977">
        <v>49.828368996479348</v>
      </c>
      <c r="D7" s="977">
        <v>52.801422006218871</v>
      </c>
      <c r="E7" s="977">
        <v>49.163328262440885</v>
      </c>
      <c r="F7" s="977">
        <v>53.046269359602803</v>
      </c>
      <c r="G7" s="977">
        <v>55.398690212968717</v>
      </c>
      <c r="H7" s="977">
        <v>58.917943104015279</v>
      </c>
      <c r="I7" s="977">
        <v>61.425279513620964</v>
      </c>
      <c r="J7" s="977">
        <f t="shared" si="3"/>
        <v>61.063023474311244</v>
      </c>
      <c r="K7" s="977">
        <f t="shared" si="3"/>
        <v>55.378711204374724</v>
      </c>
      <c r="L7" s="977">
        <f t="shared" si="4"/>
        <v>48.255950576103231</v>
      </c>
      <c r="M7" s="1310">
        <f t="shared" si="4"/>
        <v>50.666666666666664</v>
      </c>
      <c r="N7" s="2818">
        <f t="shared" si="4"/>
        <v>55</v>
      </c>
      <c r="O7" s="1310">
        <f>AU7</f>
        <v>55</v>
      </c>
      <c r="P7" s="3197">
        <f t="shared" si="5"/>
        <v>58.882586745064032</v>
      </c>
      <c r="Q7" s="963"/>
      <c r="R7" s="2738" t="s">
        <v>1209</v>
      </c>
      <c r="S7" s="3184">
        <v>49</v>
      </c>
      <c r="T7" s="2754">
        <v>63</v>
      </c>
      <c r="U7" s="2754">
        <v>58</v>
      </c>
      <c r="V7" s="2754">
        <v>71</v>
      </c>
      <c r="W7" s="2754">
        <v>57</v>
      </c>
      <c r="X7" s="2754">
        <v>59</v>
      </c>
      <c r="Y7" s="2754">
        <v>55</v>
      </c>
      <c r="Z7" s="2754">
        <v>50</v>
      </c>
      <c r="AA7" s="2754">
        <v>63</v>
      </c>
      <c r="AB7" s="2754">
        <v>61</v>
      </c>
      <c r="AC7" s="2754">
        <f>AC23*1.05</f>
        <v>65.100000000000009</v>
      </c>
      <c r="AD7" s="2797">
        <f>AD23*1.05</f>
        <v>54.6</v>
      </c>
      <c r="AE7" s="1447"/>
      <c r="AG7" s="204" t="s">
        <v>1207</v>
      </c>
      <c r="AH7" s="205">
        <v>45.725166885376801</v>
      </c>
      <c r="AI7" s="205">
        <v>49.828368996479348</v>
      </c>
      <c r="AJ7" s="205">
        <v>52.801422006218871</v>
      </c>
      <c r="AK7" s="205">
        <v>49.163328262440885</v>
      </c>
      <c r="AL7" s="205">
        <v>53.046269359602803</v>
      </c>
      <c r="AM7" s="205">
        <v>55.398690212968717</v>
      </c>
      <c r="AN7" s="205">
        <v>58.917943104015279</v>
      </c>
      <c r="AO7" s="205">
        <v>61.425279513620964</v>
      </c>
      <c r="AP7" s="205">
        <v>61.063023474311244</v>
      </c>
      <c r="AQ7" s="205">
        <v>55.378711204374724</v>
      </c>
      <c r="AR7" s="1412">
        <v>48.255950576103231</v>
      </c>
      <c r="AS7" s="1304">
        <f>AVERAGE(S40:AD40)</f>
        <v>50.666666666666664</v>
      </c>
      <c r="AT7" s="2825">
        <f>AVERAGE(S26:AD26)</f>
        <v>55</v>
      </c>
      <c r="AU7" s="1304">
        <f>AVERAGE(S26:AD26)</f>
        <v>55</v>
      </c>
      <c r="AV7" s="3171">
        <f>AVERAGE(S12:AD12)</f>
        <v>58.882586745064032</v>
      </c>
      <c r="BA7" s="186">
        <v>3</v>
      </c>
      <c r="BB7" s="186">
        <v>2008</v>
      </c>
      <c r="BC7" s="3507">
        <f>AJ5</f>
        <v>53.89808563246357</v>
      </c>
      <c r="BD7" s="186">
        <f t="shared" si="8"/>
        <v>9</v>
      </c>
      <c r="BE7" s="186">
        <f t="shared" si="9"/>
        <v>161.69425689739072</v>
      </c>
    </row>
    <row r="8" spans="1:59" ht="16.5" thickBot="1">
      <c r="A8" s="206" t="str">
        <f t="shared" si="10"/>
        <v>3 Estrellas - Segunda</v>
      </c>
      <c r="B8" s="978">
        <v>33.695896638353872</v>
      </c>
      <c r="C8" s="978">
        <v>37.241662894922221</v>
      </c>
      <c r="D8" s="978">
        <v>39.832995607695793</v>
      </c>
      <c r="E8" s="978">
        <v>39.618641966407949</v>
      </c>
      <c r="F8" s="978">
        <v>40.020842075944657</v>
      </c>
      <c r="G8" s="978">
        <v>39.850230173474912</v>
      </c>
      <c r="H8" s="978">
        <v>42.948439320799231</v>
      </c>
      <c r="I8" s="978">
        <v>42.685597701509735</v>
      </c>
      <c r="J8" s="978">
        <f t="shared" si="3"/>
        <v>40.793439968219424</v>
      </c>
      <c r="K8" s="978">
        <f t="shared" si="3"/>
        <v>40.019455322143479</v>
      </c>
      <c r="L8" s="978">
        <f t="shared" si="4"/>
        <v>36.569361252115065</v>
      </c>
      <c r="M8" s="1311">
        <f t="shared" si="4"/>
        <v>27.666666666666668</v>
      </c>
      <c r="N8" s="2819">
        <f t="shared" si="4"/>
        <v>25.833333333333332</v>
      </c>
      <c r="O8" s="1311">
        <f>AU8</f>
        <v>43.385741017973068</v>
      </c>
      <c r="P8" s="3198">
        <f t="shared" si="5"/>
        <v>43.385741017973068</v>
      </c>
      <c r="Q8" s="963"/>
      <c r="R8" s="3942" t="s">
        <v>1417</v>
      </c>
      <c r="S8" s="3185">
        <v>51.88</v>
      </c>
      <c r="T8" s="3167">
        <f>T24*1.03</f>
        <v>61.274700000000003</v>
      </c>
      <c r="U8" s="3167">
        <f t="shared" ref="U8:AD8" si="11">U24*1.03</f>
        <v>60.121099999999998</v>
      </c>
      <c r="V8" s="3167">
        <f t="shared" si="11"/>
        <v>66.115700000000004</v>
      </c>
      <c r="W8" s="3167">
        <f t="shared" si="11"/>
        <v>59.791499999999999</v>
      </c>
      <c r="X8" s="3167">
        <f t="shared" si="11"/>
        <v>63.344999999999999</v>
      </c>
      <c r="Y8" s="3167">
        <f t="shared" si="11"/>
        <v>59.492800000000003</v>
      </c>
      <c r="Z8" s="3167">
        <f t="shared" si="11"/>
        <v>54.857799999999997</v>
      </c>
      <c r="AA8" s="3167">
        <f t="shared" si="11"/>
        <v>66.970600000000005</v>
      </c>
      <c r="AB8" s="3167">
        <f t="shared" si="11"/>
        <v>66.321700000000007</v>
      </c>
      <c r="AC8" s="3167">
        <f t="shared" si="11"/>
        <v>68.567099999999996</v>
      </c>
      <c r="AD8" s="3186">
        <f t="shared" si="11"/>
        <v>46.710500000000003</v>
      </c>
      <c r="AE8" s="1447"/>
      <c r="AG8" s="206" t="s">
        <v>1208</v>
      </c>
      <c r="AH8" s="207">
        <v>33.695896638353872</v>
      </c>
      <c r="AI8" s="207">
        <v>37.241662894922221</v>
      </c>
      <c r="AJ8" s="207">
        <v>39.832995607695793</v>
      </c>
      <c r="AK8" s="207">
        <v>39.618641966407949</v>
      </c>
      <c r="AL8" s="207">
        <v>40.020842075944657</v>
      </c>
      <c r="AM8" s="207">
        <v>39.850230173474912</v>
      </c>
      <c r="AN8" s="207">
        <v>42.948439320799231</v>
      </c>
      <c r="AO8" s="207">
        <v>42.685597701509735</v>
      </c>
      <c r="AP8" s="207">
        <v>40.793439968219424</v>
      </c>
      <c r="AQ8" s="207">
        <v>40.019455322143479</v>
      </c>
      <c r="AR8" s="1413">
        <v>36.569361252115065</v>
      </c>
      <c r="AS8" s="1305">
        <f>AVERAGE(S42:AD42)</f>
        <v>27.666666666666668</v>
      </c>
      <c r="AT8" s="2826">
        <f>AVERAGE(S28:AD28)</f>
        <v>25.833333333333332</v>
      </c>
      <c r="AU8" s="1305">
        <f>AVERAGE(S29:AD29)</f>
        <v>43.385741017973068</v>
      </c>
      <c r="AV8" s="3172">
        <f>AVERAGE(S14:AD14)</f>
        <v>43.385741017973068</v>
      </c>
      <c r="BA8" s="186">
        <v>4</v>
      </c>
      <c r="BB8" s="186">
        <v>2009</v>
      </c>
      <c r="BC8" s="3507">
        <f>AK5</f>
        <v>49.915766115218879</v>
      </c>
      <c r="BD8" s="186">
        <f t="shared" si="8"/>
        <v>16</v>
      </c>
      <c r="BE8" s="186">
        <f t="shared" si="9"/>
        <v>199.66306446087552</v>
      </c>
    </row>
    <row r="9" spans="1:59" s="662" customFormat="1" ht="25.5">
      <c r="A9" s="1593" t="s">
        <v>932</v>
      </c>
      <c r="B9" s="658"/>
      <c r="C9" s="968">
        <f t="shared" ref="C9:J9" si="12">C5-B5</f>
        <v>3.5925689170287001</v>
      </c>
      <c r="D9" s="968">
        <f t="shared" si="12"/>
        <v>1.9304575168833722</v>
      </c>
      <c r="E9" s="968">
        <f t="shared" si="12"/>
        <v>-3.9823195172446901</v>
      </c>
      <c r="F9" s="968">
        <f t="shared" si="12"/>
        <v>2.3914222804985101</v>
      </c>
      <c r="G9" s="968">
        <f t="shared" si="12"/>
        <v>1.4441024798942053</v>
      </c>
      <c r="H9" s="968">
        <f t="shared" si="12"/>
        <v>4.011277231643092</v>
      </c>
      <c r="I9" s="968">
        <f t="shared" si="12"/>
        <v>0.24127494624821111</v>
      </c>
      <c r="J9" s="968">
        <f t="shared" si="12"/>
        <v>-1.0893455620551578</v>
      </c>
      <c r="K9" s="968">
        <f>K5-J5</f>
        <v>-4.2679913073877032</v>
      </c>
      <c r="L9" s="968">
        <f>L5-K5</f>
        <v>-6.1337755700367182</v>
      </c>
      <c r="M9" s="968">
        <f>M5-L5</f>
        <v>-0.49214900856996735</v>
      </c>
      <c r="N9" s="968"/>
      <c r="O9" s="968">
        <f>O5-M5</f>
        <v>4.1765408697641462</v>
      </c>
      <c r="P9" s="968">
        <f>P5-O5</f>
        <v>1.5984868247973267</v>
      </c>
      <c r="Q9" s="661"/>
      <c r="R9" s="3942"/>
      <c r="S9" s="3187" t="s">
        <v>1412</v>
      </c>
      <c r="T9" s="3174"/>
      <c r="U9" s="3174"/>
      <c r="V9" s="3174"/>
      <c r="W9" s="3174"/>
      <c r="X9" s="3174"/>
      <c r="Y9" s="3174"/>
      <c r="Z9" s="3174"/>
      <c r="AA9" s="3174"/>
      <c r="AB9" s="3174"/>
      <c r="AC9" s="3174"/>
      <c r="AD9" s="3176"/>
      <c r="AE9" s="1447"/>
      <c r="AG9" s="200"/>
      <c r="AH9" s="200"/>
      <c r="AI9" s="200"/>
      <c r="AJ9" s="200"/>
      <c r="AK9" s="200"/>
      <c r="AL9" s="200"/>
      <c r="AM9" s="200"/>
      <c r="AN9" s="200"/>
      <c r="AO9" s="200"/>
      <c r="AP9" s="200"/>
      <c r="AQ9" s="967" t="s">
        <v>612</v>
      </c>
      <c r="AR9" s="967" t="s">
        <v>697</v>
      </c>
      <c r="AS9" s="1306" t="s">
        <v>898</v>
      </c>
      <c r="AT9" s="2827"/>
      <c r="AU9" s="1953" t="s">
        <v>1087</v>
      </c>
      <c r="AV9" s="1953" t="s">
        <v>1087</v>
      </c>
      <c r="AZ9" s="186"/>
      <c r="BA9" s="186">
        <v>5</v>
      </c>
      <c r="BB9" s="186">
        <v>2010</v>
      </c>
      <c r="BC9" s="3507">
        <f>AL5</f>
        <v>52.30718839571739</v>
      </c>
      <c r="BD9" s="186">
        <f t="shared" si="8"/>
        <v>25</v>
      </c>
      <c r="BE9" s="186">
        <f t="shared" si="9"/>
        <v>261.53594197858695</v>
      </c>
      <c r="BF9" s="186"/>
      <c r="BG9" s="186"/>
    </row>
    <row r="10" spans="1:59" s="662" customFormat="1">
      <c r="A10" s="1593"/>
      <c r="B10" s="658"/>
      <c r="C10" s="968"/>
      <c r="D10" s="968"/>
      <c r="E10" s="968"/>
      <c r="F10" s="968"/>
      <c r="G10" s="968"/>
      <c r="H10" s="968"/>
      <c r="I10" s="968"/>
      <c r="J10" s="968"/>
      <c r="K10" s="968"/>
      <c r="L10" s="968"/>
      <c r="M10" s="968"/>
      <c r="N10" s="968"/>
      <c r="O10" s="968"/>
      <c r="P10" s="968"/>
      <c r="Q10" s="661"/>
      <c r="R10" s="3202"/>
      <c r="S10" s="3203">
        <f>S8/S24-1</f>
        <v>5.382896607759502E-2</v>
      </c>
      <c r="T10" s="3174">
        <f t="shared" ref="T10:AD10" si="13">T8/T24-1</f>
        <v>3.0000000000000027E-2</v>
      </c>
      <c r="U10" s="3174">
        <f t="shared" si="13"/>
        <v>3.0000000000000027E-2</v>
      </c>
      <c r="V10" s="3174">
        <f t="shared" si="13"/>
        <v>3.0000000000000027E-2</v>
      </c>
      <c r="W10" s="3174">
        <f t="shared" si="13"/>
        <v>3.0000000000000027E-2</v>
      </c>
      <c r="X10" s="3174">
        <f t="shared" si="13"/>
        <v>3.0000000000000027E-2</v>
      </c>
      <c r="Y10" s="3174">
        <f t="shared" si="13"/>
        <v>3.0000000000000027E-2</v>
      </c>
      <c r="Z10" s="3174">
        <f t="shared" si="13"/>
        <v>3.0000000000000027E-2</v>
      </c>
      <c r="AA10" s="3174">
        <f t="shared" si="13"/>
        <v>3.0000000000000027E-2</v>
      </c>
      <c r="AB10" s="3174">
        <f t="shared" si="13"/>
        <v>3.0000000000000027E-2</v>
      </c>
      <c r="AC10" s="3174">
        <f t="shared" si="13"/>
        <v>3.0000000000000027E-2</v>
      </c>
      <c r="AD10" s="3176">
        <f t="shared" si="13"/>
        <v>3.0000000000000027E-2</v>
      </c>
      <c r="AE10" s="1447"/>
      <c r="AG10" s="1610"/>
      <c r="AH10" s="1610"/>
      <c r="AI10" s="1610"/>
      <c r="AJ10" s="1610"/>
      <c r="AK10" s="1610"/>
      <c r="AL10" s="1610"/>
      <c r="AM10" s="1610"/>
      <c r="AN10" s="1610"/>
      <c r="AO10" s="1610"/>
      <c r="AP10" s="1610"/>
      <c r="AQ10" s="967"/>
      <c r="AR10" s="967"/>
      <c r="AS10" s="1306"/>
      <c r="AT10" s="2827"/>
      <c r="AU10" s="1953"/>
      <c r="AV10" s="1953"/>
      <c r="AZ10" s="1609"/>
      <c r="BA10" s="1609"/>
      <c r="BB10" s="1609"/>
      <c r="BC10" s="3507"/>
      <c r="BD10" s="1609"/>
      <c r="BE10" s="1609"/>
      <c r="BF10" s="1609"/>
      <c r="BG10" s="1609"/>
    </row>
    <row r="11" spans="1:59" ht="15.75">
      <c r="A11" s="658"/>
      <c r="B11" s="658"/>
      <c r="C11" s="658"/>
      <c r="D11" s="658"/>
      <c r="E11" s="659"/>
      <c r="F11" s="659"/>
      <c r="G11" s="659"/>
      <c r="H11" s="659"/>
      <c r="I11" s="659"/>
      <c r="J11" s="659"/>
      <c r="K11" s="968"/>
      <c r="L11" s="969"/>
      <c r="M11" s="969"/>
      <c r="N11" s="969"/>
      <c r="O11" s="969"/>
      <c r="P11" s="969"/>
      <c r="R11" s="2802" t="s">
        <v>1211</v>
      </c>
      <c r="S11" s="3188">
        <f>S26+S26*S10</f>
        <v>45.314645541336589</v>
      </c>
      <c r="T11" s="2804">
        <f t="shared" ref="T11:AD11" si="14">T26+T26*T10</f>
        <v>60.77</v>
      </c>
      <c r="U11" s="2804">
        <f t="shared" si="14"/>
        <v>62.83</v>
      </c>
      <c r="V11" s="2804">
        <f t="shared" si="14"/>
        <v>59.74</v>
      </c>
      <c r="W11" s="2804">
        <f t="shared" si="14"/>
        <v>54.59</v>
      </c>
      <c r="X11" s="2804">
        <f t="shared" si="14"/>
        <v>62.83</v>
      </c>
      <c r="Y11" s="2804">
        <f t="shared" si="14"/>
        <v>56.65</v>
      </c>
      <c r="Z11" s="2804">
        <f t="shared" si="14"/>
        <v>54.59</v>
      </c>
      <c r="AA11" s="2804">
        <f t="shared" si="14"/>
        <v>57.68</v>
      </c>
      <c r="AB11" s="2804">
        <f t="shared" si="14"/>
        <v>63.86</v>
      </c>
      <c r="AC11" s="2804">
        <f t="shared" si="14"/>
        <v>60.77</v>
      </c>
      <c r="AD11" s="2805">
        <f t="shared" si="14"/>
        <v>41.2</v>
      </c>
      <c r="AE11" s="200"/>
      <c r="AH11" s="1343"/>
      <c r="AI11" s="1345">
        <f t="shared" ref="AI11:AQ11" si="15">AI5-AH5</f>
        <v>3.5925689170287001</v>
      </c>
      <c r="AJ11" s="1345">
        <f t="shared" si="15"/>
        <v>1.9304575168833722</v>
      </c>
      <c r="AK11" s="1346">
        <f t="shared" si="15"/>
        <v>-3.9823195172446901</v>
      </c>
      <c r="AL11" s="1345">
        <f t="shared" si="15"/>
        <v>2.3914222804985101</v>
      </c>
      <c r="AM11" s="1345">
        <f t="shared" si="15"/>
        <v>1.4441024798942053</v>
      </c>
      <c r="AN11" s="1345">
        <f t="shared" si="15"/>
        <v>4.011277231643092</v>
      </c>
      <c r="AO11" s="1345">
        <f t="shared" si="15"/>
        <v>0.24127494624821111</v>
      </c>
      <c r="AP11" s="1345">
        <f t="shared" si="15"/>
        <v>-1.0893455620551578</v>
      </c>
      <c r="AQ11" s="1346">
        <f t="shared" si="15"/>
        <v>-4.2679913073877032</v>
      </c>
      <c r="AR11" s="1346">
        <f>AR5-AQ5</f>
        <v>-6.1337755700367182</v>
      </c>
      <c r="AS11" s="1346">
        <f>AS5-AR5</f>
        <v>-0.49214900856996735</v>
      </c>
      <c r="AT11" s="2822">
        <f>AT5-AS5</f>
        <v>0.41247395010221055</v>
      </c>
      <c r="AU11" s="1346">
        <f>AU5-AS5</f>
        <v>4.1765408697641462</v>
      </c>
      <c r="AV11" s="1346">
        <f>AV5-AU5</f>
        <v>1.5984868247973267</v>
      </c>
      <c r="BA11" s="186">
        <v>6</v>
      </c>
      <c r="BB11" s="186">
        <v>2011</v>
      </c>
      <c r="BC11" s="3507">
        <f>AM5</f>
        <v>53.751290875611595</v>
      </c>
      <c r="BD11" s="186">
        <f t="shared" si="8"/>
        <v>36</v>
      </c>
      <c r="BE11" s="186">
        <f t="shared" si="9"/>
        <v>322.50774525366955</v>
      </c>
    </row>
    <row r="12" spans="1:59" ht="15.75">
      <c r="A12" s="658"/>
      <c r="B12" s="952" t="s">
        <v>1205</v>
      </c>
      <c r="C12" s="658"/>
      <c r="D12" s="658"/>
      <c r="E12" s="659"/>
      <c r="F12" s="659"/>
      <c r="G12" s="659"/>
      <c r="H12" s="659"/>
      <c r="I12" s="659"/>
      <c r="J12" s="659"/>
      <c r="K12" s="660"/>
      <c r="L12" s="660"/>
      <c r="M12" s="660"/>
      <c r="N12" s="660"/>
      <c r="O12" s="660"/>
      <c r="P12" s="660"/>
      <c r="R12" s="2799" t="s">
        <v>1338</v>
      </c>
      <c r="S12" s="3189">
        <f>S27</f>
        <v>46.629727594339634</v>
      </c>
      <c r="T12" s="2800">
        <f t="shared" ref="T12:AD12" si="16">T27</f>
        <v>51.933741745283008</v>
      </c>
      <c r="U12" s="2800">
        <f t="shared" si="16"/>
        <v>53.491753997641496</v>
      </c>
      <c r="V12" s="2800">
        <f t="shared" si="16"/>
        <v>55.096506617570739</v>
      </c>
      <c r="W12" s="2800">
        <f t="shared" si="16"/>
        <v>56.749401816097858</v>
      </c>
      <c r="X12" s="2800">
        <f t="shared" si="16"/>
        <v>58.451883870580794</v>
      </c>
      <c r="Y12" s="2800">
        <f t="shared" si="16"/>
        <v>55.01</v>
      </c>
      <c r="Z12" s="2800">
        <f t="shared" si="16"/>
        <v>62.01160359829916</v>
      </c>
      <c r="AA12" s="2800">
        <f t="shared" si="16"/>
        <v>63.871951706248133</v>
      </c>
      <c r="AB12" s="2800">
        <f t="shared" si="16"/>
        <v>65.788110257435577</v>
      </c>
      <c r="AC12" s="2800">
        <f t="shared" si="16"/>
        <v>67.761753565158642</v>
      </c>
      <c r="AD12" s="2801">
        <f t="shared" si="16"/>
        <v>69.794606172113404</v>
      </c>
      <c r="BA12" s="186">
        <v>7</v>
      </c>
      <c r="BB12" s="186">
        <v>2012</v>
      </c>
      <c r="BC12" s="3507">
        <f>AN5</f>
        <v>57.762568107254687</v>
      </c>
      <c r="BD12" s="186">
        <f t="shared" si="8"/>
        <v>49</v>
      </c>
      <c r="BE12" s="186">
        <f t="shared" si="9"/>
        <v>404.33797675078279</v>
      </c>
    </row>
    <row r="13" spans="1:59" ht="15.75">
      <c r="A13" s="658"/>
      <c r="B13" s="3225" t="s">
        <v>1097</v>
      </c>
      <c r="C13" s="2112" t="s">
        <v>1098</v>
      </c>
      <c r="D13" s="2113"/>
      <c r="E13" s="2114"/>
      <c r="F13" s="2114"/>
      <c r="G13" s="2114"/>
      <c r="H13" s="2114"/>
      <c r="I13" s="2114"/>
      <c r="J13" s="659"/>
      <c r="K13" s="660"/>
      <c r="L13" s="660"/>
      <c r="M13" s="660"/>
      <c r="N13" s="660"/>
      <c r="O13" s="660"/>
      <c r="P13" s="660"/>
      <c r="R13" s="2802" t="s">
        <v>1212</v>
      </c>
      <c r="S13" s="3188">
        <f>S28+S28*S10</f>
        <v>26.345724151939876</v>
      </c>
      <c r="T13" s="2804">
        <f t="shared" ref="T13:AD13" si="17">T28+T28*T10</f>
        <v>22.66</v>
      </c>
      <c r="U13" s="2804">
        <f t="shared" si="17"/>
        <v>30.900000000000002</v>
      </c>
      <c r="V13" s="2804">
        <f t="shared" si="17"/>
        <v>25.75</v>
      </c>
      <c r="W13" s="2804">
        <f t="shared" si="17"/>
        <v>23.69</v>
      </c>
      <c r="X13" s="2804">
        <f t="shared" si="17"/>
        <v>31.93</v>
      </c>
      <c r="Y13" s="2804">
        <f t="shared" si="17"/>
        <v>29.87</v>
      </c>
      <c r="Z13" s="2804">
        <f t="shared" si="17"/>
        <v>26.78</v>
      </c>
      <c r="AA13" s="2804">
        <f t="shared" si="17"/>
        <v>23.69</v>
      </c>
      <c r="AB13" s="2804">
        <f t="shared" si="17"/>
        <v>33.99</v>
      </c>
      <c r="AC13" s="2804">
        <f t="shared" si="17"/>
        <v>24.72</v>
      </c>
      <c r="AD13" s="2805">
        <f t="shared" si="17"/>
        <v>19.57</v>
      </c>
      <c r="AE13" s="200"/>
      <c r="BA13" s="186">
        <v>8</v>
      </c>
      <c r="BB13" s="186">
        <v>2013</v>
      </c>
      <c r="BC13" s="3507">
        <f>AO5</f>
        <v>58.003843053502898</v>
      </c>
      <c r="BD13" s="186">
        <f t="shared" si="8"/>
        <v>64</v>
      </c>
      <c r="BE13" s="186">
        <f t="shared" si="9"/>
        <v>464.03074442802318</v>
      </c>
    </row>
    <row r="14" spans="1:59" ht="16.5" thickBot="1">
      <c r="A14" s="658"/>
      <c r="B14" s="658"/>
      <c r="C14" s="658"/>
      <c r="D14" s="658"/>
      <c r="E14" s="659"/>
      <c r="F14" s="659"/>
      <c r="G14" s="659"/>
      <c r="H14" s="659"/>
      <c r="I14" s="659"/>
      <c r="J14" s="659"/>
      <c r="K14" s="660"/>
      <c r="L14" s="660"/>
      <c r="M14" s="660"/>
      <c r="N14" s="660"/>
      <c r="O14" s="660"/>
      <c r="P14" s="660"/>
      <c r="R14" s="3201" t="s">
        <v>1338</v>
      </c>
      <c r="S14" s="3190">
        <f>S29</f>
        <v>38.714876649746188</v>
      </c>
      <c r="T14" s="2810">
        <f t="shared" ref="T14:AD14" si="18">T29</f>
        <v>38.873088832487319</v>
      </c>
      <c r="U14" s="2810">
        <f t="shared" si="18"/>
        <v>40.039281497461936</v>
      </c>
      <c r="V14" s="2810">
        <f t="shared" si="18"/>
        <v>41.24045994238579</v>
      </c>
      <c r="W14" s="2810">
        <f t="shared" si="18"/>
        <v>42.477673740657366</v>
      </c>
      <c r="X14" s="2810">
        <f t="shared" si="18"/>
        <v>43.752003952877089</v>
      </c>
      <c r="Y14" s="2810">
        <f t="shared" si="18"/>
        <v>29.1</v>
      </c>
      <c r="Z14" s="2810">
        <f t="shared" si="18"/>
        <v>46.416500993607301</v>
      </c>
      <c r="AA14" s="2810">
        <f t="shared" si="18"/>
        <v>47.808996023415517</v>
      </c>
      <c r="AB14" s="2810">
        <f t="shared" si="18"/>
        <v>49.243265904117983</v>
      </c>
      <c r="AC14" s="2810">
        <f t="shared" si="18"/>
        <v>50.720563881241524</v>
      </c>
      <c r="AD14" s="2811">
        <f t="shared" si="18"/>
        <v>52.24218079767877</v>
      </c>
      <c r="BA14" s="186">
        <v>9</v>
      </c>
      <c r="BB14" s="186">
        <v>2014</v>
      </c>
      <c r="BC14" s="3507">
        <f>AP5</f>
        <v>56.91449749144774</v>
      </c>
      <c r="BD14" s="186">
        <f t="shared" si="8"/>
        <v>81</v>
      </c>
      <c r="BE14" s="186">
        <f t="shared" si="9"/>
        <v>512.2304774230297</v>
      </c>
    </row>
    <row r="15" spans="1:59" ht="15.75" thickBot="1">
      <c r="A15" s="210"/>
      <c r="B15" s="210"/>
      <c r="C15" s="210"/>
      <c r="D15" s="210"/>
      <c r="E15" s="571" t="s">
        <v>622</v>
      </c>
      <c r="F15" s="572"/>
      <c r="G15" s="573"/>
      <c r="H15" s="573"/>
      <c r="I15" s="573"/>
      <c r="J15" s="573"/>
      <c r="K15" s="573"/>
      <c r="L15" s="573"/>
      <c r="M15" s="573"/>
      <c r="N15" s="573"/>
      <c r="O15" s="573"/>
      <c r="P15" s="573"/>
      <c r="R15" s="1955"/>
      <c r="S15" s="2792">
        <f>S5/S21-1</f>
        <v>4.2568156882350383E-2</v>
      </c>
      <c r="T15" s="2793">
        <f t="shared" ref="T15:AD15" si="19">IF((T5/T21-1)=-100%,"",T5/T21-1)</f>
        <v>2.3356532742802916E-2</v>
      </c>
      <c r="U15" s="2793">
        <f t="shared" si="19"/>
        <v>2.416831450883139E-2</v>
      </c>
      <c r="V15" s="2793">
        <f t="shared" si="19"/>
        <v>2.2928052060161574E-2</v>
      </c>
      <c r="W15" s="2793">
        <f t="shared" si="19"/>
        <v>2.3596704736940532E-2</v>
      </c>
      <c r="X15" s="2793">
        <f t="shared" si="19"/>
        <v>2.4187192118226619E-2</v>
      </c>
      <c r="Y15" s="2793">
        <f t="shared" si="19"/>
        <v>2.4123094457900063E-2</v>
      </c>
      <c r="Z15" s="2793">
        <f t="shared" si="19"/>
        <v>2.4258592972517867E-2</v>
      </c>
      <c r="AA15" s="2793">
        <f t="shared" si="19"/>
        <v>2.3392070484581584E-2</v>
      </c>
      <c r="AB15" s="2793">
        <f t="shared" si="19"/>
        <v>2.4197660039950719E-2</v>
      </c>
      <c r="AC15" s="2793">
        <f t="shared" si="19"/>
        <v>3.4209525749397507E-2</v>
      </c>
      <c r="AD15" s="2793">
        <f t="shared" si="19"/>
        <v>3.4829347573717362E-2</v>
      </c>
      <c r="AE15" s="202"/>
      <c r="BA15" s="186">
        <v>10</v>
      </c>
      <c r="BB15" s="186">
        <v>2015</v>
      </c>
      <c r="BC15" s="3507">
        <f>AQ5</f>
        <v>52.646506184060037</v>
      </c>
      <c r="BD15" s="186">
        <f t="shared" si="8"/>
        <v>100</v>
      </c>
      <c r="BE15" s="186">
        <f t="shared" si="9"/>
        <v>526.46506184060036</v>
      </c>
    </row>
    <row r="16" spans="1:59" ht="27" customHeight="1" thickBot="1">
      <c r="A16" s="210"/>
      <c r="B16" s="210"/>
      <c r="C16" s="210"/>
      <c r="D16" s="210"/>
      <c r="E16" s="3939" t="s">
        <v>655</v>
      </c>
      <c r="F16" s="3939"/>
      <c r="G16" s="3939"/>
      <c r="H16" s="3939"/>
      <c r="I16" s="3939"/>
      <c r="J16" s="3939"/>
      <c r="K16" s="3939"/>
      <c r="L16" s="3939"/>
      <c r="M16" s="3939"/>
      <c r="N16" s="1949"/>
      <c r="O16" s="2791"/>
      <c r="P16" s="3094"/>
      <c r="R16" s="2745"/>
      <c r="S16" s="2745"/>
      <c r="T16" s="2745"/>
      <c r="U16" s="2745"/>
      <c r="V16" s="2745"/>
      <c r="W16" s="2745"/>
      <c r="X16" s="2745"/>
      <c r="Y16" s="2745"/>
      <c r="Z16" s="2745"/>
      <c r="AA16" s="2745"/>
      <c r="AB16" s="2745"/>
      <c r="AC16" s="2745"/>
      <c r="AD16" s="2745"/>
      <c r="AE16" s="2726"/>
      <c r="BA16" s="186">
        <v>11</v>
      </c>
      <c r="BB16" s="186">
        <v>2016</v>
      </c>
      <c r="BC16" s="3507">
        <f>AR5</f>
        <v>46.512730614023319</v>
      </c>
      <c r="BD16" s="186">
        <f t="shared" si="8"/>
        <v>121</v>
      </c>
      <c r="BE16" s="186">
        <f t="shared" si="9"/>
        <v>511.64003675425653</v>
      </c>
    </row>
    <row r="17" spans="1:70" s="1609" customFormat="1">
      <c r="A17" s="210"/>
      <c r="B17" s="210"/>
      <c r="C17" s="210"/>
      <c r="D17" s="210"/>
      <c r="E17" s="3939" t="s">
        <v>610</v>
      </c>
      <c r="F17" s="3939"/>
      <c r="G17" s="3939"/>
      <c r="H17" s="3939"/>
      <c r="I17" s="3939"/>
      <c r="J17" s="3939"/>
      <c r="K17" s="3939"/>
      <c r="L17" s="3939"/>
      <c r="M17" s="3939"/>
      <c r="N17" s="2683"/>
      <c r="O17" s="2791"/>
      <c r="P17" s="3094"/>
      <c r="R17" s="663"/>
      <c r="S17" s="3220" t="s">
        <v>1414</v>
      </c>
      <c r="T17" s="1951"/>
      <c r="U17" s="1951" t="s">
        <v>34</v>
      </c>
      <c r="V17" s="1951"/>
      <c r="W17" s="1951"/>
      <c r="X17" s="1951"/>
      <c r="Y17" s="1951"/>
      <c r="Z17" s="1951"/>
      <c r="AA17" s="1951"/>
      <c r="AB17" s="1951"/>
      <c r="AC17" s="1951"/>
      <c r="AD17" s="1952"/>
      <c r="AE17" s="2726"/>
      <c r="BC17" s="3507"/>
    </row>
    <row r="18" spans="1:70" s="1609" customFormat="1" ht="27" customHeight="1">
      <c r="A18" s="210"/>
      <c r="B18" s="210"/>
      <c r="C18" s="210"/>
      <c r="D18" s="210"/>
      <c r="E18" s="3939" t="s">
        <v>614</v>
      </c>
      <c r="F18" s="3939"/>
      <c r="G18" s="3939"/>
      <c r="H18" s="3939"/>
      <c r="I18" s="3939"/>
      <c r="J18" s="3939"/>
      <c r="K18" s="3939"/>
      <c r="L18" s="3939"/>
      <c r="M18" s="3939"/>
      <c r="N18" s="2683"/>
      <c r="O18" s="2791"/>
      <c r="P18" s="3094"/>
      <c r="R18" s="965"/>
      <c r="S18" s="3221" t="s">
        <v>37</v>
      </c>
      <c r="T18" s="2728" t="s">
        <v>206</v>
      </c>
      <c r="U18" s="2728" t="s">
        <v>652</v>
      </c>
      <c r="V18" s="2728" t="s">
        <v>207</v>
      </c>
      <c r="W18" s="2728" t="s">
        <v>208</v>
      </c>
      <c r="X18" s="2728" t="s">
        <v>199</v>
      </c>
      <c r="Y18" s="2728" t="s">
        <v>43</v>
      </c>
      <c r="Z18" s="2728" t="s">
        <v>44</v>
      </c>
      <c r="AA18" s="2728" t="s">
        <v>45</v>
      </c>
      <c r="AB18" s="2728" t="s">
        <v>46</v>
      </c>
      <c r="AC18" s="2728" t="s">
        <v>47</v>
      </c>
      <c r="AD18" s="2729" t="s">
        <v>48</v>
      </c>
      <c r="AE18" s="2726"/>
      <c r="BA18" s="1609">
        <v>12</v>
      </c>
      <c r="BB18" s="1609">
        <v>2017</v>
      </c>
      <c r="BC18" s="3507">
        <f>AS5</f>
        <v>46.020581605453351</v>
      </c>
      <c r="BD18" s="1609">
        <f t="shared" si="8"/>
        <v>144</v>
      </c>
      <c r="BE18" s="1609">
        <f t="shared" si="9"/>
        <v>552.24697926544025</v>
      </c>
      <c r="BG18" s="186"/>
      <c r="BK18" s="186"/>
      <c r="BL18" s="186"/>
      <c r="BM18" s="186"/>
      <c r="BN18" s="186"/>
      <c r="BO18" s="186"/>
      <c r="BP18" s="186"/>
      <c r="BQ18" s="186"/>
      <c r="BR18" s="186"/>
    </row>
    <row r="19" spans="1:70" ht="27" customHeight="1" thickBot="1">
      <c r="A19" s="210"/>
      <c r="B19" s="210"/>
      <c r="C19" s="210"/>
      <c r="D19" s="210"/>
      <c r="E19" s="3939" t="s">
        <v>621</v>
      </c>
      <c r="F19" s="3939"/>
      <c r="G19" s="3939"/>
      <c r="H19" s="3939"/>
      <c r="I19" s="3939"/>
      <c r="J19" s="3939"/>
      <c r="K19" s="3939"/>
      <c r="L19" s="3939"/>
      <c r="M19" s="3939"/>
      <c r="N19" s="1949"/>
      <c r="O19" s="2791"/>
      <c r="P19" s="3094"/>
      <c r="R19" s="965"/>
      <c r="S19" s="3222" t="s">
        <v>1096</v>
      </c>
      <c r="T19" s="2752"/>
      <c r="U19" s="2752"/>
      <c r="V19" s="2752"/>
      <c r="W19" s="2752"/>
      <c r="X19" s="2752"/>
      <c r="Y19" s="3223"/>
      <c r="Z19" s="2752"/>
      <c r="AA19" s="2752"/>
      <c r="AB19" s="2752"/>
      <c r="AC19" s="2753" t="s">
        <v>694</v>
      </c>
      <c r="AD19" s="3194" t="s">
        <v>694</v>
      </c>
      <c r="AE19" s="2726"/>
      <c r="BA19" s="1609">
        <v>13</v>
      </c>
      <c r="BB19" s="1609">
        <v>2018</v>
      </c>
      <c r="BC19" s="3507">
        <f>AU5</f>
        <v>50.197122475217498</v>
      </c>
      <c r="BD19" s="1609">
        <f t="shared" ref="BD19" si="20">BA19^2</f>
        <v>169</v>
      </c>
      <c r="BE19" s="1609">
        <f t="shared" ref="BE19" si="21">BA19*BC19</f>
        <v>652.56259217782747</v>
      </c>
      <c r="BF19" s="1609"/>
      <c r="BN19" s="186" t="s">
        <v>644</v>
      </c>
    </row>
    <row r="20" spans="1:70" ht="27" customHeight="1" thickBot="1">
      <c r="A20" s="210"/>
      <c r="B20" s="210"/>
      <c r="C20" s="210"/>
      <c r="D20" s="210"/>
      <c r="E20" s="3939" t="s">
        <v>620</v>
      </c>
      <c r="F20" s="3939"/>
      <c r="G20" s="3939"/>
      <c r="H20" s="3939"/>
      <c r="I20" s="3939"/>
      <c r="J20" s="3939"/>
      <c r="K20" s="3939"/>
      <c r="L20" s="3939"/>
      <c r="M20" s="3939"/>
      <c r="N20" s="1949"/>
      <c r="O20" s="2791"/>
      <c r="P20" s="3094"/>
      <c r="R20" s="2737" t="s">
        <v>1337</v>
      </c>
      <c r="S20" s="3207">
        <v>46.618800113787223</v>
      </c>
      <c r="T20" s="2751">
        <v>51.312205196282946</v>
      </c>
      <c r="U20" s="2751">
        <v>51.808999999999997</v>
      </c>
      <c r="V20" s="2751">
        <v>49.542999999999999</v>
      </c>
      <c r="W20" s="2751">
        <v>46.179853508282172</v>
      </c>
      <c r="X20" s="2751">
        <v>50.758921421924441</v>
      </c>
      <c r="Y20" s="2751">
        <v>51</v>
      </c>
      <c r="Z20" s="2751">
        <v>47.870106320491338</v>
      </c>
      <c r="AA20" s="2751">
        <v>50.718187442769405</v>
      </c>
      <c r="AB20" s="2751">
        <v>62.636029441860465</v>
      </c>
      <c r="AC20" s="2755">
        <v>51.379586424716173</v>
      </c>
      <c r="AD20" s="2756">
        <v>42.539779832495817</v>
      </c>
      <c r="AE20" s="2726"/>
      <c r="BA20" s="3505">
        <v>14</v>
      </c>
      <c r="BB20" s="3505">
        <v>2019</v>
      </c>
      <c r="BC20" s="3508">
        <f>AV5</f>
        <v>51.795609300014824</v>
      </c>
      <c r="BD20" s="3505">
        <f t="shared" ref="BD20" si="22">BA20^2</f>
        <v>196</v>
      </c>
      <c r="BE20" s="3505">
        <f t="shared" ref="BE20" si="23">BA20*BC20</f>
        <v>725.13853020020758</v>
      </c>
      <c r="BF20" s="3506" t="s">
        <v>694</v>
      </c>
    </row>
    <row r="21" spans="1:70" ht="16.5" thickBot="1">
      <c r="A21" s="210"/>
      <c r="B21" s="210"/>
      <c r="C21" s="210"/>
      <c r="D21" s="210"/>
      <c r="E21" s="3939"/>
      <c r="F21" s="3939"/>
      <c r="G21" s="3939"/>
      <c r="H21" s="3939"/>
      <c r="I21" s="3939"/>
      <c r="J21" s="3939"/>
      <c r="K21" s="3939"/>
      <c r="L21" s="3939"/>
      <c r="M21" s="3939"/>
      <c r="N21" s="1949"/>
      <c r="O21" s="2791"/>
      <c r="P21" s="3094"/>
      <c r="R21" s="2806" t="s">
        <v>1099</v>
      </c>
      <c r="S21" s="3224">
        <f t="shared" ref="S21:AD21" si="24">AVERAGE(S22,S26,S28)</f>
        <v>39.038333333333334</v>
      </c>
      <c r="T21" s="2807">
        <f t="shared" si="24"/>
        <v>47.414999999999999</v>
      </c>
      <c r="U21" s="2807">
        <f t="shared" si="24"/>
        <v>49.728333333333332</v>
      </c>
      <c r="V21" s="2807">
        <f t="shared" si="24"/>
        <v>50.198333333333331</v>
      </c>
      <c r="W21" s="2807">
        <f t="shared" si="24"/>
        <v>44.508333333333333</v>
      </c>
      <c r="X21" s="2807">
        <f t="shared" si="24"/>
        <v>50.75</v>
      </c>
      <c r="Y21" s="2807">
        <f t="shared" si="24"/>
        <v>46.793333333333329</v>
      </c>
      <c r="Z21" s="2807">
        <f t="shared" si="24"/>
        <v>43.543333333333329</v>
      </c>
      <c r="AA21" s="2807">
        <f t="shared" si="24"/>
        <v>47.669999999999995</v>
      </c>
      <c r="AB21" s="2807">
        <f t="shared" si="24"/>
        <v>52.564999999999998</v>
      </c>
      <c r="AC21" s="2808">
        <f t="shared" si="24"/>
        <v>49.094999999999999</v>
      </c>
      <c r="AD21" s="2809">
        <f t="shared" si="24"/>
        <v>35.891666666666666</v>
      </c>
      <c r="AE21" s="2726"/>
      <c r="BA21" s="702">
        <v>15</v>
      </c>
      <c r="BB21" s="702">
        <v>2020</v>
      </c>
      <c r="BC21" s="3509">
        <f t="shared" ref="BC21:BC30" si="25">($BI$25*BA21)+$BI$22</f>
        <v>51.186764109399199</v>
      </c>
    </row>
    <row r="22" spans="1:70">
      <c r="A22" s="210"/>
      <c r="B22" s="210"/>
      <c r="C22" s="210"/>
      <c r="D22" s="210"/>
      <c r="E22" s="3938" t="s">
        <v>619</v>
      </c>
      <c r="F22" s="3938"/>
      <c r="G22" s="3938"/>
      <c r="H22" s="3938"/>
      <c r="I22" s="3938"/>
      <c r="J22" s="3938"/>
      <c r="K22" s="3938"/>
      <c r="L22" s="3938"/>
      <c r="M22" s="570"/>
      <c r="N22" s="1949"/>
      <c r="O22" s="2791"/>
      <c r="P22" s="3094"/>
      <c r="R22" s="2794" t="s">
        <v>1215</v>
      </c>
      <c r="S22" s="2795">
        <f t="shared" ref="S22:V22" si="26">AVERAGE(S23:S24)</f>
        <v>49.114999999999995</v>
      </c>
      <c r="T22" s="2795">
        <f t="shared" si="26"/>
        <v>61.245000000000005</v>
      </c>
      <c r="U22" s="2795">
        <f t="shared" si="26"/>
        <v>58.185000000000002</v>
      </c>
      <c r="V22" s="2795">
        <f t="shared" si="26"/>
        <v>67.594999999999999</v>
      </c>
      <c r="W22" s="2795">
        <f>AVERAGE(W23:W24)</f>
        <v>57.524999999999999</v>
      </c>
      <c r="X22" s="2795">
        <f t="shared" ref="X22" si="27">AVERAGE(X23:X24)</f>
        <v>60.25</v>
      </c>
      <c r="Y22" s="2795">
        <f t="shared" ref="Y22" si="28">AVERAGE(Y23:Y24)</f>
        <v>56.379999999999995</v>
      </c>
      <c r="Z22" s="2795">
        <f t="shared" ref="Z22" si="29">AVERAGE(Z23:Z24)</f>
        <v>51.629999999999995</v>
      </c>
      <c r="AA22" s="2795">
        <f t="shared" ref="AA22" si="30">AVERAGE(AA23:AA24)</f>
        <v>64.009999999999991</v>
      </c>
      <c r="AB22" s="2795">
        <f t="shared" ref="AB22" si="31">AVERAGE(AB23:AB24)</f>
        <v>62.695</v>
      </c>
      <c r="AC22" s="2795">
        <f t="shared" ref="AC22" si="32">AVERAGE(AC23:AC24)</f>
        <v>64.284999999999997</v>
      </c>
      <c r="AD22" s="2796">
        <f t="shared" ref="AD22" si="33">AVERAGE(AD23:AD24)</f>
        <v>48.674999999999997</v>
      </c>
      <c r="AE22" s="202"/>
      <c r="BA22" s="702">
        <v>16</v>
      </c>
      <c r="BB22" s="702">
        <v>2021</v>
      </c>
      <c r="BC22" s="3509">
        <f t="shared" si="25"/>
        <v>51.058632874803685</v>
      </c>
      <c r="BG22" s="701" t="s">
        <v>647</v>
      </c>
      <c r="BH22" s="1341">
        <f>(BC4*BD4)-(BA4*BE4)</f>
        <v>169151.31342123705</v>
      </c>
      <c r="BI22" s="55">
        <f>BH22/BH23</f>
        <v>53.108732628331886</v>
      </c>
      <c r="BL22" s="186" t="s">
        <v>640</v>
      </c>
      <c r="BM22" s="186">
        <f>_xlfn.COVARIANCE.P(BB5:BB18,BC5:BC18)</f>
        <v>-1.1524787121155136</v>
      </c>
    </row>
    <row r="23" spans="1:70" ht="15.75">
      <c r="A23" s="210"/>
      <c r="B23" s="210"/>
      <c r="C23" s="210"/>
      <c r="D23" s="210"/>
      <c r="N23" s="1949"/>
      <c r="O23" s="1756" t="s">
        <v>1416</v>
      </c>
      <c r="P23" s="3094"/>
      <c r="R23" s="2738" t="s">
        <v>1209</v>
      </c>
      <c r="S23" s="2750">
        <v>49</v>
      </c>
      <c r="T23" s="2750">
        <v>63</v>
      </c>
      <c r="U23" s="2750">
        <v>58</v>
      </c>
      <c r="V23" s="2750">
        <v>71</v>
      </c>
      <c r="W23" s="2750">
        <v>57</v>
      </c>
      <c r="X23" s="2750">
        <v>59</v>
      </c>
      <c r="Y23" s="2750">
        <v>55</v>
      </c>
      <c r="Z23" s="2750">
        <v>50</v>
      </c>
      <c r="AA23" s="2750">
        <v>63</v>
      </c>
      <c r="AB23" s="2750">
        <v>61</v>
      </c>
      <c r="AC23" s="2750">
        <v>62</v>
      </c>
      <c r="AD23" s="3179">
        <v>52</v>
      </c>
      <c r="AE23" s="202"/>
      <c r="AG23" s="210"/>
      <c r="AH23" s="215"/>
      <c r="AI23" s="215"/>
      <c r="AJ23" s="215"/>
      <c r="AK23" s="215"/>
      <c r="AL23" s="215"/>
      <c r="AM23" s="215"/>
      <c r="AN23" s="215"/>
      <c r="AO23" s="216"/>
      <c r="AP23" s="217"/>
      <c r="AQ23" s="217"/>
      <c r="AR23" s="215"/>
      <c r="AS23" s="215"/>
      <c r="AT23" s="215"/>
      <c r="AU23" s="215"/>
      <c r="AV23" s="215"/>
      <c r="BA23" s="702">
        <v>17</v>
      </c>
      <c r="BB23" s="702">
        <v>2022</v>
      </c>
      <c r="BC23" s="3509">
        <f t="shared" si="25"/>
        <v>50.93050164020817</v>
      </c>
      <c r="BG23" s="701"/>
      <c r="BH23" s="186">
        <f>(BA20*BD4)-(BA4*BA4)</f>
        <v>3185</v>
      </c>
      <c r="BL23" s="186" t="s">
        <v>641</v>
      </c>
      <c r="BM23" s="186">
        <f>_xlfn.STDEV.P(BB5:BB18)</f>
        <v>3.4520525295346629</v>
      </c>
    </row>
    <row r="24" spans="1:70" ht="15.75">
      <c r="A24" s="210"/>
      <c r="B24" s="210"/>
      <c r="C24" s="210"/>
      <c r="D24" s="210"/>
      <c r="N24" s="570"/>
      <c r="O24" s="570"/>
      <c r="P24" s="570"/>
      <c r="R24" s="2739" t="s">
        <v>1210</v>
      </c>
      <c r="S24" s="2740">
        <v>49.23</v>
      </c>
      <c r="T24" s="2740">
        <v>59.49</v>
      </c>
      <c r="U24" s="2741">
        <v>58.37</v>
      </c>
      <c r="V24" s="2741">
        <v>64.19</v>
      </c>
      <c r="W24" s="2741">
        <v>58.05</v>
      </c>
      <c r="X24" s="2741">
        <v>61.5</v>
      </c>
      <c r="Y24" s="2741">
        <v>57.76</v>
      </c>
      <c r="Z24" s="2741">
        <v>53.26</v>
      </c>
      <c r="AA24" s="2741">
        <v>65.02</v>
      </c>
      <c r="AB24" s="2741">
        <v>64.39</v>
      </c>
      <c r="AC24" s="2741">
        <v>66.569999999999993</v>
      </c>
      <c r="AD24" s="3162">
        <v>45.35</v>
      </c>
      <c r="AE24" s="202"/>
      <c r="AG24" s="210"/>
      <c r="AH24" s="215"/>
      <c r="AI24" s="215"/>
      <c r="AJ24" s="215"/>
      <c r="AK24" s="215"/>
      <c r="AL24" s="215"/>
      <c r="AM24" s="215"/>
      <c r="AN24" s="215"/>
      <c r="AO24" s="216"/>
      <c r="AP24" s="217"/>
      <c r="AQ24" s="217"/>
      <c r="AR24" s="215"/>
      <c r="AS24" s="215"/>
      <c r="AT24" s="215"/>
      <c r="AU24" s="215"/>
      <c r="AV24" s="215"/>
      <c r="BA24" s="702">
        <v>18</v>
      </c>
      <c r="BB24" s="702">
        <v>2023</v>
      </c>
      <c r="BC24" s="3509">
        <f t="shared" si="25"/>
        <v>50.802370405612656</v>
      </c>
      <c r="BL24" s="186" t="s">
        <v>642</v>
      </c>
      <c r="BM24" s="186">
        <f>_xlfn.STDEV.P(BC5:BC18)</f>
        <v>3.900344299639078</v>
      </c>
    </row>
    <row r="25" spans="1:70">
      <c r="A25" s="210"/>
      <c r="B25" s="210"/>
      <c r="C25" s="210"/>
      <c r="D25" s="210"/>
      <c r="E25" s="560"/>
      <c r="F25" s="560"/>
      <c r="G25" s="208"/>
      <c r="H25" s="208"/>
      <c r="I25" s="208"/>
      <c r="J25" s="211"/>
      <c r="K25" s="208"/>
      <c r="L25" s="208"/>
      <c r="M25" s="208"/>
      <c r="N25" s="208"/>
      <c r="O25" s="208"/>
      <c r="P25" s="208"/>
      <c r="R25" s="2742" t="s">
        <v>1201</v>
      </c>
      <c r="S25" s="2743"/>
      <c r="T25" s="2744">
        <f t="shared" ref="T25:AD25" si="34">IF((T24/T39-1)=-100%,"",T24/T39-1)</f>
        <v>4.3501140150850715E-2</v>
      </c>
      <c r="U25" s="2744">
        <f t="shared" si="34"/>
        <v>-1.1180755548026444E-2</v>
      </c>
      <c r="V25" s="2744">
        <f t="shared" si="34"/>
        <v>0.17392099487929769</v>
      </c>
      <c r="W25" s="2744">
        <f t="shared" si="34"/>
        <v>8.2013047530288929E-2</v>
      </c>
      <c r="X25" s="2744">
        <f t="shared" si="34"/>
        <v>4.2019654354455982E-2</v>
      </c>
      <c r="Y25" s="2744">
        <f t="shared" si="34"/>
        <v>1.7797356828193722E-2</v>
      </c>
      <c r="Z25" s="2744">
        <f t="shared" si="34"/>
        <v>-8.7474409082448634E-3</v>
      </c>
      <c r="AA25" s="2744">
        <f t="shared" si="34"/>
        <v>0.14110214110214114</v>
      </c>
      <c r="AB25" s="2744">
        <f t="shared" si="34"/>
        <v>0.11401384083044985</v>
      </c>
      <c r="AC25" s="2744">
        <f t="shared" si="34"/>
        <v>3.7077426390403456E-2</v>
      </c>
      <c r="AD25" s="2798">
        <f t="shared" si="34"/>
        <v>-3.0775994724114852E-3</v>
      </c>
      <c r="AE25" s="202"/>
      <c r="AG25" s="210"/>
      <c r="AH25" s="215"/>
      <c r="AI25" s="215"/>
      <c r="AJ25" s="215"/>
      <c r="AK25" s="215"/>
      <c r="AL25" s="215"/>
      <c r="AM25" s="215"/>
      <c r="AN25" s="215"/>
      <c r="AO25" s="216"/>
      <c r="AP25" s="217"/>
      <c r="AQ25" s="217"/>
      <c r="AR25" s="184" t="s">
        <v>298</v>
      </c>
      <c r="AS25" s="215"/>
      <c r="AT25" s="215"/>
      <c r="AU25" s="215"/>
      <c r="AV25" s="215"/>
      <c r="BA25" s="702">
        <v>19</v>
      </c>
      <c r="BB25" s="702">
        <v>2024</v>
      </c>
      <c r="BC25" s="3509">
        <f t="shared" si="25"/>
        <v>50.674239171017149</v>
      </c>
      <c r="BG25" s="701" t="s">
        <v>648</v>
      </c>
      <c r="BH25" s="1341">
        <f>(BA20*BE4)-(BA4*BC4)</f>
        <v>-408.09798218670767</v>
      </c>
      <c r="BI25" s="55">
        <f>BH25/BH23</f>
        <v>-0.12813123459551262</v>
      </c>
      <c r="BL25" s="186" t="s">
        <v>643</v>
      </c>
      <c r="BM25" s="186">
        <f>CORREL(BB5:BB18,BC5:BC18)</f>
        <v>-8.5595822742268499E-2</v>
      </c>
      <c r="BN25" s="186">
        <f>BM25^2</f>
        <v>7.326644870925849E-3</v>
      </c>
    </row>
    <row r="26" spans="1:70" ht="15.75">
      <c r="A26" s="210"/>
      <c r="B26" s="210"/>
      <c r="C26" s="210"/>
      <c r="D26" s="210"/>
      <c r="F26" s="560"/>
      <c r="G26" s="208"/>
      <c r="H26" s="208"/>
      <c r="I26" s="208"/>
      <c r="J26" s="211"/>
      <c r="K26" s="208"/>
      <c r="L26" s="208"/>
      <c r="M26" s="208"/>
      <c r="N26" s="208"/>
      <c r="O26" s="1756" t="s">
        <v>1416</v>
      </c>
      <c r="P26" s="208"/>
      <c r="R26" s="2802" t="s">
        <v>1211</v>
      </c>
      <c r="S26" s="2803">
        <v>43</v>
      </c>
      <c r="T26" s="2803">
        <v>59</v>
      </c>
      <c r="U26" s="2803">
        <v>61</v>
      </c>
      <c r="V26" s="2803">
        <v>58</v>
      </c>
      <c r="W26" s="2803">
        <v>53</v>
      </c>
      <c r="X26" s="2803">
        <v>61</v>
      </c>
      <c r="Y26" s="2803">
        <v>55</v>
      </c>
      <c r="Z26" s="2803">
        <v>53</v>
      </c>
      <c r="AA26" s="2803">
        <v>56</v>
      </c>
      <c r="AB26" s="2803">
        <v>62</v>
      </c>
      <c r="AC26" s="2803">
        <v>59</v>
      </c>
      <c r="AD26" s="3180">
        <v>40</v>
      </c>
      <c r="AE26" s="202"/>
      <c r="BA26" s="702">
        <v>20</v>
      </c>
      <c r="BB26" s="702">
        <v>2025</v>
      </c>
      <c r="BC26" s="3509">
        <f t="shared" si="25"/>
        <v>50.546107936421635</v>
      </c>
      <c r="BH26" s="186">
        <f>(11*BD4)-(BA4*BA4)</f>
        <v>140</v>
      </c>
    </row>
    <row r="27" spans="1:70" ht="15.75">
      <c r="A27" s="210"/>
      <c r="B27" s="210"/>
      <c r="C27" s="210"/>
      <c r="D27" s="210"/>
      <c r="N27" s="208"/>
      <c r="O27" s="208"/>
      <c r="P27" s="208"/>
      <c r="R27" s="2799" t="s">
        <v>1338</v>
      </c>
      <c r="S27" s="3199">
        <v>46.629727594339634</v>
      </c>
      <c r="T27" s="3199">
        <v>51.933741745283008</v>
      </c>
      <c r="U27" s="3199">
        <v>53.491753997641496</v>
      </c>
      <c r="V27" s="3199">
        <v>55.096506617570739</v>
      </c>
      <c r="W27" s="3199">
        <v>56.749401816097858</v>
      </c>
      <c r="X27" s="3199">
        <v>58.451883870580794</v>
      </c>
      <c r="Y27" s="3199">
        <v>55.01</v>
      </c>
      <c r="Z27" s="3199">
        <v>62.01160359829916</v>
      </c>
      <c r="AA27" s="3199">
        <v>63.871951706248133</v>
      </c>
      <c r="AB27" s="3199">
        <v>65.788110257435577</v>
      </c>
      <c r="AC27" s="3199">
        <v>67.761753565158642</v>
      </c>
      <c r="AD27" s="3200">
        <v>69.794606172113404</v>
      </c>
      <c r="AE27" s="202"/>
      <c r="BA27" s="702">
        <v>21</v>
      </c>
      <c r="BB27" s="702">
        <v>2026</v>
      </c>
      <c r="BC27" s="3509">
        <f t="shared" si="25"/>
        <v>50.41797670182612</v>
      </c>
    </row>
    <row r="28" spans="1:70" ht="15.75">
      <c r="A28" s="210"/>
      <c r="B28" s="210"/>
      <c r="C28" s="210"/>
      <c r="D28" s="210"/>
      <c r="N28" s="208"/>
      <c r="O28" s="1756" t="s">
        <v>1416</v>
      </c>
      <c r="P28" s="208"/>
      <c r="R28" s="2802" t="s">
        <v>1212</v>
      </c>
      <c r="S28" s="2803">
        <v>25</v>
      </c>
      <c r="T28" s="2803">
        <v>22</v>
      </c>
      <c r="U28" s="2803">
        <v>30</v>
      </c>
      <c r="V28" s="2803">
        <v>25</v>
      </c>
      <c r="W28" s="2803">
        <v>23</v>
      </c>
      <c r="X28" s="2803">
        <v>31</v>
      </c>
      <c r="Y28" s="2803">
        <v>29</v>
      </c>
      <c r="Z28" s="2803">
        <v>26</v>
      </c>
      <c r="AA28" s="2803">
        <v>23</v>
      </c>
      <c r="AB28" s="2803">
        <v>33</v>
      </c>
      <c r="AC28" s="2803">
        <v>24</v>
      </c>
      <c r="AD28" s="3180">
        <v>19</v>
      </c>
      <c r="AE28" s="209"/>
      <c r="BA28" s="702">
        <v>22</v>
      </c>
      <c r="BB28" s="702">
        <v>2027</v>
      </c>
      <c r="BC28" s="3509">
        <f t="shared" si="25"/>
        <v>50.289845467230606</v>
      </c>
    </row>
    <row r="29" spans="1:70" ht="16.5" thickBot="1">
      <c r="A29" s="210"/>
      <c r="B29" s="210"/>
      <c r="C29" s="210"/>
      <c r="D29" s="210"/>
      <c r="N29" s="208"/>
      <c r="O29" s="208"/>
      <c r="P29" s="208"/>
      <c r="R29" s="2799" t="s">
        <v>1338</v>
      </c>
      <c r="S29" s="3204">
        <v>38.714876649746188</v>
      </c>
      <c r="T29" s="3204">
        <v>38.873088832487319</v>
      </c>
      <c r="U29" s="3204">
        <v>40.039281497461936</v>
      </c>
      <c r="V29" s="3204">
        <v>41.24045994238579</v>
      </c>
      <c r="W29" s="3204">
        <v>42.477673740657366</v>
      </c>
      <c r="X29" s="3204">
        <v>43.752003952877089</v>
      </c>
      <c r="Y29" s="3204">
        <v>29.1</v>
      </c>
      <c r="Z29" s="3204">
        <v>46.416500993607301</v>
      </c>
      <c r="AA29" s="3204">
        <v>47.808996023415517</v>
      </c>
      <c r="AB29" s="3204">
        <v>49.243265904117983</v>
      </c>
      <c r="AC29" s="3204">
        <v>50.720563881241524</v>
      </c>
      <c r="AD29" s="3205">
        <v>52.24218079767877</v>
      </c>
      <c r="AE29" s="202"/>
      <c r="BA29" s="702">
        <v>23</v>
      </c>
      <c r="BB29" s="702">
        <v>2028</v>
      </c>
      <c r="BC29" s="3509">
        <f t="shared" si="25"/>
        <v>50.161714232635099</v>
      </c>
    </row>
    <row r="30" spans="1:70" ht="15.75" thickBot="1">
      <c r="R30" s="1955"/>
      <c r="S30" s="2792">
        <f>S21/S36-1</f>
        <v>-0.1374835209145242</v>
      </c>
      <c r="T30" s="2793">
        <f t="shared" ref="T30:AD30" si="35">IF((T21/T36-1)=-100%,"",T21/T36-1)</f>
        <v>-4.8229367395463574E-2</v>
      </c>
      <c r="U30" s="2793">
        <f t="shared" si="35"/>
        <v>-1.1365142478462542E-2</v>
      </c>
      <c r="V30" s="2793">
        <f t="shared" si="35"/>
        <v>4.3624393624393631E-2</v>
      </c>
      <c r="W30" s="2793">
        <f t="shared" si="35"/>
        <v>4.0522111825443297E-2</v>
      </c>
      <c r="X30" s="2793">
        <f t="shared" si="35"/>
        <v>9.9198613818497039E-2</v>
      </c>
      <c r="Y30" s="2793">
        <f t="shared" si="35"/>
        <v>5.648165569143937E-2</v>
      </c>
      <c r="Z30" s="2793">
        <f t="shared" si="35"/>
        <v>-3.1401772142513051E-2</v>
      </c>
      <c r="AA30" s="2793">
        <f t="shared" si="35"/>
        <v>7.1316203460933147E-2</v>
      </c>
      <c r="AB30" s="2793">
        <f t="shared" si="35"/>
        <v>0.13941473988439301</v>
      </c>
      <c r="AC30" s="2793">
        <f t="shared" si="35"/>
        <v>-4.7284841036256076E-2</v>
      </c>
      <c r="AD30" s="2793">
        <f t="shared" si="35"/>
        <v>-6.5686146904420983E-2</v>
      </c>
      <c r="AE30" s="202"/>
      <c r="BA30" s="702">
        <v>24</v>
      </c>
      <c r="BB30" s="702">
        <v>2029</v>
      </c>
      <c r="BC30" s="3509">
        <f t="shared" si="25"/>
        <v>50.033582998039584</v>
      </c>
    </row>
    <row r="31" spans="1:70" ht="15.75" thickBot="1">
      <c r="R31" s="2745"/>
      <c r="S31" s="2745"/>
      <c r="T31" s="2745"/>
      <c r="U31" s="2745"/>
      <c r="V31" s="2745"/>
      <c r="W31" s="2745"/>
      <c r="X31" s="2745"/>
      <c r="Y31" s="2745"/>
      <c r="Z31" s="2745"/>
      <c r="AA31" s="2745"/>
      <c r="AB31" s="2745"/>
      <c r="AC31" s="2745"/>
      <c r="AD31" s="2745"/>
      <c r="AE31" s="202"/>
    </row>
    <row r="32" spans="1:70">
      <c r="R32" s="663"/>
      <c r="S32" s="964" t="s">
        <v>695</v>
      </c>
      <c r="T32" s="650"/>
      <c r="U32" s="650" t="s">
        <v>34</v>
      </c>
      <c r="V32" s="650"/>
      <c r="W32" s="650"/>
      <c r="X32" s="650"/>
      <c r="Y32" s="650"/>
      <c r="Z32" s="650"/>
      <c r="AA32" s="650"/>
      <c r="AB32" s="650"/>
      <c r="AC32" s="650"/>
      <c r="AD32" s="651"/>
      <c r="AE32" s="202"/>
    </row>
    <row r="33" spans="15:58">
      <c r="R33" s="965"/>
      <c r="S33" s="655" t="s">
        <v>37</v>
      </c>
      <c r="T33" s="655" t="s">
        <v>206</v>
      </c>
      <c r="U33" s="655" t="s">
        <v>652</v>
      </c>
      <c r="V33" s="655" t="s">
        <v>207</v>
      </c>
      <c r="W33" s="655" t="s">
        <v>208</v>
      </c>
      <c r="X33" s="655" t="s">
        <v>199</v>
      </c>
      <c r="Y33" s="655" t="s">
        <v>43</v>
      </c>
      <c r="Z33" s="655" t="s">
        <v>44</v>
      </c>
      <c r="AA33" s="655" t="s">
        <v>45</v>
      </c>
      <c r="AB33" s="655" t="s">
        <v>46</v>
      </c>
      <c r="AC33" s="655" t="s">
        <v>47</v>
      </c>
      <c r="AD33" s="656" t="s">
        <v>48</v>
      </c>
      <c r="AE33" s="202"/>
      <c r="BF33" s="2115"/>
    </row>
    <row r="34" spans="15:58" ht="64.5" thickBot="1">
      <c r="R34" s="965"/>
      <c r="S34" s="2297" t="s">
        <v>758</v>
      </c>
      <c r="T34" s="2297" t="s">
        <v>898</v>
      </c>
      <c r="U34" s="2297" t="s">
        <v>901</v>
      </c>
      <c r="V34" s="2297" t="s">
        <v>901</v>
      </c>
      <c r="W34" s="3940" t="s">
        <v>1096</v>
      </c>
      <c r="X34" s="3940"/>
      <c r="Y34" s="3940"/>
      <c r="Z34" s="3940"/>
      <c r="AA34" s="3940"/>
      <c r="AB34" s="3940"/>
      <c r="AC34" s="3940"/>
      <c r="AD34" s="3941"/>
      <c r="AE34" s="202"/>
    </row>
    <row r="35" spans="15:58" ht="16.5" thickBot="1">
      <c r="R35" s="2737"/>
      <c r="S35" s="3207"/>
      <c r="T35" s="2751"/>
      <c r="U35" s="2751"/>
      <c r="V35" s="2751"/>
      <c r="W35" s="2751"/>
      <c r="X35" s="2751"/>
      <c r="Y35" s="2751"/>
      <c r="Z35" s="2751"/>
      <c r="AA35" s="2751"/>
      <c r="AB35" s="2751"/>
      <c r="AC35" s="2751"/>
      <c r="AD35" s="3208"/>
    </row>
    <row r="36" spans="15:58" ht="16.5" thickBot="1">
      <c r="R36" s="2737" t="s">
        <v>1099</v>
      </c>
      <c r="S36" s="3207">
        <v>45.260970984259437</v>
      </c>
      <c r="T36" s="2751">
        <v>49.817674947847522</v>
      </c>
      <c r="U36" s="2751">
        <v>50.3</v>
      </c>
      <c r="V36" s="2751">
        <v>48.1</v>
      </c>
      <c r="W36" s="2751">
        <f t="shared" ref="W36:AD36" si="36">AVERAGE(W37,W40,W42)</f>
        <v>42.774999999999999</v>
      </c>
      <c r="X36" s="2751">
        <f t="shared" si="36"/>
        <v>46.169999999999995</v>
      </c>
      <c r="Y36" s="2751">
        <f t="shared" si="36"/>
        <v>44.291666666666664</v>
      </c>
      <c r="Z36" s="2751">
        <f t="shared" si="36"/>
        <v>44.955000000000005</v>
      </c>
      <c r="AA36" s="2751">
        <f t="shared" si="36"/>
        <v>44.49666666666667</v>
      </c>
      <c r="AB36" s="2751">
        <f t="shared" si="36"/>
        <v>46.133333333333333</v>
      </c>
      <c r="AC36" s="2751">
        <f t="shared" si="36"/>
        <v>51.531666666666666</v>
      </c>
      <c r="AD36" s="3208">
        <f t="shared" si="36"/>
        <v>38.414999999999999</v>
      </c>
    </row>
    <row r="37" spans="15:58">
      <c r="R37" s="2757" t="s">
        <v>1215</v>
      </c>
      <c r="S37" s="3209"/>
      <c r="T37" s="2758"/>
      <c r="U37" s="2758"/>
      <c r="V37" s="2758"/>
      <c r="W37" s="2758">
        <f>AVERAGE(W38:W39)</f>
        <v>55.325000000000003</v>
      </c>
      <c r="X37" s="2758">
        <f t="shared" ref="X37:AD37" si="37">AVERAGE(X38:X39)</f>
        <v>57.510000000000005</v>
      </c>
      <c r="Y37" s="2758">
        <f t="shared" si="37"/>
        <v>55.875</v>
      </c>
      <c r="Z37" s="2758">
        <f t="shared" si="37"/>
        <v>48.864999999999995</v>
      </c>
      <c r="AA37" s="2758">
        <f t="shared" si="37"/>
        <v>57.489999999999995</v>
      </c>
      <c r="AB37" s="2758">
        <f t="shared" si="37"/>
        <v>56.4</v>
      </c>
      <c r="AC37" s="2758">
        <f t="shared" si="37"/>
        <v>66.594999999999999</v>
      </c>
      <c r="AD37" s="3210">
        <f t="shared" si="37"/>
        <v>48.245000000000005</v>
      </c>
    </row>
    <row r="38" spans="15:58" ht="15.75">
      <c r="O38" s="1756" t="s">
        <v>1416</v>
      </c>
      <c r="R38" s="2738" t="s">
        <v>1209</v>
      </c>
      <c r="S38" s="3211">
        <v>47</v>
      </c>
      <c r="T38" s="2750">
        <v>58</v>
      </c>
      <c r="U38" s="2750">
        <v>63</v>
      </c>
      <c r="V38" s="2750">
        <v>60</v>
      </c>
      <c r="W38" s="2750">
        <v>57</v>
      </c>
      <c r="X38" s="2750">
        <v>56</v>
      </c>
      <c r="Y38" s="2750">
        <v>55</v>
      </c>
      <c r="Z38" s="2750">
        <v>44</v>
      </c>
      <c r="AA38" s="2750">
        <v>58</v>
      </c>
      <c r="AB38" s="2750">
        <v>55</v>
      </c>
      <c r="AC38" s="2750">
        <v>69</v>
      </c>
      <c r="AD38" s="3179">
        <v>51</v>
      </c>
    </row>
    <row r="39" spans="15:58" ht="15.75">
      <c r="R39" s="2746" t="s">
        <v>1202</v>
      </c>
      <c r="S39" s="3212">
        <v>49.83</v>
      </c>
      <c r="T39" s="2747">
        <v>57.01</v>
      </c>
      <c r="U39" s="2741">
        <v>59.03</v>
      </c>
      <c r="V39" s="2741">
        <v>54.68</v>
      </c>
      <c r="W39" s="2741">
        <v>53.65</v>
      </c>
      <c r="X39" s="2741">
        <v>59.02</v>
      </c>
      <c r="Y39" s="2741">
        <v>56.75</v>
      </c>
      <c r="Z39" s="2741">
        <v>53.73</v>
      </c>
      <c r="AA39" s="2741">
        <v>56.98</v>
      </c>
      <c r="AB39" s="2741">
        <v>57.8</v>
      </c>
      <c r="AC39" s="2741">
        <v>64.19</v>
      </c>
      <c r="AD39" s="3162">
        <v>45.49</v>
      </c>
    </row>
    <row r="40" spans="15:58" ht="15.75">
      <c r="O40" s="1756" t="s">
        <v>1416</v>
      </c>
      <c r="R40" s="2802" t="s">
        <v>1213</v>
      </c>
      <c r="S40" s="3213">
        <v>39</v>
      </c>
      <c r="T40" s="2803">
        <v>52</v>
      </c>
      <c r="U40" s="2803">
        <v>55</v>
      </c>
      <c r="V40" s="2803">
        <v>51</v>
      </c>
      <c r="W40" s="2803">
        <v>48</v>
      </c>
      <c r="X40" s="2803">
        <v>54</v>
      </c>
      <c r="Y40" s="2803">
        <v>48</v>
      </c>
      <c r="Z40" s="2803">
        <v>55</v>
      </c>
      <c r="AA40" s="2803">
        <v>48</v>
      </c>
      <c r="AB40" s="2803">
        <v>57</v>
      </c>
      <c r="AC40" s="2803">
        <v>58</v>
      </c>
      <c r="AD40" s="3180">
        <v>43</v>
      </c>
    </row>
    <row r="41" spans="15:58" ht="15.75">
      <c r="R41" s="2799" t="s">
        <v>1338</v>
      </c>
      <c r="S41" s="3214">
        <v>45.271580188679259</v>
      </c>
      <c r="T41" s="2812">
        <v>50.421108490566027</v>
      </c>
      <c r="U41" s="2813">
        <v>51.933741745283008</v>
      </c>
      <c r="V41" s="2813">
        <v>53.491753997641496</v>
      </c>
      <c r="W41" s="3206">
        <v>55.096506617570739</v>
      </c>
      <c r="X41" s="3206">
        <v>56.749401816097858</v>
      </c>
      <c r="Y41" s="3206">
        <v>58.451883870580794</v>
      </c>
      <c r="Z41" s="3206">
        <v>60.205440386698214</v>
      </c>
      <c r="AA41" s="3206">
        <v>62.01160359829916</v>
      </c>
      <c r="AB41" s="3206">
        <v>63.871951706248133</v>
      </c>
      <c r="AC41" s="3206">
        <v>65.788110257435577</v>
      </c>
      <c r="AD41" s="3215">
        <v>67.761753565158642</v>
      </c>
    </row>
    <row r="42" spans="15:58" ht="15.75">
      <c r="O42" s="1756" t="s">
        <v>1416</v>
      </c>
      <c r="R42" s="2802" t="s">
        <v>1214</v>
      </c>
      <c r="S42" s="3213">
        <v>26</v>
      </c>
      <c r="T42" s="2803">
        <v>27</v>
      </c>
      <c r="U42" s="2803">
        <v>28</v>
      </c>
      <c r="V42" s="2803">
        <v>32</v>
      </c>
      <c r="W42" s="2803">
        <v>25</v>
      </c>
      <c r="X42" s="2803">
        <v>27</v>
      </c>
      <c r="Y42" s="2803">
        <v>29</v>
      </c>
      <c r="Z42" s="2803">
        <v>31</v>
      </c>
      <c r="AA42" s="2803">
        <v>28</v>
      </c>
      <c r="AB42" s="2803">
        <v>25</v>
      </c>
      <c r="AC42" s="2803">
        <v>30</v>
      </c>
      <c r="AD42" s="3180">
        <v>24</v>
      </c>
    </row>
    <row r="43" spans="15:58" ht="16.5" thickBot="1">
      <c r="R43" s="2799" t="s">
        <v>1338</v>
      </c>
      <c r="S43" s="3216">
        <v>37.58725888324873</v>
      </c>
      <c r="T43" s="3217">
        <v>37.740862944162444</v>
      </c>
      <c r="U43" s="3218">
        <v>38.873088832487319</v>
      </c>
      <c r="V43" s="3218">
        <v>40.039281497461936</v>
      </c>
      <c r="W43" s="3218">
        <v>41.24045994238579</v>
      </c>
      <c r="X43" s="3218">
        <v>42.477673740657366</v>
      </c>
      <c r="Y43" s="3218">
        <v>43.752003952877089</v>
      </c>
      <c r="Z43" s="3218">
        <v>45.064564071463401</v>
      </c>
      <c r="AA43" s="3218">
        <v>46.416500993607301</v>
      </c>
      <c r="AB43" s="3218">
        <v>47.808996023415517</v>
      </c>
      <c r="AC43" s="3218">
        <v>49.243265904117983</v>
      </c>
      <c r="AD43" s="3219">
        <v>50.720563881241524</v>
      </c>
    </row>
    <row r="44" spans="15:58" ht="15.75" thickBot="1">
      <c r="R44" s="1955"/>
      <c r="S44" s="1956">
        <f>S36/S49-1</f>
        <v>2.538205966935525E-2</v>
      </c>
      <c r="T44" s="1957">
        <f t="shared" ref="T44:AD44" si="38">IF((T36/T49-1)=-100%,"",T36/T49-1)</f>
        <v>9.5278355054263963E-2</v>
      </c>
      <c r="U44" s="1957">
        <f t="shared" si="38"/>
        <v>9.3419422076916003E-2</v>
      </c>
      <c r="V44" s="1957">
        <f t="shared" si="38"/>
        <v>7.6163009310403984E-2</v>
      </c>
      <c r="W44" s="1957">
        <f t="shared" si="38"/>
        <v>-1.7320453563992366E-2</v>
      </c>
      <c r="X44" s="1957">
        <f t="shared" si="38"/>
        <v>-3.501194217962289E-2</v>
      </c>
      <c r="Y44" s="1957">
        <f t="shared" si="38"/>
        <v>-3.6265025257740668E-2</v>
      </c>
      <c r="Z44" s="1957">
        <f t="shared" si="38"/>
        <v>-3.7047509212532193E-3</v>
      </c>
      <c r="AA44" s="1957">
        <f t="shared" si="38"/>
        <v>-6.9238944709239081E-2</v>
      </c>
      <c r="AB44" s="1957">
        <f t="shared" si="38"/>
        <v>-0.2186150084950278</v>
      </c>
      <c r="AC44" s="1957">
        <f t="shared" si="38"/>
        <v>6.4040195161393143E-2</v>
      </c>
      <c r="AD44" s="1957">
        <f t="shared" si="38"/>
        <v>-4.1967926010092693E-2</v>
      </c>
    </row>
    <row r="45" spans="15:58" ht="15.75" thickBot="1">
      <c r="R45" s="1955"/>
      <c r="S45" s="1958"/>
      <c r="T45" s="1958"/>
      <c r="U45" s="1958"/>
      <c r="V45" s="1958"/>
      <c r="W45" s="2748"/>
      <c r="X45" s="2749"/>
      <c r="Y45" s="2749"/>
      <c r="Z45" s="1958"/>
      <c r="AA45" s="1958"/>
      <c r="AB45" s="1958"/>
      <c r="AC45" s="1958"/>
      <c r="AD45" s="1958"/>
      <c r="AS45" s="184"/>
      <c r="AT45" s="184"/>
      <c r="AU45" s="184"/>
      <c r="AV45" s="184"/>
    </row>
    <row r="46" spans="15:58">
      <c r="R46" s="960"/>
      <c r="S46" s="953" t="s">
        <v>634</v>
      </c>
      <c r="T46" s="954"/>
      <c r="U46" s="954" t="s">
        <v>34</v>
      </c>
      <c r="V46" s="954"/>
      <c r="W46" s="954"/>
      <c r="X46" s="954"/>
      <c r="Y46" s="954"/>
      <c r="Z46" s="954"/>
      <c r="AA46" s="954"/>
      <c r="AB46" s="954"/>
      <c r="AC46" s="954"/>
      <c r="AD46" s="957"/>
    </row>
    <row r="47" spans="15:58">
      <c r="R47" s="823"/>
      <c r="S47" s="955" t="s">
        <v>37</v>
      </c>
      <c r="T47" s="956" t="s">
        <v>206</v>
      </c>
      <c r="U47" s="956" t="s">
        <v>652</v>
      </c>
      <c r="V47" s="956" t="s">
        <v>207</v>
      </c>
      <c r="W47" s="956" t="s">
        <v>208</v>
      </c>
      <c r="X47" s="956" t="s">
        <v>199</v>
      </c>
      <c r="Y47" s="956" t="s">
        <v>43</v>
      </c>
      <c r="Z47" s="956" t="s">
        <v>44</v>
      </c>
      <c r="AA47" s="956" t="s">
        <v>45</v>
      </c>
      <c r="AB47" s="956" t="s">
        <v>46</v>
      </c>
      <c r="AC47" s="956" t="s">
        <v>47</v>
      </c>
      <c r="AD47" s="958" t="s">
        <v>48</v>
      </c>
    </row>
    <row r="48" spans="15:58" ht="15.75" thickBot="1">
      <c r="R48" s="824"/>
      <c r="S48" s="966"/>
      <c r="T48" s="966"/>
      <c r="U48" s="966"/>
      <c r="V48" s="966"/>
      <c r="W48" s="966"/>
      <c r="X48" s="966"/>
      <c r="Y48" s="966"/>
      <c r="Z48" s="966"/>
      <c r="AA48" s="966"/>
      <c r="AB48" s="3937" t="s">
        <v>698</v>
      </c>
      <c r="AC48" s="3937"/>
      <c r="AD48" s="3937"/>
    </row>
    <row r="49" spans="18:30" ht="15.75" thickBot="1">
      <c r="R49" s="959" t="s">
        <v>169</v>
      </c>
      <c r="S49" s="1959">
        <v>44.140591848129553</v>
      </c>
      <c r="T49" s="1959">
        <v>45.484031267448337</v>
      </c>
      <c r="U49" s="1959">
        <v>46.00247533966126</v>
      </c>
      <c r="V49" s="1960">
        <v>44.69583100688628</v>
      </c>
      <c r="W49" s="1960">
        <v>43.528941001302826</v>
      </c>
      <c r="X49" s="1959">
        <v>47.845151684347663</v>
      </c>
      <c r="Y49" s="1959">
        <v>45.958347292015631</v>
      </c>
      <c r="Z49" s="1959">
        <v>45.12216638749301</v>
      </c>
      <c r="AA49" s="1959">
        <v>47.806756002233392</v>
      </c>
      <c r="AB49" s="1961">
        <v>59.040465116279073</v>
      </c>
      <c r="AC49" s="1959">
        <v>48.430187976921644</v>
      </c>
      <c r="AD49" s="1962">
        <v>40.097822445561143</v>
      </c>
    </row>
    <row r="50" spans="18:30">
      <c r="R50" s="961" t="s">
        <v>162</v>
      </c>
      <c r="S50" s="1963">
        <v>51.558406561218504</v>
      </c>
      <c r="T50" s="1963">
        <v>55.830990041007617</v>
      </c>
      <c r="U50" s="1963">
        <v>54.512829525483305</v>
      </c>
      <c r="V50" s="1963">
        <v>57.521675454012886</v>
      </c>
      <c r="W50" s="1963">
        <v>57.359988283538371</v>
      </c>
      <c r="X50" s="1963">
        <v>60.261921499707086</v>
      </c>
      <c r="Y50" s="1963">
        <v>53.324956063268885</v>
      </c>
      <c r="Z50" s="1963">
        <v>50.747275922671356</v>
      </c>
      <c r="AA50" s="1963">
        <v>57.149326303456355</v>
      </c>
      <c r="AB50" s="1963">
        <v>70.874985354422961</v>
      </c>
      <c r="AC50" s="1963">
        <v>62.512536613942586</v>
      </c>
      <c r="AD50" s="1964">
        <v>43.413708260105452</v>
      </c>
    </row>
    <row r="51" spans="18:30">
      <c r="R51" s="961" t="s">
        <v>163</v>
      </c>
      <c r="S51" s="1963">
        <v>43.926650943396218</v>
      </c>
      <c r="T51" s="1963">
        <v>44.932134433962268</v>
      </c>
      <c r="U51" s="1963">
        <v>46.1502358490566</v>
      </c>
      <c r="V51" s="1963">
        <v>45.307488207547166</v>
      </c>
      <c r="W51" s="1963">
        <v>43.315271226415092</v>
      </c>
      <c r="X51" s="1963">
        <v>50.526709905660375</v>
      </c>
      <c r="Y51" s="1963">
        <v>51.207429245283016</v>
      </c>
      <c r="Z51" s="1963">
        <v>51.081014150943389</v>
      </c>
      <c r="AA51" s="1963">
        <v>48.948761792452828</v>
      </c>
      <c r="AB51" s="1963">
        <v>62.996937573616016</v>
      </c>
      <c r="AC51" s="1963">
        <v>48.532783018867924</v>
      </c>
      <c r="AD51" s="1964">
        <v>42.145990566037732</v>
      </c>
    </row>
    <row r="52" spans="18:30" ht="15.75" thickBot="1">
      <c r="R52" s="962" t="s">
        <v>683</v>
      </c>
      <c r="S52" s="1965">
        <v>37.897258883248718</v>
      </c>
      <c r="T52" s="1965">
        <v>36.99355329949239</v>
      </c>
      <c r="U52" s="1965">
        <v>38.501065989847724</v>
      </c>
      <c r="V52" s="1965">
        <v>33.05568527918782</v>
      </c>
      <c r="W52" s="1965">
        <v>31.728324873096447</v>
      </c>
      <c r="X52" s="1965">
        <v>34.777461928934009</v>
      </c>
      <c r="Y52" s="1965">
        <v>35.056192893401018</v>
      </c>
      <c r="Z52" s="1965">
        <v>35.117969543147211</v>
      </c>
      <c r="AA52" s="1965">
        <v>38.728274111675127</v>
      </c>
      <c r="AB52" s="1965">
        <v>45.375685279187806</v>
      </c>
      <c r="AC52" s="1965">
        <v>36.139543147208123</v>
      </c>
      <c r="AD52" s="1966">
        <v>35.461319796954314</v>
      </c>
    </row>
    <row r="53" spans="18:30" ht="15.75" thickBot="1">
      <c r="R53" s="1967"/>
      <c r="S53" s="1968">
        <f t="shared" ref="S53:AD53" si="39">S49/S65-1</f>
        <v>-0.17327766995714788</v>
      </c>
      <c r="T53" s="1969">
        <f t="shared" si="39"/>
        <v>-0.29142710384735693</v>
      </c>
      <c r="U53" s="1969">
        <f t="shared" si="39"/>
        <v>-0.23201209783537124</v>
      </c>
      <c r="V53" s="1969">
        <f t="shared" si="39"/>
        <v>-0.2343940557602413</v>
      </c>
      <c r="W53" s="1969">
        <f t="shared" si="39"/>
        <v>-0.29050188469512439</v>
      </c>
      <c r="X53" s="1969">
        <f t="shared" si="39"/>
        <v>-0.22832383997511552</v>
      </c>
      <c r="Y53" s="1969">
        <f t="shared" si="39"/>
        <v>-0.25513213465128637</v>
      </c>
      <c r="Z53" s="1969">
        <f t="shared" si="39"/>
        <v>-0.27297261490921521</v>
      </c>
      <c r="AA53" s="1969">
        <f t="shared" si="39"/>
        <v>-0.23174217742631897</v>
      </c>
      <c r="AB53" s="1969">
        <f t="shared" si="39"/>
        <v>-6.3222977996115981E-2</v>
      </c>
      <c r="AC53" s="1969">
        <f t="shared" si="39"/>
        <v>-0.27203195208006881</v>
      </c>
      <c r="AD53" s="1969">
        <f t="shared" si="39"/>
        <v>-0.30860506510162089</v>
      </c>
    </row>
    <row r="54" spans="18:30">
      <c r="S54" s="197" t="s">
        <v>354</v>
      </c>
      <c r="T54" s="198"/>
      <c r="U54" s="198" t="s">
        <v>34</v>
      </c>
      <c r="V54" s="198"/>
      <c r="W54" s="198"/>
      <c r="X54" s="198"/>
      <c r="Y54" s="198"/>
      <c r="Z54" s="198"/>
      <c r="AA54" s="198"/>
      <c r="AB54" s="198"/>
      <c r="AC54" s="198"/>
      <c r="AD54" s="199"/>
    </row>
    <row r="55" spans="18:30" ht="15.75" thickBot="1">
      <c r="S55" s="825" t="s">
        <v>37</v>
      </c>
      <c r="T55" s="826" t="s">
        <v>38</v>
      </c>
      <c r="U55" s="826" t="s">
        <v>39</v>
      </c>
      <c r="V55" s="826" t="s">
        <v>40</v>
      </c>
      <c r="W55" s="826" t="s">
        <v>41</v>
      </c>
      <c r="X55" s="826" t="s">
        <v>42</v>
      </c>
      <c r="Y55" s="826" t="s">
        <v>43</v>
      </c>
      <c r="Z55" s="826" t="s">
        <v>44</v>
      </c>
      <c r="AA55" s="826" t="s">
        <v>45</v>
      </c>
      <c r="AB55" s="826" t="s">
        <v>46</v>
      </c>
      <c r="AC55" s="826" t="s">
        <v>47</v>
      </c>
      <c r="AD55" s="826" t="s">
        <v>48</v>
      </c>
    </row>
    <row r="56" spans="18:30" ht="15.75" thickBot="1">
      <c r="R56" s="652" t="s">
        <v>169</v>
      </c>
      <c r="S56" s="1970">
        <v>51.627660052414825</v>
      </c>
      <c r="T56" s="1971">
        <v>51.647940846125053</v>
      </c>
      <c r="U56" s="1972">
        <v>57.482497192062887</v>
      </c>
      <c r="V56" s="1972">
        <v>53.048152377386764</v>
      </c>
      <c r="W56" s="1972">
        <v>54.241388992886556</v>
      </c>
      <c r="X56" s="1971">
        <v>55.588920082350739</v>
      </c>
      <c r="Y56" s="1972">
        <v>54.83994010855325</v>
      </c>
      <c r="Z56" s="1973">
        <v>48.290715777482454</v>
      </c>
      <c r="AA56" s="1973">
        <v>50.944218720334156</v>
      </c>
      <c r="AB56" s="1972">
        <v>54.332618188722243</v>
      </c>
      <c r="AC56" s="1972">
        <v>55.251518602885348</v>
      </c>
      <c r="AD56" s="1972">
        <v>44.372454976303317</v>
      </c>
    </row>
    <row r="57" spans="18:30">
      <c r="R57" s="653" t="s">
        <v>162</v>
      </c>
      <c r="S57" s="1974">
        <v>63.923164713140032</v>
      </c>
      <c r="T57" s="1975">
        <v>69.016594694632943</v>
      </c>
      <c r="U57" s="1976">
        <v>71.136952498457745</v>
      </c>
      <c r="V57" s="1976">
        <v>64.16826650215917</v>
      </c>
      <c r="W57" s="1976">
        <v>68.897038864898207</v>
      </c>
      <c r="X57" s="1975">
        <v>66.700678593460822</v>
      </c>
      <c r="Y57" s="1977">
        <v>65.777606415792718</v>
      </c>
      <c r="Z57" s="1977">
        <v>57.994040968342652</v>
      </c>
      <c r="AA57" s="1977">
        <v>58.905462445685906</v>
      </c>
      <c r="AB57" s="1977">
        <v>68.051769087523269</v>
      </c>
      <c r="AC57" s="1977">
        <v>72.682805710738677</v>
      </c>
      <c r="AD57" s="1977">
        <v>51.006587942821618</v>
      </c>
    </row>
    <row r="58" spans="18:30">
      <c r="R58" s="653" t="s">
        <v>163</v>
      </c>
      <c r="S58" s="1974">
        <v>53.596954545454537</v>
      </c>
      <c r="T58" s="1975">
        <v>50.203693181818188</v>
      </c>
      <c r="U58" s="1976">
        <v>60.320170454545455</v>
      </c>
      <c r="V58" s="1976">
        <v>55.937823863636353</v>
      </c>
      <c r="W58" s="1976">
        <v>55.730965909090912</v>
      </c>
      <c r="X58" s="1975">
        <v>60.893838326738269</v>
      </c>
      <c r="Y58" s="1977">
        <v>62.101921989824746</v>
      </c>
      <c r="Z58" s="1977">
        <v>52.804610951008648</v>
      </c>
      <c r="AA58" s="1977">
        <v>54.020057636887607</v>
      </c>
      <c r="AB58" s="1977">
        <v>56.422363112391928</v>
      </c>
      <c r="AC58" s="1977">
        <v>55.888888888888886</v>
      </c>
      <c r="AD58" s="1977">
        <v>46.219026047565109</v>
      </c>
    </row>
    <row r="59" spans="18:30" ht="15.75" thickBot="1">
      <c r="R59" s="827" t="s">
        <v>683</v>
      </c>
      <c r="S59" s="1978">
        <v>39.696517083120852</v>
      </c>
      <c r="T59" s="1979">
        <v>38.586894441611427</v>
      </c>
      <c r="U59" s="1980">
        <v>43.64864864864866</v>
      </c>
      <c r="V59" s="1980">
        <v>41.262570117287098</v>
      </c>
      <c r="W59" s="1980">
        <v>40.789852116267213</v>
      </c>
      <c r="X59" s="1979">
        <v>41.560983102918584</v>
      </c>
      <c r="Y59" s="1981">
        <v>39.183819764464921</v>
      </c>
      <c r="Z59" s="1981">
        <v>36.076418532014564</v>
      </c>
      <c r="AA59" s="1981">
        <v>41.489692868297759</v>
      </c>
      <c r="AB59" s="1981">
        <v>40.939979177511702</v>
      </c>
      <c r="AC59" s="1981">
        <v>39.823032223983098</v>
      </c>
      <c r="AD59" s="1981">
        <v>37.038052631578942</v>
      </c>
    </row>
    <row r="60" spans="18:30" ht="15.75" thickBot="1">
      <c r="R60" s="1982"/>
      <c r="S60" s="1968">
        <f t="shared" ref="S60:AD60" si="40">S56/S72-1</f>
        <v>-1.8790759984439354E-2</v>
      </c>
      <c r="T60" s="1969">
        <f t="shared" si="40"/>
        <v>-0.11925039936124726</v>
      </c>
      <c r="U60" s="1969">
        <f t="shared" si="40"/>
        <v>-7.9692211064975371E-2</v>
      </c>
      <c r="V60" s="1969">
        <f t="shared" si="40"/>
        <v>-9.2501792800918636E-2</v>
      </c>
      <c r="W60" s="1969">
        <f t="shared" si="40"/>
        <v>-9.7846498197794674E-2</v>
      </c>
      <c r="X60" s="1969">
        <f t="shared" si="40"/>
        <v>-0.12787335023390345</v>
      </c>
      <c r="Y60" s="1969">
        <f t="shared" si="40"/>
        <v>-0.16538248179334591</v>
      </c>
      <c r="Z60" s="1969">
        <f t="shared" si="40"/>
        <v>-0.24692790146461496</v>
      </c>
      <c r="AA60" s="1969">
        <f t="shared" si="40"/>
        <v>-0.25421836470546555</v>
      </c>
      <c r="AB60" s="1969">
        <f t="shared" si="40"/>
        <v>-0.15181671961766163</v>
      </c>
      <c r="AC60" s="1969">
        <f t="shared" si="40"/>
        <v>-0.18058601020491949</v>
      </c>
      <c r="AD60" s="1969">
        <f t="shared" si="40"/>
        <v>-0.13451746235589235</v>
      </c>
    </row>
    <row r="61" spans="18:30">
      <c r="R61" s="1983"/>
      <c r="S61" s="212" t="s">
        <v>355</v>
      </c>
      <c r="T61" s="213"/>
      <c r="U61" s="213" t="s">
        <v>34</v>
      </c>
      <c r="V61" s="213"/>
      <c r="W61" s="213"/>
      <c r="X61" s="213"/>
      <c r="Y61" s="213"/>
      <c r="Z61" s="213"/>
      <c r="AA61" s="213"/>
      <c r="AB61" s="213"/>
      <c r="AC61" s="213"/>
      <c r="AD61" s="214"/>
    </row>
    <row r="62" spans="18:30" ht="15.75" thickBot="1">
      <c r="R62" s="1983"/>
      <c r="S62" s="218" t="s">
        <v>37</v>
      </c>
      <c r="T62" s="219" t="s">
        <v>38</v>
      </c>
      <c r="U62" s="219" t="s">
        <v>39</v>
      </c>
      <c r="V62" s="219" t="s">
        <v>40</v>
      </c>
      <c r="W62" s="219" t="s">
        <v>41</v>
      </c>
      <c r="X62" s="219" t="s">
        <v>42</v>
      </c>
      <c r="Y62" s="219" t="s">
        <v>43</v>
      </c>
      <c r="Z62" s="219" t="s">
        <v>44</v>
      </c>
      <c r="AA62" s="219" t="s">
        <v>45</v>
      </c>
      <c r="AB62" s="219" t="s">
        <v>46</v>
      </c>
      <c r="AC62" s="219" t="s">
        <v>47</v>
      </c>
      <c r="AD62" s="220" t="s">
        <v>48</v>
      </c>
    </row>
    <row r="63" spans="18:30" ht="15.75" thickBot="1">
      <c r="R63" s="221" t="s">
        <v>169</v>
      </c>
      <c r="S63" s="1984">
        <v>51.883923850303461</v>
      </c>
      <c r="T63" s="1985">
        <v>60.943820524320813</v>
      </c>
      <c r="U63" s="1985">
        <v>57.5</v>
      </c>
      <c r="V63" s="1985">
        <v>54.264872468117026</v>
      </c>
      <c r="W63" s="1985">
        <v>55.715435108777179</v>
      </c>
      <c r="X63" s="1985">
        <v>56.167516879219804</v>
      </c>
      <c r="Y63" s="1985">
        <v>57.6</v>
      </c>
      <c r="Z63" s="1985">
        <v>55.727789236827292</v>
      </c>
      <c r="AA63" s="1985">
        <v>60.140119872635324</v>
      </c>
      <c r="AB63" s="1985">
        <v>58.802678404195518</v>
      </c>
      <c r="AC63" s="1985">
        <v>63.233126169973787</v>
      </c>
      <c r="AD63" s="1986">
        <v>50.994687383002628</v>
      </c>
    </row>
    <row r="64" spans="18:30">
      <c r="R64" s="222" t="s">
        <v>162</v>
      </c>
      <c r="S64" s="1987">
        <v>63.479333746132014</v>
      </c>
      <c r="T64" s="1988">
        <v>80.314179959259718</v>
      </c>
      <c r="U64" s="1988">
        <v>73.400000000000006</v>
      </c>
      <c r="V64" s="1988">
        <v>71.880259099321407</v>
      </c>
      <c r="W64" s="1988">
        <v>71.210055521283152</v>
      </c>
      <c r="X64" s="1988">
        <v>70.879333744602093</v>
      </c>
      <c r="Y64" s="1988">
        <v>73.7</v>
      </c>
      <c r="Z64" s="1988">
        <v>67.403269586674895</v>
      </c>
      <c r="AA64" s="1988">
        <v>79.765638494756317</v>
      </c>
      <c r="AB64" s="1988">
        <v>74.366440468846392</v>
      </c>
      <c r="AC64" s="1988">
        <v>80.694768661320168</v>
      </c>
      <c r="AD64" s="1989">
        <v>56.046434299814933</v>
      </c>
    </row>
    <row r="65" spans="18:30">
      <c r="R65" s="222" t="s">
        <v>163</v>
      </c>
      <c r="S65" s="1990">
        <v>53.392282080782287</v>
      </c>
      <c r="T65" s="1991">
        <v>64.191040208303448</v>
      </c>
      <c r="U65" s="1991">
        <v>59.9</v>
      </c>
      <c r="V65" s="1991">
        <v>58.379681274900399</v>
      </c>
      <c r="W65" s="1991">
        <v>61.351735913488902</v>
      </c>
      <c r="X65" s="1991">
        <v>62.00159362549801</v>
      </c>
      <c r="Y65" s="1991">
        <v>61.7</v>
      </c>
      <c r="Z65" s="1991">
        <v>62.063915765509371</v>
      </c>
      <c r="AA65" s="1991">
        <v>62.227490039840639</v>
      </c>
      <c r="AB65" s="1991">
        <v>63.025099601593645</v>
      </c>
      <c r="AC65" s="1991">
        <v>66.527903409090911</v>
      </c>
      <c r="AD65" s="1992">
        <v>57.995539772727291</v>
      </c>
    </row>
    <row r="66" spans="18:30" ht="15.75" thickBot="1">
      <c r="R66" s="223" t="s">
        <v>164</v>
      </c>
      <c r="S66" s="1993">
        <v>41.007288296211755</v>
      </c>
      <c r="T66" s="1994">
        <v>42.120784483927054</v>
      </c>
      <c r="U66" s="1994">
        <v>42.3</v>
      </c>
      <c r="V66" s="1994">
        <v>35.951535312180141</v>
      </c>
      <c r="W66" s="1994">
        <v>37.793346980552712</v>
      </c>
      <c r="X66" s="1994">
        <v>38.716990788126921</v>
      </c>
      <c r="Y66" s="1994">
        <v>40.700000000000003</v>
      </c>
      <c r="Z66" s="1994">
        <v>40.352583120204606</v>
      </c>
      <c r="AA66" s="1994">
        <v>42.047067822539518</v>
      </c>
      <c r="AB66" s="1994">
        <v>42.154207037225916</v>
      </c>
      <c r="AC66" s="1994">
        <v>45.841932687404395</v>
      </c>
      <c r="AD66" s="1995">
        <v>40.535543090260077</v>
      </c>
    </row>
    <row r="67" spans="18:30" ht="15.75" thickBot="1">
      <c r="R67" s="1982"/>
      <c r="S67" s="1967"/>
      <c r="T67" s="1967"/>
      <c r="U67" s="1996"/>
      <c r="V67" s="1996"/>
      <c r="W67" s="1996"/>
      <c r="X67" s="224"/>
      <c r="Y67" s="1997"/>
      <c r="Z67" s="1997"/>
      <c r="AA67" s="1996"/>
      <c r="AB67" s="1996"/>
      <c r="AC67" s="1996"/>
      <c r="AD67" s="1996"/>
    </row>
    <row r="68" spans="18:30">
      <c r="R68" s="1983"/>
      <c r="S68" s="225" t="s">
        <v>356</v>
      </c>
      <c r="T68" s="226"/>
      <c r="U68" s="226" t="s">
        <v>34</v>
      </c>
      <c r="V68" s="226"/>
      <c r="W68" s="226"/>
      <c r="X68" s="226"/>
      <c r="Y68" s="226"/>
      <c r="Z68" s="226"/>
      <c r="AA68" s="226"/>
      <c r="AB68" s="226"/>
      <c r="AC68" s="226"/>
      <c r="AD68" s="227"/>
    </row>
    <row r="69" spans="18:30" ht="15.75" thickBot="1">
      <c r="R69" s="1983"/>
      <c r="S69" s="228" t="s">
        <v>37</v>
      </c>
      <c r="T69" s="229" t="s">
        <v>38</v>
      </c>
      <c r="U69" s="229" t="s">
        <v>39</v>
      </c>
      <c r="V69" s="229" t="s">
        <v>40</v>
      </c>
      <c r="W69" s="229" t="s">
        <v>41</v>
      </c>
      <c r="X69" s="229" t="s">
        <v>42</v>
      </c>
      <c r="Y69" s="229" t="s">
        <v>43</v>
      </c>
      <c r="Z69" s="229" t="s">
        <v>44</v>
      </c>
      <c r="AA69" s="229" t="s">
        <v>45</v>
      </c>
      <c r="AB69" s="229" t="s">
        <v>46</v>
      </c>
      <c r="AC69" s="229" t="s">
        <v>47</v>
      </c>
      <c r="AD69" s="230" t="s">
        <v>48</v>
      </c>
    </row>
    <row r="70" spans="18:30" ht="15.75" thickBot="1">
      <c r="R70" s="231" t="s">
        <v>169</v>
      </c>
      <c r="S70" s="1998">
        <v>51.517990776187105</v>
      </c>
      <c r="T70" s="1999">
        <v>58.807323381825718</v>
      </c>
      <c r="U70" s="1999">
        <v>60.827928595939248</v>
      </c>
      <c r="V70" s="1999">
        <v>57.747390920923969</v>
      </c>
      <c r="W70" s="1999">
        <v>56.524014066944922</v>
      </c>
      <c r="X70" s="1999">
        <v>59.499559914305905</v>
      </c>
      <c r="Y70" s="1999">
        <v>59.641522979405501</v>
      </c>
      <c r="Z70" s="1999">
        <v>56.017138599275704</v>
      </c>
      <c r="AA70" s="1999">
        <v>62.131768504782805</v>
      </c>
      <c r="AB70" s="1999">
        <v>60.530743713386741</v>
      </c>
      <c r="AC70" s="1999">
        <v>62.385742672503326</v>
      </c>
      <c r="AD70" s="2000">
        <v>50.787822701019572</v>
      </c>
    </row>
    <row r="71" spans="18:30">
      <c r="R71" s="232" t="s">
        <v>162</v>
      </c>
      <c r="S71" s="2001">
        <v>64.50418897062923</v>
      </c>
      <c r="T71" s="2002">
        <v>79.534238123954339</v>
      </c>
      <c r="U71" s="2002">
        <v>80.095918488685996</v>
      </c>
      <c r="V71" s="2002">
        <v>74.86119678988895</v>
      </c>
      <c r="W71" s="2002">
        <v>71.329923784083903</v>
      </c>
      <c r="X71" s="2002">
        <v>75.899650422911776</v>
      </c>
      <c r="Y71" s="2002">
        <v>74.261208733146219</v>
      </c>
      <c r="Z71" s="2002">
        <v>64.583789377809993</v>
      </c>
      <c r="AA71" s="2002">
        <v>76.216327368840211</v>
      </c>
      <c r="AB71" s="2002">
        <v>74.382599350024662</v>
      </c>
      <c r="AC71" s="2002">
        <v>77.569401601529918</v>
      </c>
      <c r="AD71" s="2003">
        <v>63.75793516548427</v>
      </c>
    </row>
    <row r="72" spans="18:30">
      <c r="R72" s="232" t="s">
        <v>163</v>
      </c>
      <c r="S72" s="2004">
        <v>52.616361472091398</v>
      </c>
      <c r="T72" s="2005">
        <v>58.640890451347381</v>
      </c>
      <c r="U72" s="2005">
        <v>62.460078990074976</v>
      </c>
      <c r="V72" s="2005">
        <v>58.455379808534857</v>
      </c>
      <c r="W72" s="2005">
        <v>60.12434567346925</v>
      </c>
      <c r="X72" s="2005">
        <v>63.739504001236092</v>
      </c>
      <c r="Y72" s="2005">
        <v>65.706672712056232</v>
      </c>
      <c r="Z72" s="2005">
        <v>64.124956788866328</v>
      </c>
      <c r="AA72" s="2005">
        <v>68.309832676711807</v>
      </c>
      <c r="AB72" s="2005">
        <v>64.057638773816137</v>
      </c>
      <c r="AC72" s="2005">
        <v>67.428087988469272</v>
      </c>
      <c r="AD72" s="2006">
        <v>51.26903553373549</v>
      </c>
    </row>
    <row r="73" spans="18:30" ht="15.75" thickBot="1">
      <c r="R73" s="233" t="s">
        <v>164</v>
      </c>
      <c r="S73" s="2007">
        <v>39.904238977251275</v>
      </c>
      <c r="T73" s="2008">
        <v>41.93081487895644</v>
      </c>
      <c r="U73" s="2008">
        <v>43.594143216541021</v>
      </c>
      <c r="V73" s="2008">
        <v>43.08172914547113</v>
      </c>
      <c r="W73" s="2008">
        <v>41.252410366935145</v>
      </c>
      <c r="X73" s="2008">
        <v>42.365754812563331</v>
      </c>
      <c r="Y73" s="2008">
        <v>42.391410922440727</v>
      </c>
      <c r="Z73" s="2008">
        <v>41.700166683293816</v>
      </c>
      <c r="AA73" s="2008">
        <v>45.016886186916913</v>
      </c>
      <c r="AB73" s="2008">
        <v>45.988168774617016</v>
      </c>
      <c r="AC73" s="2008">
        <v>45.388382303121588</v>
      </c>
      <c r="AD73" s="2009">
        <v>39.704873026600808</v>
      </c>
    </row>
    <row r="74" spans="18:30">
      <c r="S74" s="1996"/>
      <c r="T74" s="1996"/>
      <c r="U74" s="1996"/>
      <c r="V74" s="1996"/>
      <c r="W74" s="1996"/>
      <c r="X74" s="2010"/>
      <c r="Y74" s="2010"/>
      <c r="Z74" s="2010"/>
      <c r="AA74" s="1996"/>
      <c r="AB74" s="1996"/>
      <c r="AC74" s="1996"/>
      <c r="AD74" s="1996"/>
    </row>
    <row r="75" spans="18:30">
      <c r="S75" s="1996"/>
      <c r="T75" s="1996"/>
      <c r="U75" s="1996"/>
      <c r="V75" s="1996"/>
      <c r="W75" s="1996"/>
      <c r="X75" s="2010"/>
      <c r="Y75" s="2010"/>
      <c r="Z75" s="2010"/>
      <c r="AA75" s="1996"/>
      <c r="AB75" s="1996"/>
      <c r="AC75" s="1996"/>
      <c r="AD75" s="1996"/>
    </row>
    <row r="76" spans="18:30">
      <c r="S76" s="1996"/>
      <c r="T76" s="1996"/>
      <c r="U76" s="1996"/>
      <c r="V76" s="1996"/>
      <c r="W76" s="1996"/>
      <c r="X76" s="2010"/>
      <c r="Y76" s="2010"/>
      <c r="Z76" s="2010"/>
      <c r="AA76" s="1996"/>
      <c r="AB76" s="1996"/>
      <c r="AC76" s="1996"/>
      <c r="AD76" s="1996"/>
    </row>
    <row r="77" spans="18:30">
      <c r="S77" s="1996"/>
      <c r="T77" s="1996"/>
      <c r="U77" s="1996"/>
      <c r="V77" s="1996"/>
      <c r="W77" s="1996"/>
      <c r="X77" s="2010"/>
      <c r="Y77" s="2010"/>
      <c r="Z77" s="2010"/>
      <c r="AA77" s="1996"/>
      <c r="AB77" s="1996"/>
      <c r="AC77" s="1996"/>
      <c r="AD77" s="1996"/>
    </row>
    <row r="78" spans="18:30">
      <c r="S78" s="1996"/>
      <c r="T78" s="1996"/>
      <c r="U78" s="1996"/>
      <c r="V78" s="1996"/>
      <c r="W78" s="1996"/>
      <c r="X78" s="2010"/>
      <c r="Y78" s="2010"/>
      <c r="Z78" s="2010"/>
      <c r="AA78" s="1996"/>
      <c r="AB78" s="1996"/>
      <c r="AC78" s="1996"/>
      <c r="AD78" s="1996"/>
    </row>
    <row r="102" spans="18:30" ht="15.75" thickBot="1"/>
    <row r="103" spans="18:30" ht="15.75" thickBot="1">
      <c r="S103" s="2011"/>
      <c r="T103" s="2012"/>
      <c r="U103" s="2012"/>
      <c r="V103" s="2012"/>
      <c r="W103" s="2012"/>
      <c r="X103" s="2013">
        <v>2012</v>
      </c>
      <c r="Y103" s="2012"/>
      <c r="Z103" s="2012"/>
      <c r="AA103" s="2012"/>
      <c r="AB103" s="2012"/>
      <c r="AC103" s="2012"/>
      <c r="AD103" s="2014"/>
    </row>
    <row r="104" spans="18:30" ht="15.75" thickBot="1">
      <c r="R104" s="1578" t="s">
        <v>925</v>
      </c>
      <c r="S104" s="2015" t="s">
        <v>37</v>
      </c>
      <c r="T104" s="2016" t="s">
        <v>38</v>
      </c>
      <c r="U104" s="2016" t="s">
        <v>39</v>
      </c>
      <c r="V104" s="2016" t="s">
        <v>40</v>
      </c>
      <c r="W104" s="2016" t="s">
        <v>41</v>
      </c>
      <c r="X104" s="2016" t="s">
        <v>42</v>
      </c>
      <c r="Y104" s="2016" t="s">
        <v>43</v>
      </c>
      <c r="Z104" s="2016" t="s">
        <v>44</v>
      </c>
      <c r="AA104" s="2016" t="s">
        <v>45</v>
      </c>
      <c r="AB104" s="2016" t="s">
        <v>46</v>
      </c>
      <c r="AC104" s="2016" t="s">
        <v>47</v>
      </c>
      <c r="AD104" s="2017" t="s">
        <v>48</v>
      </c>
    </row>
    <row r="105" spans="18:30" ht="15.75" thickBot="1">
      <c r="S105" s="2018"/>
      <c r="T105" s="2019"/>
      <c r="U105" s="2019"/>
      <c r="V105" s="2019"/>
      <c r="W105" s="2019"/>
      <c r="X105" s="2019"/>
      <c r="Y105" s="2019"/>
      <c r="Z105" s="2019"/>
      <c r="AA105" s="2019"/>
      <c r="AB105" s="2019"/>
      <c r="AC105" s="2019"/>
      <c r="AD105" s="2020"/>
    </row>
    <row r="106" spans="18:30" ht="16.5" thickBot="1">
      <c r="R106" s="1578" t="s">
        <v>169</v>
      </c>
      <c r="S106" s="2021">
        <v>53.089875463470889</v>
      </c>
      <c r="T106" s="2022">
        <v>55.87610303153771</v>
      </c>
      <c r="U106" s="2022">
        <v>58.579753404123871</v>
      </c>
      <c r="V106" s="2022">
        <v>53.879183463947015</v>
      </c>
      <c r="W106" s="2022">
        <v>58.787717387036651</v>
      </c>
      <c r="X106" s="2022">
        <v>62.016859985606381</v>
      </c>
      <c r="Y106" s="2022">
        <v>59.875153625024922</v>
      </c>
      <c r="Z106" s="2022">
        <v>59.294727491619376</v>
      </c>
      <c r="AA106" s="2022">
        <v>59.437947944190896</v>
      </c>
      <c r="AB106" s="2022">
        <v>60.024214842291194</v>
      </c>
      <c r="AC106" s="2022">
        <v>64.57437445092043</v>
      </c>
      <c r="AD106" s="2023">
        <v>47.765906961560191</v>
      </c>
    </row>
    <row r="107" spans="18:30" ht="15.75">
      <c r="R107" s="1579" t="s">
        <v>162</v>
      </c>
      <c r="S107" s="2021">
        <v>68.951356232838961</v>
      </c>
      <c r="T107" s="2022">
        <v>72.378673808491399</v>
      </c>
      <c r="U107" s="2022">
        <v>77.877250978115853</v>
      </c>
      <c r="V107" s="2022">
        <v>67.982176955626983</v>
      </c>
      <c r="W107" s="2022">
        <v>78.131865876970096</v>
      </c>
      <c r="X107" s="2022">
        <v>80.292000821943248</v>
      </c>
      <c r="Y107" s="2022">
        <v>74.957712284275132</v>
      </c>
      <c r="Z107" s="2022">
        <v>76.840261883368285</v>
      </c>
      <c r="AA107" s="2022">
        <v>76.000411269537324</v>
      </c>
      <c r="AB107" s="2022">
        <v>79.490955401603955</v>
      </c>
      <c r="AC107" s="2022">
        <v>85.827678389771748</v>
      </c>
      <c r="AD107" s="2023">
        <v>58.283417246070321</v>
      </c>
    </row>
    <row r="108" spans="18:30" ht="15.75">
      <c r="R108" s="1579" t="s">
        <v>163</v>
      </c>
      <c r="S108" s="2021">
        <v>54.153923096839591</v>
      </c>
      <c r="T108" s="2022">
        <v>58.820142701824686</v>
      </c>
      <c r="U108" s="2022">
        <v>59.62452151612402</v>
      </c>
      <c r="V108" s="2022">
        <v>55.014907572976746</v>
      </c>
      <c r="W108" s="2022">
        <v>57.637486294759718</v>
      </c>
      <c r="X108" s="2022">
        <v>63.361160802404292</v>
      </c>
      <c r="Y108" s="2022">
        <v>60.693160988628009</v>
      </c>
      <c r="Z108" s="2022">
        <v>58.665457225764506</v>
      </c>
      <c r="AA108" s="2022">
        <v>60.615114235690662</v>
      </c>
      <c r="AB108" s="2022">
        <v>60.740404784960745</v>
      </c>
      <c r="AC108" s="2022">
        <v>68.144893576127728</v>
      </c>
      <c r="AD108" s="2023">
        <v>49.821418448132398</v>
      </c>
    </row>
    <row r="109" spans="18:30" ht="16.5" thickBot="1">
      <c r="R109" s="1580" t="s">
        <v>164</v>
      </c>
      <c r="S109" s="2021">
        <v>39.472948298842432</v>
      </c>
      <c r="T109" s="2022">
        <v>40.137860697185111</v>
      </c>
      <c r="U109" s="2022">
        <v>42.226645391596634</v>
      </c>
      <c r="V109" s="2022">
        <v>41.609722930406924</v>
      </c>
      <c r="W109" s="2022">
        <v>44.270764777222823</v>
      </c>
      <c r="X109" s="2022">
        <v>45.760666326518113</v>
      </c>
      <c r="Y109" s="2022">
        <v>46.782364285452871</v>
      </c>
      <c r="Z109" s="2022">
        <v>45.430924601441738</v>
      </c>
      <c r="AA109" s="2022">
        <v>44.819317797292804</v>
      </c>
      <c r="AB109" s="2022">
        <v>43.419289473100299</v>
      </c>
      <c r="AC109" s="2022">
        <v>44.034110098535969</v>
      </c>
      <c r="AD109" s="2023">
        <v>37.351701146580545</v>
      </c>
    </row>
    <row r="112" spans="18:30" ht="15.75" thickBot="1"/>
    <row r="113" spans="18:30" ht="15.75" thickBot="1">
      <c r="S113" s="2024"/>
      <c r="T113" s="2025"/>
      <c r="U113" s="2025"/>
      <c r="V113" s="2025"/>
      <c r="W113" s="2025"/>
      <c r="X113" s="2025">
        <v>2011</v>
      </c>
      <c r="Y113" s="2025"/>
      <c r="Z113" s="2025"/>
      <c r="AA113" s="2025"/>
      <c r="AB113" s="2025"/>
      <c r="AC113" s="2025"/>
      <c r="AD113" s="2025"/>
    </row>
    <row r="114" spans="18:30" ht="15.75" thickBot="1">
      <c r="R114" s="1581" t="s">
        <v>926</v>
      </c>
      <c r="S114" s="2026" t="s">
        <v>37</v>
      </c>
      <c r="T114" s="2027" t="s">
        <v>38</v>
      </c>
      <c r="U114" s="2027" t="s">
        <v>39</v>
      </c>
      <c r="V114" s="2027" t="s">
        <v>40</v>
      </c>
      <c r="W114" s="2027" t="s">
        <v>41</v>
      </c>
      <c r="X114" s="2027" t="s">
        <v>42</v>
      </c>
      <c r="Y114" s="2027" t="s">
        <v>43</v>
      </c>
      <c r="Z114" s="2027" t="s">
        <v>44</v>
      </c>
      <c r="AA114" s="2027" t="s">
        <v>45</v>
      </c>
      <c r="AB114" s="2027" t="s">
        <v>46</v>
      </c>
      <c r="AC114" s="2027" t="s">
        <v>47</v>
      </c>
      <c r="AD114" s="2028" t="s">
        <v>48</v>
      </c>
    </row>
    <row r="115" spans="18:30" ht="15.75" thickBot="1">
      <c r="S115" s="2029"/>
      <c r="T115" s="2029"/>
      <c r="U115" s="2029"/>
      <c r="V115" s="2029"/>
      <c r="W115" s="2029"/>
      <c r="X115" s="2029"/>
      <c r="Y115" s="2029"/>
      <c r="Z115" s="2029"/>
      <c r="AA115" s="2029"/>
      <c r="AB115" s="2029"/>
      <c r="AC115" s="2029"/>
      <c r="AD115" s="2029"/>
    </row>
    <row r="116" spans="18:30" ht="16.5" thickBot="1">
      <c r="R116" s="1581" t="s">
        <v>169</v>
      </c>
      <c r="S116" s="2030">
        <v>47.079084889906142</v>
      </c>
      <c r="T116" s="2031">
        <v>54.159655752409741</v>
      </c>
      <c r="U116" s="2031">
        <v>53.545023637071445</v>
      </c>
      <c r="V116" s="2031">
        <v>50.871468108548385</v>
      </c>
      <c r="W116" s="2031">
        <v>52.230783125112957</v>
      </c>
      <c r="X116" s="2031">
        <v>53.992405226685442</v>
      </c>
      <c r="Y116" s="2031">
        <v>54.916567527829294</v>
      </c>
      <c r="Z116" s="2031">
        <v>54.486169331981472</v>
      </c>
      <c r="AA116" s="2031">
        <v>55.124541417875285</v>
      </c>
      <c r="AB116" s="2031">
        <v>56.71759176175658</v>
      </c>
      <c r="AC116" s="2031">
        <v>61.411019388666553</v>
      </c>
      <c r="AD116" s="2032">
        <v>50.684609144756003</v>
      </c>
    </row>
    <row r="117" spans="18:30" ht="15.75">
      <c r="R117" s="1582" t="s">
        <v>162</v>
      </c>
      <c r="S117" s="2030">
        <v>57.206217530916611</v>
      </c>
      <c r="T117" s="2031">
        <v>70.714740382590705</v>
      </c>
      <c r="U117" s="2031">
        <v>71.604279173450024</v>
      </c>
      <c r="V117" s="2031">
        <v>64.841926586842774</v>
      </c>
      <c r="W117" s="2031">
        <v>68.477033326199873</v>
      </c>
      <c r="X117" s="2031">
        <v>70.176108635346893</v>
      </c>
      <c r="Y117" s="2031">
        <v>70.086856531635888</v>
      </c>
      <c r="Z117" s="2031">
        <v>71.084782654213882</v>
      </c>
      <c r="AA117" s="2031">
        <v>72.679821770528321</v>
      </c>
      <c r="AB117" s="2031">
        <v>72.996447712698924</v>
      </c>
      <c r="AC117" s="2031">
        <v>82.005092296600893</v>
      </c>
      <c r="AD117" s="2032">
        <v>61.070614567746659</v>
      </c>
    </row>
    <row r="118" spans="18:30" ht="15.75">
      <c r="R118" s="1582" t="s">
        <v>163</v>
      </c>
      <c r="S118" s="2030">
        <v>48.171651291523972</v>
      </c>
      <c r="T118" s="2031">
        <v>54.852979443424388</v>
      </c>
      <c r="U118" s="2031">
        <v>55.134457565877362</v>
      </c>
      <c r="V118" s="2031">
        <v>52.754503136692179</v>
      </c>
      <c r="W118" s="2031">
        <v>53.634173569362488</v>
      </c>
      <c r="X118" s="2031">
        <v>53.978951629452347</v>
      </c>
      <c r="Y118" s="2031">
        <v>58.467986760534302</v>
      </c>
      <c r="Z118" s="2031">
        <v>57.324167107310259</v>
      </c>
      <c r="AA118" s="2031">
        <v>57.051204210310864</v>
      </c>
      <c r="AB118" s="2031">
        <v>58.772385405189027</v>
      </c>
      <c r="AC118" s="2031">
        <v>63.502285826320829</v>
      </c>
      <c r="AD118" s="2032">
        <v>51.143555120506853</v>
      </c>
    </row>
    <row r="119" spans="18:30" ht="16.5" thickBot="1">
      <c r="R119" s="1583" t="s">
        <v>164</v>
      </c>
      <c r="S119" s="2030">
        <v>38.048395322087728</v>
      </c>
      <c r="T119" s="2031">
        <v>40.314708239347254</v>
      </c>
      <c r="U119" s="2031">
        <v>37.742428977003065</v>
      </c>
      <c r="V119" s="2031">
        <v>38.097909230040784</v>
      </c>
      <c r="W119" s="2031">
        <v>38.036880459337077</v>
      </c>
      <c r="X119" s="2031">
        <v>41.0385857568414</v>
      </c>
      <c r="Y119" s="2031">
        <v>39.780559623063738</v>
      </c>
      <c r="Z119" s="2031">
        <v>38.805086279868419</v>
      </c>
      <c r="AA119" s="2031">
        <v>39.442461329573703</v>
      </c>
      <c r="AB119" s="2031">
        <v>41.919034067229987</v>
      </c>
      <c r="AC119" s="2031">
        <v>43.124256331904128</v>
      </c>
      <c r="AD119" s="2032">
        <v>41.97167343804896</v>
      </c>
    </row>
    <row r="121" spans="18:30" ht="15.75" thickBot="1"/>
    <row r="122" spans="18:30" ht="15.75" thickBot="1">
      <c r="S122" s="2033"/>
      <c r="T122" s="2034"/>
      <c r="U122" s="2034"/>
      <c r="V122" s="2034"/>
      <c r="W122" s="2034"/>
      <c r="X122" s="2034">
        <v>2010</v>
      </c>
      <c r="Y122" s="2034"/>
      <c r="Z122" s="2034"/>
      <c r="AA122" s="2034"/>
      <c r="AB122" s="2034"/>
      <c r="AC122" s="2034"/>
      <c r="AD122" s="2035"/>
    </row>
    <row r="123" spans="18:30" ht="15.75" thickBot="1">
      <c r="R123" s="1584" t="s">
        <v>927</v>
      </c>
      <c r="S123" s="2036" t="s">
        <v>37</v>
      </c>
      <c r="T123" s="2029" t="s">
        <v>38</v>
      </c>
      <c r="U123" s="2029" t="s">
        <v>39</v>
      </c>
      <c r="V123" s="2029" t="s">
        <v>40</v>
      </c>
      <c r="W123" s="2029" t="s">
        <v>41</v>
      </c>
      <c r="X123" s="2029" t="s">
        <v>42</v>
      </c>
      <c r="Y123" s="2029" t="s">
        <v>43</v>
      </c>
      <c r="Z123" s="2029" t="s">
        <v>44</v>
      </c>
      <c r="AA123" s="2029" t="s">
        <v>45</v>
      </c>
      <c r="AB123" s="2029" t="s">
        <v>46</v>
      </c>
      <c r="AC123" s="2029" t="s">
        <v>47</v>
      </c>
      <c r="AD123" s="2037" t="s">
        <v>48</v>
      </c>
    </row>
    <row r="124" spans="18:30" ht="15.75" thickBot="1">
      <c r="S124" s="2038"/>
      <c r="T124" s="2039"/>
      <c r="U124" s="2039"/>
      <c r="V124" s="2039"/>
      <c r="W124" s="2039"/>
      <c r="X124" s="2039"/>
      <c r="Y124" s="2039"/>
      <c r="Z124" s="2039"/>
      <c r="AA124" s="2039"/>
      <c r="AB124" s="2039"/>
      <c r="AC124" s="2039"/>
      <c r="AD124" s="2040"/>
    </row>
    <row r="125" spans="18:30" ht="16.5" thickBot="1">
      <c r="R125" s="1584" t="s">
        <v>169</v>
      </c>
      <c r="S125" s="2041">
        <v>46.844172135145513</v>
      </c>
      <c r="T125" s="2042">
        <v>54.180880272627071</v>
      </c>
      <c r="U125" s="2042">
        <v>53.044507487294503</v>
      </c>
      <c r="V125" s="2042">
        <v>50.910729226471325</v>
      </c>
      <c r="W125" s="2042">
        <v>51.893191486115484</v>
      </c>
      <c r="X125" s="2042">
        <v>53.137671365175905</v>
      </c>
      <c r="Y125" s="2042">
        <v>53.520109125300245</v>
      </c>
      <c r="Z125" s="2042">
        <v>52.132370802605131</v>
      </c>
      <c r="AA125" s="2042">
        <v>51.076140824553399</v>
      </c>
      <c r="AB125" s="2042">
        <v>56.118692736004242</v>
      </c>
      <c r="AC125" s="2042">
        <v>55.756581064313373</v>
      </c>
      <c r="AD125" s="2043">
        <v>49.254121794042113</v>
      </c>
    </row>
    <row r="126" spans="18:30" ht="15.75">
      <c r="R126" s="1585" t="s">
        <v>162</v>
      </c>
      <c r="S126" s="2041">
        <v>58.31489713689755</v>
      </c>
      <c r="T126" s="2042">
        <v>70.028189506728211</v>
      </c>
      <c r="U126" s="2042">
        <v>68.858955669503487</v>
      </c>
      <c r="V126" s="2042">
        <v>63.800127305194138</v>
      </c>
      <c r="W126" s="2042">
        <v>67.711135293074477</v>
      </c>
      <c r="X126" s="2042">
        <v>67.884574581928717</v>
      </c>
      <c r="Y126" s="2042">
        <v>67.616681380464669</v>
      </c>
      <c r="Z126" s="2042">
        <v>66.873370155525151</v>
      </c>
      <c r="AA126" s="2042">
        <v>64.347549329866325</v>
      </c>
      <c r="AB126" s="2042">
        <v>73.536477690636517</v>
      </c>
      <c r="AC126" s="2042">
        <v>73.341820495607877</v>
      </c>
      <c r="AD126" s="2043">
        <v>60.337570068892425</v>
      </c>
    </row>
    <row r="127" spans="18:30" ht="15.75">
      <c r="R127" s="1585" t="s">
        <v>163</v>
      </c>
      <c r="S127" s="2041">
        <v>44.801463424466625</v>
      </c>
      <c r="T127" s="2042">
        <v>52.718253967518528</v>
      </c>
      <c r="U127" s="2042">
        <v>53.064516128648137</v>
      </c>
      <c r="V127" s="2042">
        <v>50.985630438849427</v>
      </c>
      <c r="W127" s="2042">
        <v>51.530642223391013</v>
      </c>
      <c r="X127" s="2042">
        <v>55.636510827255613</v>
      </c>
      <c r="Y127" s="2042">
        <v>57.21644436681845</v>
      </c>
      <c r="Z127" s="2042">
        <v>52.717550972799025</v>
      </c>
      <c r="AA127" s="2042">
        <v>52.098765431979366</v>
      </c>
      <c r="AB127" s="2042">
        <v>56.856062832319374</v>
      </c>
      <c r="AC127" s="2042">
        <v>59.321999595886467</v>
      </c>
      <c r="AD127" s="2043">
        <v>49.636680572067391</v>
      </c>
    </row>
    <row r="128" spans="18:30" ht="16.5" thickBot="1">
      <c r="R128" s="1586" t="s">
        <v>164</v>
      </c>
      <c r="S128" s="2041">
        <v>39.308160373479083</v>
      </c>
      <c r="T128" s="2042">
        <v>42.687682215230602</v>
      </c>
      <c r="U128" s="2042">
        <v>40.352205398905092</v>
      </c>
      <c r="V128" s="2042">
        <v>40.521842597985732</v>
      </c>
      <c r="W128" s="2042">
        <v>39.52558766917236</v>
      </c>
      <c r="X128" s="2042">
        <v>39.224885262389598</v>
      </c>
      <c r="Y128" s="2042">
        <v>39.122567485502302</v>
      </c>
      <c r="Z128" s="2042">
        <v>39.83155401334114</v>
      </c>
      <c r="AA128" s="2042">
        <v>39.58524562298421</v>
      </c>
      <c r="AB128" s="2042">
        <v>41.545623530314131</v>
      </c>
      <c r="AC128" s="2042">
        <v>38.674145843474754</v>
      </c>
      <c r="AD128" s="2043">
        <v>40.053626359469156</v>
      </c>
    </row>
    <row r="131" spans="18:30" ht="15.75" thickBot="1"/>
    <row r="132" spans="18:30" ht="16.5" thickBot="1">
      <c r="S132" s="2044"/>
      <c r="T132" s="2045"/>
      <c r="U132" s="2045"/>
      <c r="V132" s="2045"/>
      <c r="W132" s="2045"/>
      <c r="X132" s="2045">
        <v>2009</v>
      </c>
      <c r="Y132" s="2045"/>
      <c r="Z132" s="2045"/>
      <c r="AA132" s="2045"/>
      <c r="AB132" s="2045"/>
      <c r="AC132" s="2045"/>
      <c r="AD132" s="2046"/>
    </row>
    <row r="133" spans="18:30" ht="15.75" thickBot="1">
      <c r="R133" s="1578" t="s">
        <v>928</v>
      </c>
      <c r="S133" s="2047" t="s">
        <v>37</v>
      </c>
      <c r="T133" s="2048" t="s">
        <v>38</v>
      </c>
      <c r="U133" s="2048" t="s">
        <v>39</v>
      </c>
      <c r="V133" s="2048" t="s">
        <v>40</v>
      </c>
      <c r="W133" s="2048" t="s">
        <v>41</v>
      </c>
      <c r="X133" s="2048" t="s">
        <v>42</v>
      </c>
      <c r="Y133" s="2048" t="s">
        <v>43</v>
      </c>
      <c r="Z133" s="2048" t="s">
        <v>44</v>
      </c>
      <c r="AA133" s="2048" t="s">
        <v>45</v>
      </c>
      <c r="AB133" s="2048" t="s">
        <v>46</v>
      </c>
      <c r="AC133" s="2048" t="s">
        <v>47</v>
      </c>
      <c r="AD133" s="2049" t="s">
        <v>48</v>
      </c>
    </row>
    <row r="134" spans="18:30" ht="15.75" thickBot="1">
      <c r="S134" s="2050"/>
      <c r="T134" s="2051"/>
      <c r="U134" s="2051"/>
      <c r="V134" s="2051"/>
      <c r="W134" s="2051"/>
      <c r="X134" s="2051"/>
      <c r="Y134" s="2051"/>
      <c r="Z134" s="2051"/>
      <c r="AA134" s="2051"/>
      <c r="AB134" s="2051"/>
      <c r="AC134" s="2051"/>
      <c r="AD134" s="2052"/>
    </row>
    <row r="135" spans="18:30" ht="16.5" thickBot="1">
      <c r="R135" s="1578" t="s">
        <v>169</v>
      </c>
      <c r="S135" s="2053">
        <v>47.276710982789211</v>
      </c>
      <c r="T135" s="2054">
        <v>48.627691780909444</v>
      </c>
      <c r="U135" s="2054">
        <v>50.878535751101467</v>
      </c>
      <c r="V135" s="2054">
        <v>46.381673143536318</v>
      </c>
      <c r="W135" s="2054">
        <v>48.21662465190493</v>
      </c>
      <c r="X135" s="2054">
        <v>49.669792091339772</v>
      </c>
      <c r="Y135" s="2054">
        <v>52.647843982929082</v>
      </c>
      <c r="Z135" s="2054">
        <v>52.179589997558047</v>
      </c>
      <c r="AA135" s="2054">
        <v>49.544645303169894</v>
      </c>
      <c r="AB135" s="2054">
        <v>52.417375007233247</v>
      </c>
      <c r="AC135" s="2054">
        <v>54.481723949776615</v>
      </c>
      <c r="AD135" s="2055">
        <v>46.643221451943326</v>
      </c>
    </row>
    <row r="136" spans="18:30" ht="15.75">
      <c r="R136" s="1579" t="s">
        <v>162</v>
      </c>
      <c r="S136" s="2053">
        <v>53.881581441257346</v>
      </c>
      <c r="T136" s="2054">
        <v>59.046080243319629</v>
      </c>
      <c r="U136" s="2054">
        <v>66.724627252391571</v>
      </c>
      <c r="V136" s="2054">
        <v>56.726559272391569</v>
      </c>
      <c r="W136" s="2054">
        <v>58.026541952087982</v>
      </c>
      <c r="X136" s="2054">
        <v>62.232548533166046</v>
      </c>
      <c r="Y136" s="2054">
        <v>64.141919473995031</v>
      </c>
      <c r="Z136" s="2054">
        <v>67.869992074089481</v>
      </c>
      <c r="AA136" s="2054">
        <v>64.950640622986768</v>
      </c>
      <c r="AB136" s="2054">
        <v>72.697522208594819</v>
      </c>
      <c r="AC136" s="2054">
        <v>74.553665196326406</v>
      </c>
      <c r="AD136" s="2055">
        <v>54.354940342394457</v>
      </c>
    </row>
    <row r="137" spans="18:30" ht="15.75">
      <c r="R137" s="1579" t="s">
        <v>163</v>
      </c>
      <c r="S137" s="2053">
        <v>48.092979126448533</v>
      </c>
      <c r="T137" s="2054">
        <v>47.124474789998537</v>
      </c>
      <c r="U137" s="2054">
        <v>44.800730733482865</v>
      </c>
      <c r="V137" s="2054">
        <v>46.430700446442629</v>
      </c>
      <c r="W137" s="2054">
        <v>48.765902701403242</v>
      </c>
      <c r="X137" s="2054">
        <v>49.59038508731053</v>
      </c>
      <c r="Y137" s="2054">
        <v>52.752260912553353</v>
      </c>
      <c r="Z137" s="2054">
        <v>49.424048662824049</v>
      </c>
      <c r="AA137" s="2054">
        <v>49.752720078999999</v>
      </c>
      <c r="AB137" s="2054">
        <v>52.259007734564321</v>
      </c>
      <c r="AC137" s="2054">
        <v>53.630604288406431</v>
      </c>
      <c r="AD137" s="2055">
        <v>47.110460863343086</v>
      </c>
    </row>
    <row r="138" spans="18:30" ht="16.5" thickBot="1">
      <c r="R138" s="1580" t="s">
        <v>164</v>
      </c>
      <c r="S138" s="2053">
        <v>40.873593203790051</v>
      </c>
      <c r="T138" s="2054">
        <v>40.541237113186085</v>
      </c>
      <c r="U138" s="2054">
        <v>41.867062730181587</v>
      </c>
      <c r="V138" s="2054">
        <v>37.709949991713913</v>
      </c>
      <c r="W138" s="2054">
        <v>39.640872452465594</v>
      </c>
      <c r="X138" s="2054">
        <v>39.23607518568442</v>
      </c>
      <c r="Y138" s="2054">
        <v>42.999083104914732</v>
      </c>
      <c r="Z138" s="2054">
        <v>41.217896299902222</v>
      </c>
      <c r="AA138" s="2054">
        <v>36.751163994132952</v>
      </c>
      <c r="AB138" s="2054">
        <v>35.879378535660628</v>
      </c>
      <c r="AC138" s="2054">
        <v>38.604931884841157</v>
      </c>
      <c r="AD138" s="2055">
        <v>39.988330416010861</v>
      </c>
    </row>
    <row r="141" spans="18:30" ht="15.75" thickBot="1"/>
    <row r="142" spans="18:30" ht="16.5" thickBot="1">
      <c r="S142" s="2056"/>
      <c r="T142" s="187"/>
      <c r="U142" s="187"/>
      <c r="V142" s="187"/>
      <c r="W142" s="187"/>
      <c r="X142" s="2057">
        <v>2008</v>
      </c>
      <c r="Y142" s="187"/>
      <c r="Z142" s="187"/>
      <c r="AA142" s="187"/>
      <c r="AB142" s="187"/>
      <c r="AC142" s="187"/>
      <c r="AD142" s="2058"/>
    </row>
    <row r="143" spans="18:30" ht="15.75" thickBot="1">
      <c r="R143" s="1587" t="s">
        <v>929</v>
      </c>
      <c r="S143" s="2059" t="s">
        <v>37</v>
      </c>
      <c r="T143" s="2060" t="s">
        <v>38</v>
      </c>
      <c r="U143" s="2060" t="s">
        <v>39</v>
      </c>
      <c r="V143" s="2060" t="s">
        <v>40</v>
      </c>
      <c r="W143" s="2060" t="s">
        <v>41</v>
      </c>
      <c r="X143" s="2060" t="s">
        <v>42</v>
      </c>
      <c r="Y143" s="2060" t="s">
        <v>43</v>
      </c>
      <c r="Z143" s="2060" t="s">
        <v>44</v>
      </c>
      <c r="AA143" s="2060" t="s">
        <v>45</v>
      </c>
      <c r="AB143" s="2060" t="s">
        <v>46</v>
      </c>
      <c r="AC143" s="2060" t="s">
        <v>47</v>
      </c>
      <c r="AD143" s="2060" t="s">
        <v>48</v>
      </c>
    </row>
    <row r="144" spans="18:30" ht="15.75" thickBot="1">
      <c r="S144" s="2059"/>
      <c r="T144" s="2060"/>
      <c r="U144" s="2060"/>
      <c r="V144" s="2060"/>
      <c r="W144" s="2060"/>
      <c r="X144" s="2060"/>
      <c r="Y144" s="2060"/>
      <c r="Z144" s="2060"/>
      <c r="AA144" s="2060"/>
      <c r="AB144" s="2060"/>
      <c r="AC144" s="2060"/>
      <c r="AD144" s="2060"/>
    </row>
    <row r="145" spans="18:30" ht="16.5" thickBot="1">
      <c r="R145" s="1587" t="s">
        <v>169</v>
      </c>
      <c r="S145" s="2061">
        <v>47.852340968457582</v>
      </c>
      <c r="T145" s="2062">
        <v>51.920638945599286</v>
      </c>
      <c r="U145" s="2062">
        <v>50.493490406671988</v>
      </c>
      <c r="V145" s="2062">
        <v>53.271377995810482</v>
      </c>
      <c r="W145" s="2062">
        <v>53.435094344529858</v>
      </c>
      <c r="X145" s="2062">
        <v>56.232091690366374</v>
      </c>
      <c r="Y145" s="2062">
        <v>58.864695707466012</v>
      </c>
      <c r="Z145" s="2062">
        <v>55.950510346118698</v>
      </c>
      <c r="AA145" s="2062">
        <v>56.10178741937068</v>
      </c>
      <c r="AB145" s="2062">
        <v>55.655553282211514</v>
      </c>
      <c r="AC145" s="2062">
        <v>59.003612076366181</v>
      </c>
      <c r="AD145" s="2062">
        <v>48.137284627777461</v>
      </c>
    </row>
    <row r="146" spans="18:30" ht="15.75">
      <c r="R146" s="1588" t="s">
        <v>162</v>
      </c>
      <c r="S146" s="2061">
        <v>62.385879489150945</v>
      </c>
      <c r="T146" s="2062">
        <v>71.988576265006145</v>
      </c>
      <c r="U146" s="2062">
        <v>68.408866019858891</v>
      </c>
      <c r="V146" s="2062">
        <v>71.728016361153379</v>
      </c>
      <c r="W146" s="2062">
        <v>71.994134897518421</v>
      </c>
      <c r="X146" s="2062">
        <v>75.280507779158469</v>
      </c>
      <c r="Y146" s="2062">
        <v>76.381073155067568</v>
      </c>
      <c r="Z146" s="2062">
        <v>71.647380518882059</v>
      </c>
      <c r="AA146" s="2062">
        <v>74.780917279404164</v>
      </c>
      <c r="AB146" s="2062">
        <v>75.416105253599511</v>
      </c>
      <c r="AC146" s="2062">
        <v>78.599508598918916</v>
      </c>
      <c r="AD146" s="2062">
        <v>59.742807324066334</v>
      </c>
    </row>
    <row r="147" spans="18:30" ht="15.75">
      <c r="R147" s="1588" t="s">
        <v>163</v>
      </c>
      <c r="S147" s="2061">
        <v>48.650280085107021</v>
      </c>
      <c r="T147" s="2062">
        <v>50.988540160694605</v>
      </c>
      <c r="U147" s="2062">
        <v>48.099768205303157</v>
      </c>
      <c r="V147" s="2062">
        <v>50.508982035748495</v>
      </c>
      <c r="W147" s="2062">
        <v>51.209677419509781</v>
      </c>
      <c r="X147" s="2062">
        <v>55.549698795173207</v>
      </c>
      <c r="Y147" s="2062">
        <v>58.892829382112964</v>
      </c>
      <c r="Z147" s="2062">
        <v>55.591721726871242</v>
      </c>
      <c r="AA147" s="2062">
        <v>52.999497991992463</v>
      </c>
      <c r="AB147" s="2062">
        <v>54.181915125755822</v>
      </c>
      <c r="AC147" s="2062">
        <v>58.066616578824942</v>
      </c>
      <c r="AD147" s="2062">
        <v>49.013797123383284</v>
      </c>
    </row>
    <row r="148" spans="18:30" ht="16.5" thickBot="1">
      <c r="R148" s="1589" t="s">
        <v>164</v>
      </c>
      <c r="S148" s="2061">
        <v>35.326759150972528</v>
      </c>
      <c r="T148" s="2062">
        <v>35.617294979795858</v>
      </c>
      <c r="U148" s="2062">
        <v>37.019889687259585</v>
      </c>
      <c r="V148" s="2062">
        <v>39.595854921786511</v>
      </c>
      <c r="W148" s="2062">
        <v>39.311382249276676</v>
      </c>
      <c r="X148" s="2062">
        <v>40.633851468740943</v>
      </c>
      <c r="Y148" s="2062">
        <v>44.069864616986024</v>
      </c>
      <c r="Z148" s="2062">
        <v>42.956710680368396</v>
      </c>
      <c r="AA148" s="2062">
        <v>42.480138169331084</v>
      </c>
      <c r="AB148" s="2062">
        <v>40.003342803881353</v>
      </c>
      <c r="AC148" s="2062">
        <v>43.136645962759331</v>
      </c>
      <c r="AD148" s="2062">
        <v>37.787542861150662</v>
      </c>
    </row>
    <row r="151" spans="18:30" ht="15.75" thickBot="1"/>
    <row r="152" spans="18:30" ht="15.75" thickBot="1">
      <c r="S152" s="2063"/>
      <c r="T152" s="2064"/>
      <c r="U152" s="2064"/>
      <c r="V152" s="2065"/>
      <c r="W152" s="2064"/>
      <c r="X152" s="2066">
        <v>2007</v>
      </c>
      <c r="Y152" s="2066"/>
      <c r="Z152" s="2064"/>
      <c r="AA152" s="2064"/>
      <c r="AB152" s="2064"/>
      <c r="AC152" s="2064"/>
      <c r="AD152" s="2067"/>
    </row>
    <row r="153" spans="18:30" ht="15.75" thickBot="1">
      <c r="R153" s="1590" t="s">
        <v>930</v>
      </c>
      <c r="S153" s="2068" t="s">
        <v>37</v>
      </c>
      <c r="T153" s="190" t="s">
        <v>38</v>
      </c>
      <c r="U153" s="190" t="s">
        <v>39</v>
      </c>
      <c r="V153" s="190" t="s">
        <v>40</v>
      </c>
      <c r="W153" s="190" t="s">
        <v>41</v>
      </c>
      <c r="X153" s="190" t="s">
        <v>42</v>
      </c>
      <c r="Y153" s="190" t="s">
        <v>43</v>
      </c>
      <c r="Z153" s="190" t="s">
        <v>44</v>
      </c>
      <c r="AA153" s="190" t="s">
        <v>45</v>
      </c>
      <c r="AB153" s="190" t="s">
        <v>46</v>
      </c>
      <c r="AC153" s="190" t="s">
        <v>47</v>
      </c>
      <c r="AD153" s="191" t="s">
        <v>48</v>
      </c>
    </row>
    <row r="154" spans="18:30" ht="15.75" thickBot="1">
      <c r="S154" s="2069"/>
      <c r="T154" s="2070"/>
      <c r="U154" s="2070"/>
      <c r="V154" s="2070"/>
      <c r="W154" s="2070"/>
      <c r="X154" s="2070"/>
      <c r="Y154" s="2070"/>
      <c r="Z154" s="2070"/>
      <c r="AA154" s="2070"/>
      <c r="AB154" s="2070"/>
      <c r="AC154" s="2070"/>
      <c r="AD154" s="2071"/>
    </row>
    <row r="155" spans="18:30" ht="16.5" thickBot="1">
      <c r="R155" s="1590" t="s">
        <v>169</v>
      </c>
      <c r="S155" s="2072">
        <v>47.239377634177075</v>
      </c>
      <c r="T155" s="2073">
        <v>50.688309020043988</v>
      </c>
      <c r="U155" s="2073">
        <v>51.845590867311138</v>
      </c>
      <c r="V155" s="2073">
        <v>50.847376353295132</v>
      </c>
      <c r="W155" s="2073">
        <v>50.261856463469151</v>
      </c>
      <c r="X155" s="2073">
        <v>55.469242361743312</v>
      </c>
      <c r="Y155" s="2073">
        <v>55.089875335545024</v>
      </c>
      <c r="Z155" s="2073">
        <v>53.986819566650787</v>
      </c>
      <c r="AA155" s="2073">
        <v>51.96837624161931</v>
      </c>
      <c r="AB155" s="2073">
        <v>53.713306698027367</v>
      </c>
      <c r="AC155" s="2073">
        <v>58.200243210258613</v>
      </c>
      <c r="AD155" s="2074">
        <v>44.25835728769222</v>
      </c>
    </row>
    <row r="156" spans="18:30" ht="15.75">
      <c r="R156" s="1591" t="s">
        <v>162</v>
      </c>
      <c r="S156" s="2072">
        <v>64.23691168809836</v>
      </c>
      <c r="T156" s="2073">
        <v>70.47914818109318</v>
      </c>
      <c r="U156" s="2073">
        <v>73.89701462659626</v>
      </c>
      <c r="V156" s="2073">
        <v>69.63354037385092</v>
      </c>
      <c r="W156" s="2073">
        <v>67.727910240484476</v>
      </c>
      <c r="X156" s="2073">
        <v>79.476190476683229</v>
      </c>
      <c r="Y156" s="2073">
        <v>73.653973059927807</v>
      </c>
      <c r="Z156" s="2073">
        <v>70.488204141325383</v>
      </c>
      <c r="AA156" s="2073">
        <v>73.926368158782083</v>
      </c>
      <c r="AB156" s="2073">
        <v>74.561386617898506</v>
      </c>
      <c r="AC156" s="2073">
        <v>77.562189054244783</v>
      </c>
      <c r="AD156" s="2074">
        <v>56.946642321528302</v>
      </c>
    </row>
    <row r="157" spans="18:30" ht="15.75">
      <c r="R157" s="1591" t="s">
        <v>163</v>
      </c>
      <c r="S157" s="2072">
        <v>45.156822446045695</v>
      </c>
      <c r="T157" s="2073">
        <v>48.166245745545744</v>
      </c>
      <c r="U157" s="2073">
        <v>46.574980797897318</v>
      </c>
      <c r="V157" s="2073">
        <v>46.72371031802605</v>
      </c>
      <c r="W157" s="2073">
        <v>48.334293394901792</v>
      </c>
      <c r="X157" s="2073">
        <v>50.376984125961307</v>
      </c>
      <c r="Y157" s="2073">
        <v>54.783258595718991</v>
      </c>
      <c r="Z157" s="2073">
        <v>54.364467982388057</v>
      </c>
      <c r="AA157" s="2073">
        <v>47.070858283677396</v>
      </c>
      <c r="AB157" s="2073">
        <v>55.324029360527696</v>
      </c>
      <c r="AC157" s="2073">
        <v>58.405688623355545</v>
      </c>
      <c r="AD157" s="2074">
        <v>42.964071856426649</v>
      </c>
    </row>
    <row r="158" spans="18:30" ht="16.5" thickBot="1">
      <c r="R158" s="1592" t="s">
        <v>164</v>
      </c>
      <c r="S158" s="2072">
        <v>35.173011262103216</v>
      </c>
      <c r="T158" s="2073">
        <v>36.075810692248986</v>
      </c>
      <c r="U158" s="2073">
        <v>36.982048859383887</v>
      </c>
      <c r="V158" s="2073">
        <v>37.927126917263088</v>
      </c>
      <c r="W158" s="2073">
        <v>36.909501956753665</v>
      </c>
      <c r="X158" s="2073">
        <v>38.833682008101988</v>
      </c>
      <c r="Y158" s="2073">
        <v>39.225739212545058</v>
      </c>
      <c r="Z158" s="2073">
        <v>39.319874261977589</v>
      </c>
      <c r="AA158" s="2073">
        <v>36.236559139934968</v>
      </c>
      <c r="AB158" s="2073">
        <v>34.424826290699279</v>
      </c>
      <c r="AC158" s="2073">
        <v>41.192581036273026</v>
      </c>
      <c r="AD158" s="2074">
        <v>34.661474942412063</v>
      </c>
    </row>
    <row r="160" spans="18:30" ht="15.75" thickBot="1"/>
    <row r="161" spans="18:30">
      <c r="X161" s="187"/>
      <c r="Y161" s="187"/>
      <c r="Z161" s="187"/>
      <c r="AA161" s="2075">
        <v>2006</v>
      </c>
      <c r="AB161" s="187"/>
      <c r="AC161" s="187"/>
      <c r="AD161" s="2076"/>
    </row>
    <row r="162" spans="18:30" ht="15.75" thickBot="1">
      <c r="X162" s="2060" t="s">
        <v>42</v>
      </c>
      <c r="Y162" s="2060" t="s">
        <v>43</v>
      </c>
      <c r="Z162" s="2060" t="s">
        <v>44</v>
      </c>
      <c r="AA162" s="2060" t="s">
        <v>45</v>
      </c>
      <c r="AB162" s="2060" t="s">
        <v>46</v>
      </c>
      <c r="AC162" s="2060" t="s">
        <v>47</v>
      </c>
      <c r="AD162" s="2077" t="s">
        <v>48</v>
      </c>
    </row>
    <row r="163" spans="18:30" ht="15.75" thickBot="1">
      <c r="R163" s="1587" t="s">
        <v>931</v>
      </c>
      <c r="X163" s="2060"/>
      <c r="Y163" s="2060"/>
      <c r="Z163" s="2060"/>
      <c r="AA163" s="2060"/>
      <c r="AB163" s="2060"/>
      <c r="AC163" s="2060"/>
      <c r="AD163" s="2077"/>
    </row>
    <row r="164" spans="18:30" ht="16.5" thickBot="1">
      <c r="R164" s="1587" t="s">
        <v>169</v>
      </c>
      <c r="X164" s="2062">
        <v>50.845060706401767</v>
      </c>
      <c r="Y164" s="2062">
        <v>46.981423648154973</v>
      </c>
      <c r="Z164" s="2062">
        <v>49.288885986678856</v>
      </c>
      <c r="AA164" s="2062">
        <v>47.349454717875773</v>
      </c>
      <c r="AB164" s="2062">
        <v>49.325955800596077</v>
      </c>
      <c r="AC164" s="2062">
        <v>53.017335517335518</v>
      </c>
      <c r="AD164" s="2078">
        <v>42.113676266345223</v>
      </c>
    </row>
    <row r="165" spans="18:30" ht="15.75">
      <c r="R165" s="1588" t="s">
        <v>162</v>
      </c>
      <c r="X165" s="2062">
        <v>66.837820914214149</v>
      </c>
      <c r="Y165" s="2062">
        <v>70.627458693941776</v>
      </c>
      <c r="Z165" s="2062">
        <v>66.456287985039737</v>
      </c>
      <c r="AA165" s="2062">
        <v>71.515693285657534</v>
      </c>
      <c r="AB165" s="2062">
        <v>69.76457204558163</v>
      </c>
      <c r="AC165" s="2062">
        <v>75.224148236700543</v>
      </c>
      <c r="AD165" s="2078">
        <v>54.53881819078623</v>
      </c>
    </row>
    <row r="166" spans="18:30" ht="15.75">
      <c r="R166" s="1588" t="s">
        <v>163</v>
      </c>
      <c r="X166" s="2062">
        <v>45.746951219512191</v>
      </c>
      <c r="Y166" s="2062">
        <v>44.423549833646753</v>
      </c>
      <c r="Z166" s="2062">
        <v>46.168896280173151</v>
      </c>
      <c r="AA166" s="2062">
        <v>43.744257274119448</v>
      </c>
      <c r="AB166" s="2062">
        <v>49.859529423568958</v>
      </c>
      <c r="AC166" s="2062">
        <v>49.807592303692147</v>
      </c>
      <c r="AD166" s="2078">
        <v>40.646617636350399</v>
      </c>
    </row>
    <row r="167" spans="18:30" ht="16.5" thickBot="1">
      <c r="R167" s="1589" t="s">
        <v>164</v>
      </c>
      <c r="X167" s="2062">
        <v>41.041775004333509</v>
      </c>
      <c r="Y167" s="2062">
        <v>29.399592563481498</v>
      </c>
      <c r="Z167" s="2062">
        <v>36.915373881638345</v>
      </c>
      <c r="AA167" s="2062">
        <v>28.845293409051799</v>
      </c>
      <c r="AB167" s="2062">
        <v>31.383578919421211</v>
      </c>
      <c r="AC167" s="2062">
        <v>35.890789701054089</v>
      </c>
      <c r="AD167" s="2078">
        <v>32.743581303489137</v>
      </c>
    </row>
  </sheetData>
  <mergeCells count="11">
    <mergeCell ref="B2:M2"/>
    <mergeCell ref="AB48:AD48"/>
    <mergeCell ref="E22:L22"/>
    <mergeCell ref="E16:M16"/>
    <mergeCell ref="E17:M17"/>
    <mergeCell ref="E18:M18"/>
    <mergeCell ref="E19:M19"/>
    <mergeCell ref="E20:M20"/>
    <mergeCell ref="E21:M21"/>
    <mergeCell ref="W34:AD34"/>
    <mergeCell ref="R8:R9"/>
  </mergeCells>
  <hyperlinks>
    <hyperlink ref="C13" r:id="rId1"/>
    <hyperlink ref="O40" r:id="rId2"/>
    <hyperlink ref="O23" r:id="rId3"/>
    <hyperlink ref="O26" r:id="rId4"/>
    <hyperlink ref="O28" r:id="rId5"/>
    <hyperlink ref="O42" r:id="rId6"/>
    <hyperlink ref="O38" r:id="rId7"/>
  </hyperlinks>
  <pageMargins left="0.35433070866141736" right="0.23622047244094491" top="0.74803149606299213" bottom="0.74803149606299213" header="0.31496062992125984" footer="0.31496062992125984"/>
  <pageSetup scale="17" orientation="landscape" verticalDpi="597" r:id="rId8"/>
  <drawing r:id="rId9"/>
  <legacyDrawing r:id="rId1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Q129"/>
  <sheetViews>
    <sheetView showGridLines="0" zoomScaleNormal="100" workbookViewId="0">
      <selection activeCell="B16" sqref="B16:B18"/>
    </sheetView>
  </sheetViews>
  <sheetFormatPr baseColWidth="10" defaultColWidth="11.42578125" defaultRowHeight="15" zeroHeight="1"/>
  <cols>
    <col min="1" max="1" width="2.7109375" style="1609" customWidth="1"/>
    <col min="2" max="2" width="21.5703125" style="1609" customWidth="1"/>
    <col min="3" max="3" width="15.140625" style="1609" customWidth="1"/>
    <col min="4" max="12" width="9.7109375" style="1609" customWidth="1"/>
    <col min="13" max="13" width="9.85546875" style="1609" bestFit="1" customWidth="1"/>
    <col min="14" max="14" width="9" style="1609" bestFit="1" customWidth="1"/>
    <col min="15" max="15" width="12.5703125" style="1609" customWidth="1"/>
    <col min="16" max="17" width="11.42578125" style="1609" customWidth="1"/>
    <col min="18" max="24" width="8.7109375" style="1609" customWidth="1"/>
    <col min="25" max="26" width="11.42578125" style="1609" customWidth="1"/>
    <col min="27" max="33" width="8.7109375" style="1609" customWidth="1"/>
    <col min="34" max="37" width="11.42578125" style="1609" customWidth="1"/>
    <col min="38" max="16384" width="11.42578125" style="1609"/>
  </cols>
  <sheetData>
    <row r="1" spans="1:17" s="570" customFormat="1" ht="9" customHeight="1">
      <c r="A1" s="3226"/>
      <c r="B1" s="3226"/>
      <c r="C1" s="3227"/>
      <c r="D1" s="3228"/>
      <c r="E1" s="3228"/>
      <c r="F1" s="3228"/>
      <c r="G1" s="3228"/>
      <c r="H1" s="3228"/>
      <c r="I1" s="3228"/>
      <c r="J1" s="3228"/>
      <c r="K1" s="3228"/>
      <c r="L1" s="3228"/>
      <c r="M1" s="3226"/>
      <c r="N1" s="3228"/>
    </row>
    <row r="2" spans="1:17" s="570" customFormat="1" ht="24" thickBot="1">
      <c r="A2" s="3226"/>
      <c r="B2" s="3229" t="s">
        <v>751</v>
      </c>
      <c r="C2" s="3230"/>
      <c r="D2" s="3231"/>
      <c r="F2" s="3226"/>
      <c r="M2" s="3232"/>
      <c r="O2" s="2101"/>
    </row>
    <row r="3" spans="1:17" s="570" customFormat="1">
      <c r="A3" s="3226"/>
      <c r="B3" s="3233" t="s">
        <v>219</v>
      </c>
      <c r="C3" s="3234"/>
      <c r="D3" s="3235" t="s">
        <v>165</v>
      </c>
      <c r="E3" s="3236"/>
      <c r="F3" s="3237"/>
      <c r="G3" s="3236"/>
      <c r="H3" s="3236" t="s">
        <v>547</v>
      </c>
      <c r="I3" s="3236"/>
      <c r="J3" s="3236"/>
      <c r="K3" s="3238"/>
      <c r="L3" s="3238"/>
      <c r="M3" s="3237"/>
      <c r="N3" s="3237"/>
      <c r="O3" s="3237"/>
      <c r="P3" s="3237"/>
      <c r="Q3" s="3239"/>
    </row>
    <row r="4" spans="1:17">
      <c r="A4" s="185"/>
      <c r="B4" s="3240"/>
      <c r="C4" s="3241"/>
      <c r="D4" s="3242">
        <v>2006</v>
      </c>
      <c r="E4" s="3243">
        <v>2007</v>
      </c>
      <c r="F4" s="3243">
        <v>2008</v>
      </c>
      <c r="G4" s="3243">
        <v>2009</v>
      </c>
      <c r="H4" s="3243">
        <v>2010</v>
      </c>
      <c r="I4" s="3243">
        <v>2011</v>
      </c>
      <c r="J4" s="3243">
        <v>2012</v>
      </c>
      <c r="K4" s="3243">
        <v>2013</v>
      </c>
      <c r="L4" s="3243">
        <v>2014</v>
      </c>
      <c r="M4" s="3243">
        <v>2015</v>
      </c>
      <c r="N4" s="3243">
        <v>2016</v>
      </c>
      <c r="O4" s="3244" t="s">
        <v>696</v>
      </c>
      <c r="P4" s="3245" t="s">
        <v>1007</v>
      </c>
      <c r="Q4" s="3245" t="s">
        <v>1135</v>
      </c>
    </row>
    <row r="5" spans="1:17">
      <c r="A5" s="185"/>
      <c r="B5" s="3246"/>
      <c r="C5" s="3241" t="s">
        <v>166</v>
      </c>
      <c r="D5" s="3247" t="s">
        <v>167</v>
      </c>
      <c r="E5" s="3248" t="s">
        <v>49</v>
      </c>
      <c r="F5" s="3248" t="s">
        <v>49</v>
      </c>
      <c r="G5" s="3248" t="s">
        <v>49</v>
      </c>
      <c r="H5" s="3248" t="s">
        <v>49</v>
      </c>
      <c r="I5" s="3248" t="s">
        <v>49</v>
      </c>
      <c r="J5" s="3248" t="s">
        <v>168</v>
      </c>
      <c r="K5" s="3248" t="s">
        <v>168</v>
      </c>
      <c r="L5" s="3248" t="s">
        <v>49</v>
      </c>
      <c r="M5" s="3248" t="s">
        <v>49</v>
      </c>
      <c r="N5" s="3248" t="s">
        <v>49</v>
      </c>
      <c r="O5" s="3249" t="s">
        <v>694</v>
      </c>
      <c r="P5" s="3250" t="s">
        <v>694</v>
      </c>
      <c r="Q5" s="3250" t="s">
        <v>694</v>
      </c>
    </row>
    <row r="6" spans="1:17" hidden="1">
      <c r="A6" s="185"/>
      <c r="B6" s="3251" t="s">
        <v>162</v>
      </c>
      <c r="C6" s="3241"/>
      <c r="D6" s="3247">
        <v>1.5773254270289405</v>
      </c>
      <c r="E6" s="3252">
        <v>1.5744474859930453</v>
      </c>
      <c r="F6" s="3252">
        <v>1.5638712683756273</v>
      </c>
      <c r="G6" s="3252">
        <v>1.5667115293310827</v>
      </c>
      <c r="H6" s="3252">
        <v>1.5593222696817688</v>
      </c>
      <c r="I6" s="3252">
        <v>1.7252903768186687</v>
      </c>
      <c r="J6" s="3252">
        <v>1.6675865896511384</v>
      </c>
      <c r="K6" s="3252">
        <v>1.7278327203378285</v>
      </c>
      <c r="L6" s="3252"/>
      <c r="M6" s="3252"/>
      <c r="N6" s="3252"/>
      <c r="O6" s="3253"/>
      <c r="P6" s="3254"/>
      <c r="Q6" s="3254"/>
    </row>
    <row r="7" spans="1:17" hidden="1">
      <c r="A7" s="185"/>
      <c r="B7" s="3251" t="s">
        <v>163</v>
      </c>
      <c r="C7" s="3241"/>
      <c r="D7" s="3247">
        <v>1.6286832190126559</v>
      </c>
      <c r="E7" s="3252">
        <v>1.5154382146546497</v>
      </c>
      <c r="F7" s="3252">
        <v>1.5143356241091426</v>
      </c>
      <c r="G7" s="3252">
        <v>1.423619021477498</v>
      </c>
      <c r="H7" s="3252">
        <v>1.4526986735145564</v>
      </c>
      <c r="I7" s="3252">
        <v>1.4295638733909997</v>
      </c>
      <c r="J7" s="3252">
        <v>1.4642313455106659</v>
      </c>
      <c r="K7" s="3252">
        <v>1.5349434855567554</v>
      </c>
      <c r="L7" s="3252"/>
      <c r="M7" s="3252"/>
      <c r="N7" s="3252"/>
      <c r="O7" s="3253"/>
      <c r="P7" s="3254"/>
      <c r="Q7" s="3254"/>
    </row>
    <row r="8" spans="1:17" hidden="1">
      <c r="A8" s="185"/>
      <c r="B8" s="3251" t="s">
        <v>164</v>
      </c>
      <c r="C8" s="3241"/>
      <c r="D8" s="3247">
        <v>1.4668541543319518</v>
      </c>
      <c r="E8" s="3252">
        <v>1.3812645607055933</v>
      </c>
      <c r="F8" s="3252">
        <v>1.2607456278549865</v>
      </c>
      <c r="G8" s="3252">
        <v>1.1821936578764178</v>
      </c>
      <c r="H8" s="3252">
        <v>1.1900794709679083</v>
      </c>
      <c r="I8" s="3252">
        <v>1.243522881891137</v>
      </c>
      <c r="J8" s="3252">
        <v>1.3230585013979768</v>
      </c>
      <c r="K8" s="3252">
        <v>1.2704909357618104</v>
      </c>
      <c r="L8" s="3252"/>
      <c r="M8" s="3252"/>
      <c r="N8" s="3252"/>
      <c r="O8" s="3253"/>
      <c r="P8" s="3254"/>
      <c r="Q8" s="3254"/>
    </row>
    <row r="9" spans="1:17" hidden="1">
      <c r="A9" s="185"/>
      <c r="B9" s="3251" t="s">
        <v>221</v>
      </c>
      <c r="C9" s="3241"/>
      <c r="D9" s="3247">
        <v>1.5409268849373241</v>
      </c>
      <c r="E9" s="3252">
        <v>1.4617126346292795</v>
      </c>
      <c r="F9" s="3252">
        <v>1.3932879137938887</v>
      </c>
      <c r="G9" s="3252">
        <v>1.3178936724746533</v>
      </c>
      <c r="H9" s="3252">
        <v>1.3443240408286679</v>
      </c>
      <c r="I9" s="3252">
        <v>1.394757606030772</v>
      </c>
      <c r="J9" s="3252">
        <v>1.4350198458362768</v>
      </c>
      <c r="K9" s="3252">
        <v>1.4604597497153886</v>
      </c>
      <c r="L9" s="3252"/>
      <c r="M9" s="3252"/>
      <c r="N9" s="3252"/>
      <c r="O9" s="3253"/>
      <c r="P9" s="3254"/>
      <c r="Q9" s="3254"/>
    </row>
    <row r="10" spans="1:17" hidden="1">
      <c r="A10" s="185"/>
      <c r="B10" s="3255"/>
      <c r="C10" s="3241"/>
      <c r="D10" s="3256" t="str">
        <f>+D3</f>
        <v>Acumulados</v>
      </c>
      <c r="E10" s="3257"/>
      <c r="F10" s="3257"/>
      <c r="G10" s="3258"/>
      <c r="H10" s="3258" t="e">
        <f>+#REF!</f>
        <v>#REF!</v>
      </c>
      <c r="I10" s="3258"/>
      <c r="J10" s="3257"/>
      <c r="K10" s="3257"/>
      <c r="L10" s="3257"/>
      <c r="M10" s="3257"/>
      <c r="N10" s="3257"/>
      <c r="O10" s="3259"/>
      <c r="P10" s="3260"/>
      <c r="Q10" s="3260"/>
    </row>
    <row r="11" spans="1:17" hidden="1">
      <c r="A11" s="185"/>
      <c r="B11" s="3251" t="s">
        <v>162</v>
      </c>
      <c r="C11" s="3241"/>
      <c r="D11" s="3247">
        <v>1.628004460771451</v>
      </c>
      <c r="E11" s="3252">
        <v>1.7564460798985078</v>
      </c>
      <c r="F11" s="3252">
        <v>1.7093992298153993</v>
      </c>
      <c r="G11" s="3252">
        <v>1.7241935891355069</v>
      </c>
      <c r="H11" s="3252">
        <v>1.565574492719926</v>
      </c>
      <c r="I11" s="3252">
        <v>1.6422423769311509</v>
      </c>
      <c r="J11" s="3252">
        <v>1.695549697068228</v>
      </c>
      <c r="K11" s="3252">
        <v>1.6354209069655508</v>
      </c>
      <c r="L11" s="3252"/>
      <c r="M11" s="3252"/>
      <c r="N11" s="3252"/>
      <c r="O11" s="3253"/>
      <c r="P11" s="3254"/>
      <c r="Q11" s="3254"/>
    </row>
    <row r="12" spans="1:17" hidden="1">
      <c r="A12" s="185"/>
      <c r="B12" s="3251" t="s">
        <v>163</v>
      </c>
      <c r="C12" s="3241"/>
      <c r="D12" s="3247">
        <v>1.8911087045819486</v>
      </c>
      <c r="E12" s="3252">
        <v>1.7569338169784909</v>
      </c>
      <c r="F12" s="3252">
        <v>1.6253246251800582</v>
      </c>
      <c r="G12" s="3252">
        <v>1.5711965008474662</v>
      </c>
      <c r="H12" s="3252">
        <v>1.6061264660180792</v>
      </c>
      <c r="I12" s="3252">
        <v>1.5185617110340779</v>
      </c>
      <c r="J12" s="3252">
        <v>1.6628823636102446</v>
      </c>
      <c r="K12" s="3252">
        <v>1.5670499511603626</v>
      </c>
      <c r="L12" s="3252"/>
      <c r="M12" s="3252"/>
      <c r="N12" s="3252"/>
      <c r="O12" s="3253"/>
      <c r="P12" s="3254"/>
      <c r="Q12" s="3254"/>
    </row>
    <row r="13" spans="1:17" hidden="1">
      <c r="A13" s="185"/>
      <c r="B13" s="3251" t="s">
        <v>164</v>
      </c>
      <c r="C13" s="3241"/>
      <c r="D13" s="3247">
        <v>1.8188196255036739</v>
      </c>
      <c r="E13" s="3252">
        <v>1.6795107451045472</v>
      </c>
      <c r="F13" s="3252">
        <v>1.5372237999102731</v>
      </c>
      <c r="G13" s="3252">
        <v>1.3882129644268775</v>
      </c>
      <c r="H13" s="3252">
        <v>1.4737543725396276</v>
      </c>
      <c r="I13" s="3252">
        <v>1.4115962403598976</v>
      </c>
      <c r="J13" s="3252">
        <v>1.6117884293887921</v>
      </c>
      <c r="K13" s="3252">
        <v>1.6565251591289776</v>
      </c>
      <c r="L13" s="3252"/>
      <c r="M13" s="3252"/>
      <c r="N13" s="3252"/>
      <c r="O13" s="3253"/>
      <c r="P13" s="3254"/>
      <c r="Q13" s="3254"/>
    </row>
    <row r="14" spans="1:17" hidden="1">
      <c r="A14" s="185"/>
      <c r="B14" s="3251" t="s">
        <v>223</v>
      </c>
      <c r="C14" s="3241"/>
      <c r="D14" s="3247">
        <v>1.7172183989556304</v>
      </c>
      <c r="E14" s="3252">
        <v>1.7428810421277843</v>
      </c>
      <c r="F14" s="3252">
        <v>1.6515026830057939</v>
      </c>
      <c r="G14" s="3252">
        <v>1.6129445606483677</v>
      </c>
      <c r="H14" s="3252">
        <v>1.5605793439376641</v>
      </c>
      <c r="I14" s="3252">
        <v>1.558551096901361</v>
      </c>
      <c r="J14" s="3252">
        <v>1.6626710085689735</v>
      </c>
      <c r="K14" s="3252">
        <v>1.6166073661899483</v>
      </c>
      <c r="L14" s="3252"/>
      <c r="M14" s="3252"/>
      <c r="N14" s="3252"/>
      <c r="O14" s="3253"/>
      <c r="P14" s="3254"/>
      <c r="Q14" s="3254"/>
    </row>
    <row r="15" spans="1:17">
      <c r="A15" s="185"/>
      <c r="B15" s="3255"/>
      <c r="C15" s="3241"/>
      <c r="D15" s="3261" t="str">
        <f>+D3</f>
        <v>Acumulados</v>
      </c>
      <c r="E15" s="3257"/>
      <c r="F15" s="3257"/>
      <c r="G15" s="3258"/>
      <c r="H15" s="3262"/>
      <c r="I15" s="3258"/>
      <c r="J15" s="3257"/>
      <c r="K15" s="3257"/>
      <c r="L15" s="974" t="s">
        <v>358</v>
      </c>
      <c r="M15" s="974" t="s">
        <v>613</v>
      </c>
      <c r="N15" s="974" t="s">
        <v>699</v>
      </c>
      <c r="O15" s="1312" t="s">
        <v>898</v>
      </c>
      <c r="P15" s="2121" t="s">
        <v>1419</v>
      </c>
      <c r="Q15" s="2121" t="s">
        <v>1419</v>
      </c>
    </row>
    <row r="16" spans="1:17">
      <c r="A16" s="185"/>
      <c r="B16" s="3263" t="s">
        <v>1423</v>
      </c>
      <c r="C16" s="3264"/>
      <c r="D16" s="3265">
        <v>1.6142885859784815</v>
      </c>
      <c r="E16" s="3266">
        <v>1.7136095877827038</v>
      </c>
      <c r="F16" s="3266">
        <v>1.6673945049193584</v>
      </c>
      <c r="G16" s="3266">
        <v>1.6938734323633624</v>
      </c>
      <c r="H16" s="3266">
        <v>1.5639288708845749</v>
      </c>
      <c r="I16" s="3266">
        <v>1.687697939476452</v>
      </c>
      <c r="J16" s="3266">
        <v>1.6588613898438787</v>
      </c>
      <c r="K16" s="3266">
        <v>1.7722587868094171</v>
      </c>
      <c r="L16" s="3266">
        <v>1.7163406179145451</v>
      </c>
      <c r="M16" s="3266">
        <v>1.707987782490568</v>
      </c>
      <c r="N16" s="3266">
        <v>1.672298398929029</v>
      </c>
      <c r="O16" s="3267">
        <v>1.6794015480118631</v>
      </c>
      <c r="P16" s="3268">
        <f t="shared" ref="P16:Q16" si="0">AVERAGE(L16:O16)</f>
        <v>1.6940070868365014</v>
      </c>
      <c r="Q16" s="3268">
        <f t="shared" si="0"/>
        <v>1.6884237040669905</v>
      </c>
    </row>
    <row r="17" spans="1:17">
      <c r="A17" s="185"/>
      <c r="B17" s="3263" t="s">
        <v>1424</v>
      </c>
      <c r="C17" s="3264"/>
      <c r="D17" s="3265">
        <v>1.7501037452017845</v>
      </c>
      <c r="E17" s="3266">
        <v>1.6256989712119139</v>
      </c>
      <c r="F17" s="3266">
        <v>1.5697041078058034</v>
      </c>
      <c r="G17" s="3266">
        <v>1.4953483646547592</v>
      </c>
      <c r="H17" s="3266">
        <v>1.5246979148041686</v>
      </c>
      <c r="I17" s="3266">
        <v>1.4725599355332923</v>
      </c>
      <c r="J17" s="3266">
        <v>1.5583094889639395</v>
      </c>
      <c r="K17" s="3266">
        <v>1.5710912141560645</v>
      </c>
      <c r="L17" s="3266">
        <v>1.5809865305383213</v>
      </c>
      <c r="M17" s="3266">
        <v>1.5535594304643294</v>
      </c>
      <c r="N17" s="3266">
        <v>1.5537887147871752</v>
      </c>
      <c r="O17" s="3267">
        <v>1.5315145834595965</v>
      </c>
      <c r="P17" s="3268">
        <f t="shared" ref="P17:Q17" si="1">AVERAGE(L17:O17)</f>
        <v>1.5549623148123557</v>
      </c>
      <c r="Q17" s="3268">
        <f t="shared" si="1"/>
        <v>1.5484562608808641</v>
      </c>
    </row>
    <row r="18" spans="1:17" ht="15.75" thickBot="1">
      <c r="A18" s="185"/>
      <c r="B18" s="3263" t="s">
        <v>1425</v>
      </c>
      <c r="C18" s="3264"/>
      <c r="D18" s="3269">
        <v>1.574186581202536</v>
      </c>
      <c r="E18" s="3270">
        <v>1.4639136084905167</v>
      </c>
      <c r="F18" s="3270">
        <v>1.3386695069976413</v>
      </c>
      <c r="G18" s="3270">
        <v>1.2393112226172907</v>
      </c>
      <c r="H18" s="3270">
        <v>1.2651293331409998</v>
      </c>
      <c r="I18" s="3270">
        <v>1.2902288399147539</v>
      </c>
      <c r="J18" s="3270">
        <v>1.3966473082654167</v>
      </c>
      <c r="K18" s="3270">
        <v>1.4357428321230126</v>
      </c>
      <c r="L18" s="3270">
        <v>1.5242255498597903</v>
      </c>
      <c r="M18" s="3270">
        <v>1.4809016616053134</v>
      </c>
      <c r="N18" s="3270">
        <v>1.4348377511665937</v>
      </c>
      <c r="O18" s="3271">
        <v>1.4157283717951621</v>
      </c>
      <c r="P18" s="3272">
        <f t="shared" ref="P18:Q18" si="2">AVERAGE(L18:O18)</f>
        <v>1.463923333606715</v>
      </c>
      <c r="Q18" s="3272">
        <f t="shared" si="2"/>
        <v>1.448847779543446</v>
      </c>
    </row>
    <row r="19" spans="1:17" ht="15.75" thickBot="1">
      <c r="A19" s="185"/>
      <c r="B19" s="3273" t="s">
        <v>224</v>
      </c>
      <c r="C19" s="3274"/>
      <c r="D19" s="3275">
        <v>1.6355509319981032</v>
      </c>
      <c r="E19" s="3276">
        <v>1.6057938243488814</v>
      </c>
      <c r="F19" s="3276">
        <v>1.5220293541723511</v>
      </c>
      <c r="G19" s="3276">
        <v>1.4659289769839066</v>
      </c>
      <c r="H19" s="3276">
        <v>1.4492757533049243</v>
      </c>
      <c r="I19" s="3276">
        <v>1.4819725113027151</v>
      </c>
      <c r="J19" s="3276">
        <v>1.5431726537996364</v>
      </c>
      <c r="K19" s="3276">
        <v>1.5994361485517086</v>
      </c>
      <c r="L19" s="3276">
        <v>1.6156575134046374</v>
      </c>
      <c r="M19" s="3276">
        <v>1.5855894194982867</v>
      </c>
      <c r="N19" s="3276">
        <v>1.5566332188277681</v>
      </c>
      <c r="O19" s="3277">
        <v>1.5448134813886878</v>
      </c>
      <c r="P19" s="3281">
        <f>AVERAGE(L19:O19)</f>
        <v>1.5756734082798449</v>
      </c>
      <c r="Q19" s="3281">
        <f>AVERAGE(M19:P19)</f>
        <v>1.5656773819986467</v>
      </c>
    </row>
    <row r="20" spans="1:17">
      <c r="A20" s="185"/>
      <c r="B20" s="3278"/>
      <c r="C20" s="3279"/>
      <c r="D20" s="3943" t="s">
        <v>760</v>
      </c>
      <c r="E20" s="3943"/>
      <c r="F20" s="3943"/>
      <c r="G20" s="3943"/>
      <c r="H20" s="3943"/>
      <c r="I20" s="3943"/>
      <c r="J20" s="3943"/>
      <c r="K20" s="3943"/>
      <c r="L20" s="3943"/>
      <c r="M20" s="3943"/>
      <c r="N20" s="3943"/>
      <c r="O20" s="3943"/>
      <c r="P20" s="3280"/>
      <c r="Q20" s="3280"/>
    </row>
    <row r="21" spans="1:17">
      <c r="D21" s="68" t="s">
        <v>1418</v>
      </c>
    </row>
    <row r="22" spans="1:17"/>
    <row r="23" spans="1:17"/>
    <row r="24" spans="1:17"/>
    <row r="25" spans="1:17"/>
    <row r="26" spans="1:17"/>
    <row r="27" spans="1:17"/>
    <row r="28" spans="1:17"/>
    <row r="29" spans="1:17"/>
    <row r="30" spans="1:17"/>
    <row r="31" spans="1:17"/>
    <row r="32" spans="1:17"/>
    <row r="33" spans="2:2"/>
    <row r="34" spans="2:2"/>
    <row r="35" spans="2:2">
      <c r="B35" s="569" t="s">
        <v>618</v>
      </c>
    </row>
    <row r="36" spans="2:2">
      <c r="B36" s="570" t="s">
        <v>619</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R18"/>
  <sheetViews>
    <sheetView showGridLines="0" zoomScaleNormal="100" workbookViewId="0">
      <pane xSplit="2" ySplit="4" topLeftCell="D5" activePane="bottomRight" state="frozen"/>
      <selection pane="topRight" activeCell="C1" sqref="C1"/>
      <selection pane="bottomLeft" activeCell="A5" sqref="A5"/>
      <selection pane="bottomRight" activeCell="R4" sqref="R4"/>
    </sheetView>
  </sheetViews>
  <sheetFormatPr baseColWidth="10" defaultColWidth="11.42578125" defaultRowHeight="15" customHeight="1"/>
  <cols>
    <col min="1" max="1" width="2.7109375" style="2" customWidth="1"/>
    <col min="2" max="2" width="31.5703125" style="2" bestFit="1" customWidth="1"/>
    <col min="3" max="16" width="8" style="2" customWidth="1"/>
    <col min="17" max="17" width="14.5703125" style="2" customWidth="1"/>
    <col min="18" max="18" width="56" style="266" bestFit="1" customWidth="1"/>
    <col min="19" max="24" width="8.7109375" style="2" customWidth="1"/>
    <col min="25" max="26" width="11.42578125" style="2" customWidth="1"/>
    <col min="27" max="33" width="8.7109375" style="2" customWidth="1"/>
    <col min="34" max="37" width="11.42578125" style="2" customWidth="1"/>
    <col min="38" max="16384" width="11.42578125" style="2"/>
  </cols>
  <sheetData>
    <row r="1" spans="1:18" s="723" customFormat="1" ht="12.75">
      <c r="B1" s="2102"/>
      <c r="C1" s="2103"/>
      <c r="D1" s="2103"/>
      <c r="E1" s="2103"/>
      <c r="F1" s="2103"/>
      <c r="G1" s="2103"/>
      <c r="H1" s="2103"/>
      <c r="I1" s="2103"/>
      <c r="J1" s="2103"/>
      <c r="K1" s="2103"/>
      <c r="L1" s="2102"/>
      <c r="M1" s="2103"/>
      <c r="R1" s="642"/>
    </row>
    <row r="2" spans="1:18" s="723" customFormat="1" ht="39" thickBot="1">
      <c r="B2" s="2104" t="s">
        <v>751</v>
      </c>
      <c r="C2" s="2105"/>
      <c r="E2" s="2102"/>
      <c r="L2" s="2106"/>
      <c r="N2" s="2101"/>
      <c r="Q2" s="3283" t="s">
        <v>1421</v>
      </c>
      <c r="R2" s="642"/>
    </row>
    <row r="3" spans="1:18" s="723" customFormat="1" ht="19.5" customHeight="1">
      <c r="B3" s="3944" t="s">
        <v>1090</v>
      </c>
      <c r="C3" s="3946">
        <v>2006</v>
      </c>
      <c r="D3" s="3948">
        <v>2007</v>
      </c>
      <c r="E3" s="3948">
        <v>2008</v>
      </c>
      <c r="F3" s="3948">
        <v>2009</v>
      </c>
      <c r="G3" s="3948">
        <v>2010</v>
      </c>
      <c r="H3" s="3948">
        <v>2011</v>
      </c>
      <c r="I3" s="3948">
        <v>2012</v>
      </c>
      <c r="J3" s="3948">
        <v>2013</v>
      </c>
      <c r="K3" s="3948">
        <v>2014</v>
      </c>
      <c r="L3" s="3948">
        <v>2015</v>
      </c>
      <c r="M3" s="3948">
        <v>2016</v>
      </c>
      <c r="N3" s="3948" t="s">
        <v>696</v>
      </c>
      <c r="O3" s="3950" t="s">
        <v>1007</v>
      </c>
      <c r="P3" s="3950" t="s">
        <v>1135</v>
      </c>
      <c r="Q3" s="3952" t="s">
        <v>1420</v>
      </c>
      <c r="R3" s="642"/>
    </row>
    <row r="4" spans="1:18" ht="19.5" customHeight="1" thickBot="1">
      <c r="B4" s="3945"/>
      <c r="C4" s="3947"/>
      <c r="D4" s="3949"/>
      <c r="E4" s="3949"/>
      <c r="F4" s="3949"/>
      <c r="G4" s="3949"/>
      <c r="H4" s="3949"/>
      <c r="I4" s="3949"/>
      <c r="J4" s="3949"/>
      <c r="K4" s="3949"/>
      <c r="L4" s="3949"/>
      <c r="M4" s="3949"/>
      <c r="N4" s="3949"/>
      <c r="O4" s="3951"/>
      <c r="P4" s="3951"/>
      <c r="Q4" s="3953"/>
      <c r="R4" s="2122" t="s">
        <v>1103</v>
      </c>
    </row>
    <row r="5" spans="1:18" ht="12.75">
      <c r="A5" s="266"/>
      <c r="B5" s="2107" t="s">
        <v>955</v>
      </c>
      <c r="C5" s="2108">
        <f>'Estancia hotelera'!D19</f>
        <v>1.6355509319981032</v>
      </c>
      <c r="D5" s="2108">
        <f>'Estancia hotelera'!E19</f>
        <v>1.6057938243488814</v>
      </c>
      <c r="E5" s="2108">
        <f>'Estancia hotelera'!F19</f>
        <v>1.5220293541723511</v>
      </c>
      <c r="F5" s="2108">
        <f>'Estancia hotelera'!G19</f>
        <v>1.4659289769839066</v>
      </c>
      <c r="G5" s="2108">
        <f>'Estancia hotelera'!H19</f>
        <v>1.4492757533049243</v>
      </c>
      <c r="H5" s="2108">
        <f>'Estancia hotelera'!I19</f>
        <v>1.4819725113027151</v>
      </c>
      <c r="I5" s="2108">
        <f>'Estancia hotelera'!J19</f>
        <v>1.5431726537996364</v>
      </c>
      <c r="J5" s="2108">
        <f>'Estancia hotelera'!K19</f>
        <v>1.5994361485517086</v>
      </c>
      <c r="K5" s="2108">
        <f>'Estancia hotelera'!L19</f>
        <v>1.6156575134046374</v>
      </c>
      <c r="L5" s="2108">
        <f>'Estancia hotelera'!M19</f>
        <v>1.5855894194982867</v>
      </c>
      <c r="M5" s="2108">
        <f>'Estancia hotelera'!N19</f>
        <v>1.5566332188277681</v>
      </c>
      <c r="N5" s="2108">
        <f>'Estancia hotelera'!O19</f>
        <v>1.5448134813886878</v>
      </c>
      <c r="O5" s="2123">
        <f>'Estancia hotelera'!P19</f>
        <v>1.5756734082798449</v>
      </c>
      <c r="P5" s="2123">
        <f>'Estancia hotelera'!Q19</f>
        <v>1.5656773819986467</v>
      </c>
      <c r="Q5" s="3282">
        <f>P5</f>
        <v>1.5656773819986467</v>
      </c>
      <c r="R5" s="266" t="s">
        <v>760</v>
      </c>
    </row>
    <row r="6" spans="1:18" ht="12.75">
      <c r="B6" s="2109" t="s">
        <v>1091</v>
      </c>
      <c r="C6" s="2116"/>
      <c r="D6" s="2117"/>
      <c r="E6" s="2117"/>
      <c r="F6" s="2117"/>
      <c r="G6" s="2117">
        <f>AVERAGE(1.38,1.43,1.41,1.47,1.49,1.41,1.45,1.45,1.47,1.44,1.41,1.41)</f>
        <v>1.4349999999999998</v>
      </c>
      <c r="H6" s="2117"/>
      <c r="I6" s="2117"/>
      <c r="J6" s="2117"/>
      <c r="K6" s="2117"/>
      <c r="L6" s="2117"/>
      <c r="M6" s="2117"/>
      <c r="N6" s="2117"/>
      <c r="O6" s="2119"/>
      <c r="P6" s="2119"/>
      <c r="Q6" s="3282">
        <f>AVERAGE(G6:P6)</f>
        <v>1.4349999999999998</v>
      </c>
      <c r="R6" s="2111" t="s">
        <v>1092</v>
      </c>
    </row>
    <row r="7" spans="1:18" ht="12.75">
      <c r="B7" s="2109" t="s">
        <v>1093</v>
      </c>
      <c r="C7" s="2117"/>
      <c r="D7" s="2117"/>
      <c r="E7" s="2117"/>
      <c r="F7" s="2117"/>
      <c r="G7" s="2117">
        <f>AVERAGE(2.09,2.14,2.21,2.38,2.47,2.64,2.92,3.19,2.84,2.46,2.17,2.12)</f>
        <v>2.4691666666666672</v>
      </c>
      <c r="H7" s="2117">
        <f>AVERAGE(2.16,2.16,2.26,2.51,2.47,2.76,2.9,3.19,2.88,2.52,2.24,2.15)</f>
        <v>2.5166666666666662</v>
      </c>
      <c r="I7" s="2117">
        <f>AVERAGE(2.17,2.22,2.27,2.54,2.63,2.82,3.05,3.38,2.97,2.62,2.29,2.22)</f>
        <v>2.5983333333333332</v>
      </c>
      <c r="J7" s="2117">
        <f>AVERAGE(2.29,2.31,2.44,2.5,2.71,2.88,3.12,3.35,3.02,2.6,2.27,2.24)</f>
        <v>2.644166666666667</v>
      </c>
      <c r="K7" s="2117">
        <f>AVERAGE(2.31,2.32,2.37,2.64,2.67,2.8,3,3.25,2.94,2.64,2.33,2.2)</f>
        <v>2.6225000000000001</v>
      </c>
      <c r="L7" s="2117">
        <f>AVERAGE(2.35,2.3,2.5,2.61,2.63,2.72,3.14,3.28,2.63,2.38,2.32)</f>
        <v>2.6236363636363635</v>
      </c>
      <c r="M7" s="2117">
        <f>AVERAGE(2.37,2.36,2.51,2.53,2.58,2.67, 2.92,3.2,2.87,2.57,2.34,2.38)</f>
        <v>2.6083333333333329</v>
      </c>
      <c r="N7" s="2117">
        <f>AVERAGE(2.33,2.34,2.46,2.58,2.64,2.82,2.98,3.28,2.84,2.6,2.25,2.2)</f>
        <v>2.6100000000000003</v>
      </c>
      <c r="O7" s="2119">
        <f>AVERAGE(2.3,2.28,2.38,2.49,2.67,2.66,2.87,3.15)</f>
        <v>2.5999999999999996</v>
      </c>
      <c r="P7" s="2119">
        <f>AVERAGE(2.3,2.28,2.38,2.49,2.67,2.66,2.87,3.15)</f>
        <v>2.5999999999999996</v>
      </c>
      <c r="Q7" s="3282">
        <f>P7</f>
        <v>2.5999999999999996</v>
      </c>
      <c r="R7" s="2111" t="s">
        <v>1101</v>
      </c>
    </row>
    <row r="8" spans="1:18" ht="12.75">
      <c r="B8" s="2109" t="s">
        <v>1094</v>
      </c>
      <c r="C8" s="2117"/>
      <c r="D8" s="2117"/>
      <c r="E8" s="2117"/>
      <c r="F8" s="2117"/>
      <c r="G8" s="2117"/>
      <c r="H8" s="2117"/>
      <c r="I8" s="2117"/>
      <c r="J8" s="2117"/>
      <c r="K8" s="2117"/>
      <c r="L8" s="2117">
        <v>1.96</v>
      </c>
      <c r="M8" s="2117"/>
      <c r="N8" s="2117"/>
      <c r="O8" s="2119"/>
      <c r="P8" s="2119"/>
      <c r="Q8" s="3282">
        <f>L8</f>
        <v>1.96</v>
      </c>
      <c r="R8" s="266" t="s">
        <v>1095</v>
      </c>
    </row>
    <row r="9" spans="1:18" ht="12.75">
      <c r="B9" s="2109" t="s">
        <v>1100</v>
      </c>
      <c r="C9" s="2117"/>
      <c r="D9" s="2117"/>
      <c r="E9" s="2117"/>
      <c r="F9" s="2117"/>
      <c r="G9" s="2117">
        <f>AVERAGE(1.86,1.83,1.88,1.98,1.92,1.88,1.84,1.93,1.89,1.89,1.86,1.82)</f>
        <v>1.8816666666666668</v>
      </c>
      <c r="H9" s="2117">
        <f>AVERAGE(1.89,1.85,1.92,2.02,1.94,1.87,1.86,2.07,1.91,1.98,1.88,1.89)</f>
        <v>1.9233333333333331</v>
      </c>
      <c r="I9" s="2117">
        <f>AVERAGE(1.9,1.83,1.88,2,1.89,1.85,1.85,1.89,1.92,1.95,1.9,1.86)</f>
        <v>1.8933333333333329</v>
      </c>
      <c r="J9" s="2117">
        <f>AVERAGE(1.92,1.87,1.95,1.92,1.92,1.89,1.92,1.96,1.96,1.97,1.95,1.93)</f>
        <v>1.93</v>
      </c>
      <c r="K9" s="2117">
        <f>AVERAGE(1.92,1.84,1.94,1.99,1.97,1.9,1.89,1.92,1.99,1.94,1.92,1.92)</f>
        <v>1.9283333333333335</v>
      </c>
      <c r="L9" s="2117">
        <f>AVERAGE(1.959,1.85,1.94,1.98,1.99,1.92,1.91,1.97,1.95,1.98,1.92,1.95)</f>
        <v>1.9432499999999999</v>
      </c>
      <c r="M9" s="2117">
        <f>AVERAGE(1.98,1.9,1.94,1.9,1.89,1.87,1.95,2.01,1.95,1.97,1.91,2)</f>
        <v>1.9391666666666667</v>
      </c>
      <c r="N9" s="2117">
        <f>AVERAGE(2,1.91,1.93,2.03,1.97,2.02,1.99,2.06,1.98,1.99,2,2.01)</f>
        <v>1.9908333333333335</v>
      </c>
      <c r="O9" s="2119">
        <f>AVERAGE(2.03,1.91,1.95,2.01,1.99,1.94,1.95,2.01)</f>
        <v>1.9737499999999997</v>
      </c>
      <c r="P9" s="2119">
        <f>AVERAGE(2.03,1.91,1.95,2.01,1.99,1.94,1.95,2.01)</f>
        <v>1.9737499999999997</v>
      </c>
      <c r="Q9" s="3282">
        <f>P9</f>
        <v>1.9737499999999997</v>
      </c>
      <c r="R9" s="266" t="s">
        <v>1101</v>
      </c>
    </row>
    <row r="10" spans="1:18" ht="12.75">
      <c r="B10" s="2109" t="s">
        <v>1104</v>
      </c>
      <c r="C10" s="2117">
        <v>1.4</v>
      </c>
      <c r="D10" s="2117">
        <v>1.4</v>
      </c>
      <c r="E10" s="2117">
        <v>1.4</v>
      </c>
      <c r="F10" s="2117">
        <v>1.4</v>
      </c>
      <c r="G10" s="2117">
        <v>1.3</v>
      </c>
      <c r="H10" s="2117">
        <v>1.3</v>
      </c>
      <c r="I10" s="2117">
        <v>1.4</v>
      </c>
      <c r="J10" s="2117"/>
      <c r="K10" s="2117"/>
      <c r="L10" s="2117"/>
      <c r="M10" s="2117"/>
      <c r="N10" s="2117"/>
      <c r="O10" s="2119"/>
      <c r="P10" s="2119"/>
      <c r="Q10" s="3282">
        <f>I10</f>
        <v>1.4</v>
      </c>
      <c r="R10" s="266" t="s">
        <v>1102</v>
      </c>
    </row>
    <row r="11" spans="1:18" ht="13.5" thickBot="1">
      <c r="B11" s="2110"/>
      <c r="C11" s="2118"/>
      <c r="D11" s="2118"/>
      <c r="E11" s="2118"/>
      <c r="F11" s="2118"/>
      <c r="G11" s="2118"/>
      <c r="H11" s="2118"/>
      <c r="I11" s="2118"/>
      <c r="J11" s="2118"/>
      <c r="K11" s="2118"/>
      <c r="L11" s="2118"/>
      <c r="M11" s="2118"/>
      <c r="N11" s="2118"/>
      <c r="O11" s="2120"/>
      <c r="P11" s="2120"/>
      <c r="Q11" s="2124"/>
    </row>
    <row r="12" spans="1:18" ht="12.75"/>
    <row r="13" spans="1:18" ht="12.75"/>
    <row r="14" spans="1:18" ht="12.75"/>
    <row r="15" spans="1:18" ht="12.75"/>
    <row r="16" spans="1:18" ht="12.75"/>
    <row r="17" ht="12.75"/>
    <row r="18" ht="12.75"/>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hyperlink ref="R9" r:id="rId2"/>
    <hyperlink ref="R7" r:id="rId3"/>
  </hyperlinks>
  <pageMargins left="0.70866141732283472" right="0.70866141732283472" top="0.74803149606299213" bottom="0.74803149606299213" header="0.31496062992125984" footer="0.31496062992125984"/>
  <pageSetup scale="58" orientation="landscape" verticalDpi="597" r:id="rId4"/>
  <drawing r:id="rId5"/>
  <legacy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M64"/>
  <sheetViews>
    <sheetView showGridLines="0" workbookViewId="0">
      <selection activeCell="B8" sqref="B8:B10"/>
    </sheetView>
  </sheetViews>
  <sheetFormatPr baseColWidth="10" defaultColWidth="11.42578125" defaultRowHeight="0" customHeight="1" zeroHeight="1"/>
  <cols>
    <col min="1" max="1" width="3.7109375" style="2" customWidth="1"/>
    <col min="2" max="2" width="43.5703125" style="2" bestFit="1" customWidth="1"/>
    <col min="3" max="3" width="4.85546875" style="2" bestFit="1" customWidth="1"/>
    <col min="4" max="4" width="5" style="2" hidden="1" customWidth="1"/>
    <col min="5" max="10" width="4.42578125" style="2" hidden="1" customWidth="1"/>
    <col min="11" max="11" width="5" style="2" hidden="1" customWidth="1"/>
    <col min="12" max="14" width="4.42578125" style="2" hidden="1" customWidth="1"/>
    <col min="15" max="15" width="4.7109375" style="2" hidden="1" customWidth="1"/>
    <col min="16" max="22" width="4.42578125" style="2" hidden="1" customWidth="1"/>
    <col min="23" max="23" width="5" style="2" hidden="1" customWidth="1"/>
    <col min="24" max="26" width="4.42578125" style="2" hidden="1" customWidth="1"/>
    <col min="27" max="27" width="4.7109375" style="2" hidden="1" customWidth="1"/>
    <col min="28" max="34" width="4.42578125" style="2" hidden="1" customWidth="1"/>
    <col min="35" max="35" width="5" style="2" hidden="1" customWidth="1"/>
    <col min="36" max="46" width="4.42578125" style="2" hidden="1" customWidth="1"/>
    <col min="47" max="47" width="5" style="2" hidden="1" customWidth="1"/>
    <col min="48" max="58" width="4.42578125" style="2" hidden="1" customWidth="1"/>
    <col min="59" max="59" width="5" style="2" hidden="1" customWidth="1"/>
    <col min="60" max="68" width="4.42578125" style="2" hidden="1" customWidth="1"/>
    <col min="69" max="70" width="5.42578125" style="2" hidden="1" customWidth="1"/>
    <col min="71" max="71" width="5.42578125" style="618" hidden="1" customWidth="1"/>
    <col min="72" max="74" width="5.42578125" style="2132" hidden="1" customWidth="1"/>
    <col min="75" max="75" width="4.42578125" style="2132" hidden="1" customWidth="1"/>
    <col min="76" max="76" width="5.42578125" style="2132" hidden="1" customWidth="1"/>
    <col min="77" max="79" width="4.42578125" style="2132" hidden="1" customWidth="1"/>
    <col min="80" max="81" width="5.42578125" style="2132" hidden="1" customWidth="1"/>
    <col min="82" max="82" width="5.42578125" style="3369" hidden="1" customWidth="1"/>
    <col min="83" max="85" width="5.42578125" style="2132" hidden="1" customWidth="1"/>
    <col min="86" max="86" width="4.42578125" style="2132" hidden="1" customWidth="1"/>
    <col min="87" max="93" width="5.42578125" style="2132" hidden="1" customWidth="1"/>
    <col min="94" max="94" width="4.42578125" style="2132" hidden="1" customWidth="1"/>
    <col min="95" max="95" width="5.5703125" style="2" hidden="1" customWidth="1"/>
    <col min="96" max="96" width="5.5703125" style="2131" hidden="1" customWidth="1"/>
    <col min="97" max="104" width="5.5703125" style="2132" hidden="1" customWidth="1"/>
    <col min="105" max="106" width="5.5703125" style="2" hidden="1" customWidth="1"/>
    <col min="107" max="155" width="5.42578125" style="2" hidden="1" customWidth="1"/>
    <col min="156" max="156" width="2.85546875" style="2" customWidth="1"/>
    <col min="157" max="157" width="6.140625" style="2" bestFit="1" customWidth="1"/>
    <col min="158" max="162" width="6.7109375" style="2" bestFit="1" customWidth="1"/>
    <col min="163" max="167" width="7.5703125" style="2" bestFit="1" customWidth="1"/>
    <col min="168" max="168" width="8.28515625" style="2" bestFit="1" customWidth="1"/>
    <col min="169" max="170" width="9.5703125" style="2" customWidth="1"/>
    <col min="171" max="16369" width="11.42578125" style="2"/>
    <col min="16370" max="16384" width="44.42578125" style="2" customWidth="1"/>
  </cols>
  <sheetData>
    <row r="1" spans="1:221" s="2498" customFormat="1" ht="12.75">
      <c r="A1" s="3286"/>
      <c r="B1" s="3286"/>
      <c r="C1" s="3284"/>
      <c r="D1" s="3287"/>
      <c r="E1" s="3288"/>
      <c r="F1" s="3288"/>
      <c r="G1" s="3288"/>
      <c r="H1" s="3288"/>
      <c r="I1" s="3288"/>
      <c r="J1" s="3285"/>
      <c r="K1" s="3285"/>
      <c r="L1" s="3285"/>
      <c r="M1" s="3285"/>
      <c r="N1" s="3285"/>
      <c r="O1" s="3285"/>
      <c r="P1" s="3285"/>
      <c r="Q1" s="3285"/>
      <c r="R1" s="3285"/>
      <c r="S1" s="3285"/>
      <c r="T1" s="3285"/>
      <c r="U1" s="3285"/>
      <c r="V1" s="3285"/>
      <c r="W1" s="3285"/>
      <c r="X1" s="3285"/>
      <c r="Y1" s="3285"/>
      <c r="Z1" s="3285"/>
      <c r="AA1" s="3285"/>
      <c r="AB1" s="3285"/>
      <c r="AC1" s="3285"/>
      <c r="AD1" s="3285"/>
      <c r="AE1" s="3285"/>
      <c r="AF1" s="3285"/>
      <c r="AG1" s="3285"/>
      <c r="AH1" s="3285"/>
      <c r="AI1" s="3285"/>
      <c r="AJ1" s="3285"/>
      <c r="AK1" s="3285"/>
      <c r="AL1" s="3285"/>
      <c r="AM1" s="3285"/>
      <c r="AN1" s="3285"/>
      <c r="AO1" s="3285"/>
      <c r="AP1" s="3285"/>
      <c r="AQ1" s="3285"/>
      <c r="AR1" s="3285"/>
      <c r="AS1" s="3285"/>
      <c r="AT1" s="3285"/>
      <c r="AU1" s="3285"/>
      <c r="AV1" s="3285"/>
      <c r="AW1" s="3285"/>
      <c r="AX1" s="3285"/>
      <c r="AY1" s="3285"/>
      <c r="AZ1" s="3285"/>
      <c r="BA1" s="3285"/>
      <c r="BB1" s="3285"/>
      <c r="BC1" s="3285"/>
      <c r="BD1" s="3285"/>
      <c r="BE1" s="3285"/>
      <c r="BF1" s="3285"/>
      <c r="BG1" s="3285"/>
      <c r="BH1" s="3285"/>
      <c r="BI1" s="3285"/>
      <c r="BJ1" s="3285"/>
      <c r="BK1" s="3285"/>
      <c r="BL1" s="3285"/>
      <c r="BM1" s="3285"/>
      <c r="BN1" s="3285"/>
      <c r="BO1" s="3285"/>
      <c r="BP1" s="3285"/>
      <c r="BQ1" s="3285"/>
      <c r="BR1" s="3285"/>
      <c r="BS1" s="3285"/>
      <c r="BT1" s="3285"/>
      <c r="BU1" s="3285"/>
      <c r="BV1" s="3285"/>
      <c r="BW1" s="3285"/>
      <c r="BX1" s="3285"/>
      <c r="BY1" s="3285"/>
      <c r="BZ1" s="3285"/>
      <c r="CA1" s="3285"/>
      <c r="CB1" s="3285"/>
      <c r="CC1" s="3285"/>
      <c r="CD1" s="3285"/>
      <c r="CE1" s="3285"/>
      <c r="CF1" s="3285"/>
      <c r="CG1" s="3285"/>
      <c r="CH1" s="3285"/>
      <c r="CI1" s="3285"/>
      <c r="CJ1" s="3285"/>
      <c r="CK1" s="3285"/>
      <c r="CL1" s="3285"/>
      <c r="CM1" s="3285"/>
      <c r="CN1" s="3285"/>
      <c r="CO1" s="3285"/>
      <c r="CP1" s="3285"/>
      <c r="CQ1" s="3285"/>
      <c r="CR1" s="3288"/>
      <c r="CS1" s="3288"/>
      <c r="CT1" s="3288"/>
      <c r="CU1" s="3288"/>
      <c r="CV1" s="3288"/>
      <c r="CW1" s="3288"/>
      <c r="CX1" s="3285"/>
      <c r="CY1" s="3285"/>
      <c r="CZ1" s="3285"/>
    </row>
    <row r="2" spans="1:221" ht="12.75">
      <c r="A2" s="3290"/>
      <c r="B2" s="3290"/>
      <c r="C2" s="3290"/>
      <c r="D2" s="3290"/>
      <c r="E2" s="3290"/>
      <c r="F2" s="3290"/>
      <c r="G2" s="3290"/>
      <c r="H2" s="3290"/>
      <c r="I2" s="3290"/>
      <c r="J2" s="3290"/>
      <c r="K2" s="3290"/>
      <c r="L2" s="3290"/>
      <c r="M2" s="3290"/>
      <c r="N2" s="3290"/>
      <c r="O2" s="3290"/>
      <c r="P2" s="3290"/>
      <c r="Q2" s="3290"/>
      <c r="R2" s="3290"/>
      <c r="S2" s="3290"/>
      <c r="T2" s="3290"/>
      <c r="U2" s="3290"/>
      <c r="V2" s="3290"/>
      <c r="W2" s="3290"/>
      <c r="X2" s="3290"/>
      <c r="Y2" s="3290"/>
      <c r="Z2" s="3290"/>
      <c r="AA2" s="3290"/>
      <c r="AB2" s="3290"/>
      <c r="AC2" s="3290"/>
      <c r="AD2" s="3290"/>
      <c r="AE2" s="3290"/>
      <c r="AF2" s="3290"/>
      <c r="AG2" s="3290"/>
      <c r="AH2" s="3290"/>
      <c r="AI2" s="3290"/>
      <c r="AJ2" s="3290"/>
      <c r="AK2" s="3290"/>
      <c r="AL2" s="3290"/>
      <c r="AM2" s="3290"/>
      <c r="AN2" s="3290"/>
      <c r="AO2" s="3290"/>
      <c r="AP2" s="3290"/>
      <c r="AQ2" s="3290"/>
      <c r="AR2" s="3290"/>
      <c r="AS2" s="3290"/>
      <c r="AT2" s="3290"/>
      <c r="AU2" s="3290"/>
      <c r="AV2" s="3290"/>
      <c r="AW2" s="3290"/>
      <c r="AX2" s="3290"/>
      <c r="AY2" s="3290"/>
      <c r="AZ2" s="3290"/>
      <c r="BA2" s="3290"/>
      <c r="BB2" s="3290"/>
      <c r="BC2" s="3290"/>
      <c r="BD2" s="3290"/>
      <c r="BE2" s="3290"/>
      <c r="BF2" s="3290"/>
      <c r="BG2" s="3290"/>
      <c r="BH2" s="3290"/>
      <c r="BI2" s="3290"/>
      <c r="BJ2" s="3290"/>
      <c r="BK2" s="3290"/>
      <c r="BL2" s="3290"/>
      <c r="BM2" s="3290"/>
      <c r="BN2" s="3290"/>
      <c r="BO2" s="3290"/>
      <c r="BP2" s="3290"/>
      <c r="BQ2" s="3290"/>
      <c r="BR2" s="3290"/>
      <c r="BS2" s="3290"/>
      <c r="BT2" s="3290"/>
      <c r="BU2" s="3290"/>
      <c r="BV2" s="3290"/>
      <c r="BW2" s="3290"/>
      <c r="BX2" s="3290"/>
      <c r="BY2" s="3290"/>
      <c r="BZ2" s="3290"/>
      <c r="CA2" s="3290"/>
      <c r="CB2" s="3290"/>
      <c r="CC2" s="3290"/>
      <c r="CD2" s="3290"/>
      <c r="CE2" s="3290"/>
      <c r="CF2" s="3290"/>
      <c r="CG2" s="3290"/>
      <c r="CH2" s="3290"/>
      <c r="CI2" s="3290"/>
      <c r="CJ2" s="3290"/>
      <c r="CK2" s="3290"/>
      <c r="CL2" s="3290"/>
      <c r="CM2" s="3290"/>
      <c r="CN2" s="3290"/>
      <c r="CO2" s="3290"/>
      <c r="CP2" s="3290"/>
      <c r="CQ2" s="3290"/>
      <c r="CR2" s="3290"/>
      <c r="CS2" s="3290"/>
      <c r="CT2" s="3290"/>
      <c r="CU2" s="3290"/>
      <c r="CV2" s="3290"/>
      <c r="CW2" s="3290"/>
      <c r="CX2" s="3290"/>
      <c r="CY2" s="3290"/>
      <c r="CZ2" s="3290"/>
    </row>
    <row r="3" spans="1:221" ht="13.5" thickBot="1">
      <c r="A3" s="3290"/>
      <c r="B3" s="3291" t="s">
        <v>197</v>
      </c>
      <c r="C3" s="3292"/>
      <c r="D3" s="3293"/>
      <c r="E3" s="3293"/>
      <c r="F3" s="3294"/>
      <c r="G3" s="3294"/>
      <c r="H3" s="3295"/>
      <c r="I3" s="3296"/>
      <c r="J3" s="3296"/>
      <c r="K3" s="3296"/>
      <c r="L3" s="3296"/>
      <c r="M3" s="3296"/>
      <c r="N3" s="3296"/>
      <c r="O3" s="3296"/>
      <c r="P3" s="3296"/>
      <c r="Q3" s="3296"/>
      <c r="R3" s="3296"/>
      <c r="S3" s="3296"/>
      <c r="T3" s="3296"/>
      <c r="U3" s="3296"/>
      <c r="V3" s="3296"/>
      <c r="W3" s="3296"/>
      <c r="X3" s="3296"/>
      <c r="Y3" s="3296"/>
      <c r="Z3" s="3296"/>
      <c r="AA3" s="3296"/>
      <c r="AB3" s="3296"/>
      <c r="AC3" s="3296"/>
      <c r="AD3" s="3296"/>
      <c r="AE3" s="3296"/>
      <c r="AF3" s="3296"/>
      <c r="AG3" s="3296"/>
      <c r="AH3" s="3296"/>
      <c r="AI3" s="3297"/>
      <c r="AJ3" s="3297"/>
      <c r="AK3" s="3297"/>
      <c r="AL3" s="3297"/>
      <c r="AM3" s="3297"/>
      <c r="AN3" s="3297"/>
      <c r="AO3" s="3297"/>
      <c r="AP3" s="3297"/>
      <c r="AQ3" s="3297"/>
      <c r="AR3" s="3297"/>
      <c r="AS3" s="3297"/>
      <c r="AT3" s="3297"/>
      <c r="AU3" s="3296"/>
      <c r="AV3" s="3296"/>
      <c r="AW3" s="3296"/>
      <c r="AX3" s="3296"/>
      <c r="AY3" s="3296"/>
      <c r="AZ3" s="3298"/>
      <c r="BA3" s="3298"/>
      <c r="BB3" s="3298"/>
      <c r="BC3" s="3298"/>
      <c r="BD3" s="3298"/>
      <c r="BE3" s="3298"/>
      <c r="BF3" s="3298"/>
      <c r="BG3" s="3296"/>
      <c r="BH3" s="3296"/>
      <c r="BI3" s="3296"/>
      <c r="BJ3" s="3296"/>
      <c r="BK3" s="3296"/>
      <c r="BL3" s="3296"/>
      <c r="BM3" s="3296"/>
      <c r="BN3" s="3296"/>
      <c r="BO3" s="3296"/>
      <c r="BP3" s="3296"/>
      <c r="BQ3" s="3296"/>
      <c r="BR3" s="3296"/>
      <c r="BS3" s="3296"/>
      <c r="BT3" s="3296"/>
      <c r="BU3" s="3296"/>
      <c r="BV3" s="3296"/>
      <c r="BW3" s="3296"/>
      <c r="BX3" s="3296"/>
      <c r="BY3" s="3296"/>
      <c r="BZ3" s="3296"/>
      <c r="CA3" s="3296"/>
      <c r="CB3" s="3296"/>
      <c r="CC3" s="3296"/>
      <c r="CD3" s="3296"/>
      <c r="CE3" s="3296"/>
      <c r="CF3" s="3296"/>
      <c r="CG3" s="3296"/>
      <c r="CH3" s="3296"/>
      <c r="CI3" s="3296"/>
      <c r="CJ3" s="3296"/>
      <c r="CK3" s="3296"/>
      <c r="CL3" s="3296"/>
      <c r="CM3" s="3296"/>
      <c r="CN3" s="3296"/>
      <c r="CO3" s="3296"/>
      <c r="CP3" s="3296"/>
      <c r="CQ3" s="3299"/>
      <c r="CR3" s="3300"/>
      <c r="CS3" s="3300"/>
      <c r="CT3" s="3301"/>
      <c r="CU3" s="3301"/>
      <c r="CV3" s="2"/>
      <c r="CW3" s="3302"/>
      <c r="CX3" s="3302"/>
      <c r="CY3" s="3303"/>
      <c r="CZ3" s="3303"/>
      <c r="DA3" s="3303"/>
      <c r="DB3" s="3304"/>
      <c r="DC3" s="3303"/>
      <c r="DD3" s="3303"/>
      <c r="DE3" s="3303"/>
      <c r="DF3" s="3303"/>
      <c r="DG3" s="3303"/>
      <c r="DH3" s="3303"/>
      <c r="DI3" s="3303"/>
      <c r="DJ3" s="3303"/>
      <c r="DK3" s="3303"/>
      <c r="DL3" s="3303"/>
      <c r="DM3" s="3303"/>
      <c r="DN3" s="3305"/>
      <c r="DO3" s="3305"/>
      <c r="DP3" s="3305"/>
      <c r="DQ3" s="3305"/>
      <c r="DR3" s="3305"/>
      <c r="DS3" s="3305"/>
      <c r="DT3" s="3305"/>
      <c r="DU3" s="3305"/>
      <c r="DV3" s="3306"/>
      <c r="DW3" s="3303"/>
      <c r="DX3" s="3304"/>
      <c r="DY3" s="3306"/>
      <c r="DZ3" s="3306"/>
      <c r="EA3" s="3306"/>
      <c r="EB3" s="3306"/>
      <c r="EC3" s="3306"/>
      <c r="ED3" s="3306"/>
      <c r="EE3" s="3306"/>
      <c r="EF3" s="3306"/>
      <c r="EG3" s="3306"/>
      <c r="EH3" s="3306"/>
      <c r="EI3" s="3306"/>
      <c r="EJ3" s="3306"/>
      <c r="EK3" s="3306"/>
      <c r="EL3" s="3306"/>
      <c r="EM3" s="3306"/>
      <c r="EN3" s="3306"/>
      <c r="EO3" s="3306"/>
      <c r="EP3" s="3306"/>
      <c r="EQ3" s="3306"/>
      <c r="ER3" s="3306"/>
      <c r="ES3" s="3306"/>
      <c r="ET3" s="3306"/>
      <c r="EU3" s="3306"/>
      <c r="EV3" s="3306"/>
      <c r="EW3" s="3306"/>
      <c r="EX3" s="3306"/>
      <c r="EY3" s="3306"/>
      <c r="EZ3" s="3306"/>
      <c r="FA3" s="3957" t="s">
        <v>165</v>
      </c>
      <c r="FB3" s="3958"/>
      <c r="FC3" s="3958"/>
      <c r="FD3" s="3958"/>
      <c r="FE3" s="3958"/>
      <c r="FF3" s="3958"/>
      <c r="FG3" s="3958"/>
      <c r="FH3" s="3958"/>
      <c r="FI3" s="3958"/>
      <c r="FJ3" s="3958"/>
      <c r="FK3" s="3958"/>
      <c r="FL3" s="3958"/>
      <c r="FM3" s="3958"/>
      <c r="FN3" s="3958"/>
    </row>
    <row r="4" spans="1:221" s="66" customFormat="1" ht="25.5" customHeight="1">
      <c r="A4" s="3422"/>
      <c r="B4" s="3423" t="s">
        <v>198</v>
      </c>
      <c r="C4" s="3424"/>
      <c r="D4" s="3425">
        <v>2006</v>
      </c>
      <c r="E4" s="3426"/>
      <c r="F4" s="3426"/>
      <c r="G4" s="3427"/>
      <c r="H4" s="3426"/>
      <c r="I4" s="3426"/>
      <c r="J4" s="3426"/>
      <c r="K4" s="3428">
        <v>2007</v>
      </c>
      <c r="L4" s="3429"/>
      <c r="M4" s="3429"/>
      <c r="N4" s="3430"/>
      <c r="O4" s="3430"/>
      <c r="P4" s="3431"/>
      <c r="Q4" s="3429"/>
      <c r="R4" s="3429"/>
      <c r="S4" s="3429"/>
      <c r="T4" s="3429"/>
      <c r="U4" s="3429"/>
      <c r="V4" s="3429"/>
      <c r="W4" s="3432">
        <v>2008</v>
      </c>
      <c r="X4" s="3433"/>
      <c r="Y4" s="3433"/>
      <c r="Z4" s="3433"/>
      <c r="AA4" s="3433"/>
      <c r="AB4" s="3433"/>
      <c r="AC4" s="3433"/>
      <c r="AD4" s="3433"/>
      <c r="AE4" s="3433"/>
      <c r="AF4" s="3433"/>
      <c r="AG4" s="3433"/>
      <c r="AH4" s="3433"/>
      <c r="AI4" s="3428">
        <v>2009</v>
      </c>
      <c r="AJ4" s="3428"/>
      <c r="AK4" s="3428"/>
      <c r="AL4" s="3428"/>
      <c r="AM4" s="3428"/>
      <c r="AN4" s="3428"/>
      <c r="AO4" s="3428"/>
      <c r="AP4" s="3428"/>
      <c r="AQ4" s="3428"/>
      <c r="AR4" s="3428"/>
      <c r="AS4" s="3428"/>
      <c r="AT4" s="3428"/>
      <c r="AU4" s="3434">
        <v>2010</v>
      </c>
      <c r="AV4" s="3434"/>
      <c r="AW4" s="3434"/>
      <c r="AX4" s="3434"/>
      <c r="AY4" s="3434"/>
      <c r="AZ4" s="3434"/>
      <c r="BA4" s="3434"/>
      <c r="BB4" s="3434"/>
      <c r="BC4" s="3434"/>
      <c r="BD4" s="3434"/>
      <c r="BE4" s="3434"/>
      <c r="BF4" s="3434"/>
      <c r="BG4" s="3435">
        <v>2011</v>
      </c>
      <c r="BH4" s="3435"/>
      <c r="BI4" s="3435"/>
      <c r="BJ4" s="3435"/>
      <c r="BK4" s="3435"/>
      <c r="BL4" s="3435"/>
      <c r="BM4" s="3435"/>
      <c r="BN4" s="3435"/>
      <c r="BO4" s="3435"/>
      <c r="BP4" s="3435"/>
      <c r="BQ4" s="3435"/>
      <c r="BR4" s="3435"/>
      <c r="BS4" s="3434">
        <v>2012</v>
      </c>
      <c r="BT4" s="3434"/>
      <c r="BU4" s="3434"/>
      <c r="BV4" s="3434"/>
      <c r="BW4" s="3434"/>
      <c r="BX4" s="3434"/>
      <c r="BY4" s="3434"/>
      <c r="BZ4" s="3434"/>
      <c r="CA4" s="3434"/>
      <c r="CB4" s="3434"/>
      <c r="CC4" s="3434"/>
      <c r="CD4" s="3434"/>
      <c r="CE4" s="3436">
        <v>2013</v>
      </c>
      <c r="CF4" s="3436"/>
      <c r="CG4" s="3436"/>
      <c r="CH4" s="3436"/>
      <c r="CI4" s="3436"/>
      <c r="CJ4" s="3436"/>
      <c r="CK4" s="3436"/>
      <c r="CL4" s="3436"/>
      <c r="CM4" s="3436"/>
      <c r="CN4" s="3436"/>
      <c r="CO4" s="3436"/>
      <c r="CP4" s="3436"/>
      <c r="CQ4" s="3434">
        <v>2014</v>
      </c>
      <c r="CR4" s="3434"/>
      <c r="CS4" s="3434"/>
      <c r="CT4" s="3434"/>
      <c r="CU4" s="3434"/>
      <c r="CV4" s="3434"/>
      <c r="CW4" s="3434"/>
      <c r="CX4" s="3434"/>
      <c r="CY4" s="3434"/>
      <c r="CZ4" s="3434"/>
      <c r="DA4" s="3434"/>
      <c r="DB4" s="3434"/>
      <c r="DC4" s="3437">
        <v>2015</v>
      </c>
      <c r="DD4" s="3436"/>
      <c r="DE4" s="3436"/>
      <c r="DF4" s="3436"/>
      <c r="DG4" s="3436"/>
      <c r="DH4" s="3436"/>
      <c r="DI4" s="3436"/>
      <c r="DJ4" s="3436"/>
      <c r="DK4" s="3436"/>
      <c r="DL4" s="3436"/>
      <c r="DM4" s="3436"/>
      <c r="DN4" s="3436"/>
      <c r="DO4" s="3438">
        <v>2016</v>
      </c>
      <c r="DP4" s="3439"/>
      <c r="DQ4" s="3439"/>
      <c r="DR4" s="3439"/>
      <c r="DS4" s="3439"/>
      <c r="DT4" s="3439"/>
      <c r="DU4" s="3439"/>
      <c r="DV4" s="3439"/>
      <c r="DW4" s="3439"/>
      <c r="DX4" s="3439"/>
      <c r="DY4" s="3439"/>
      <c r="DZ4" s="3439"/>
      <c r="EA4" s="3440">
        <v>2017</v>
      </c>
      <c r="EB4" s="3441"/>
      <c r="EC4" s="3441"/>
      <c r="ED4" s="3441"/>
      <c r="EE4" s="3441"/>
      <c r="EF4" s="3441"/>
      <c r="EG4" s="3441"/>
      <c r="EH4" s="3441"/>
      <c r="EI4" s="3441"/>
      <c r="EJ4" s="3441"/>
      <c r="EK4" s="3441"/>
      <c r="EL4" s="3441"/>
      <c r="EM4" s="3440">
        <v>2018</v>
      </c>
      <c r="EN4" s="3441"/>
      <c r="EO4" s="3441"/>
      <c r="EP4" s="3441"/>
      <c r="EQ4" s="3441"/>
      <c r="ER4" s="3441"/>
      <c r="ES4" s="3441"/>
      <c r="ET4" s="3441"/>
      <c r="EU4" s="3441"/>
      <c r="EV4" s="3441"/>
      <c r="EW4" s="3441"/>
      <c r="EX4" s="3441"/>
      <c r="EY4" s="3440">
        <v>2019</v>
      </c>
      <c r="EZ4" s="3434"/>
      <c r="FA4" s="3490">
        <v>2006</v>
      </c>
      <c r="FB4" s="3442">
        <v>2007</v>
      </c>
      <c r="FC4" s="3442">
        <v>2008</v>
      </c>
      <c r="FD4" s="3442">
        <v>2009</v>
      </c>
      <c r="FE4" s="3442">
        <v>2010</v>
      </c>
      <c r="FF4" s="3442">
        <v>2011</v>
      </c>
      <c r="FG4" s="3442">
        <v>2012</v>
      </c>
      <c r="FH4" s="3442">
        <v>2013</v>
      </c>
      <c r="FI4" s="3442">
        <v>2014</v>
      </c>
      <c r="FJ4" s="3442">
        <v>2015</v>
      </c>
      <c r="FK4" s="3442">
        <v>2016</v>
      </c>
      <c r="FL4" s="3442" t="s">
        <v>696</v>
      </c>
      <c r="FM4" s="3443" t="s">
        <v>1007</v>
      </c>
      <c r="FN4" s="3443" t="s">
        <v>1135</v>
      </c>
      <c r="FO4" s="3444"/>
      <c r="FP4" s="3445"/>
      <c r="FQ4" s="3445"/>
      <c r="FR4" s="3445"/>
      <c r="FS4" s="3445"/>
      <c r="FT4" s="3445"/>
      <c r="FU4" s="3445"/>
      <c r="FV4" s="3445"/>
      <c r="FW4" s="3445"/>
      <c r="FX4" s="3444"/>
      <c r="FY4" s="3444"/>
      <c r="FZ4" s="3444"/>
      <c r="GA4" s="3444"/>
      <c r="GB4" s="3444"/>
      <c r="GC4" s="3444"/>
      <c r="GD4" s="3444"/>
      <c r="GE4" s="3444"/>
      <c r="GF4" s="3444"/>
      <c r="GG4" s="3445"/>
      <c r="GH4" s="3445"/>
      <c r="GI4" s="3445"/>
      <c r="GJ4" s="3445"/>
      <c r="GK4" s="3445"/>
      <c r="GL4" s="3445"/>
      <c r="GM4" s="3445"/>
      <c r="GN4" s="3445"/>
      <c r="GO4" s="3445"/>
      <c r="GP4" s="3445"/>
      <c r="GQ4" s="3445"/>
      <c r="GR4" s="3445"/>
      <c r="GS4" s="3445"/>
      <c r="GT4" s="3445"/>
      <c r="GU4" s="3445"/>
      <c r="GV4" s="3445"/>
      <c r="GW4" s="3445"/>
      <c r="GX4" s="3445"/>
      <c r="GY4" s="3445"/>
      <c r="GZ4" s="3445"/>
      <c r="HA4" s="3445"/>
      <c r="HB4" s="3445"/>
      <c r="HC4" s="3445"/>
      <c r="HD4" s="3445"/>
      <c r="HE4" s="3445"/>
      <c r="HF4" s="3445"/>
      <c r="HG4" s="3445"/>
      <c r="HH4" s="3445"/>
      <c r="HI4" s="3445"/>
      <c r="HJ4" s="3445"/>
      <c r="HK4" s="3445"/>
      <c r="HL4" s="3445"/>
      <c r="HM4" s="3445"/>
    </row>
    <row r="5" spans="1:221" ht="12.75">
      <c r="A5" s="3290"/>
      <c r="B5" s="3309" t="s">
        <v>166</v>
      </c>
      <c r="C5" s="3310"/>
      <c r="D5" s="3311" t="s">
        <v>199</v>
      </c>
      <c r="E5" s="3311" t="s">
        <v>200</v>
      </c>
      <c r="F5" s="3311" t="s">
        <v>201</v>
      </c>
      <c r="G5" s="3311" t="s">
        <v>202</v>
      </c>
      <c r="H5" s="3311" t="s">
        <v>203</v>
      </c>
      <c r="I5" s="3311" t="s">
        <v>204</v>
      </c>
      <c r="J5" s="3311" t="s">
        <v>205</v>
      </c>
      <c r="K5" s="3312" t="s">
        <v>37</v>
      </c>
      <c r="L5" s="3312" t="s">
        <v>206</v>
      </c>
      <c r="M5" s="3312" t="s">
        <v>39</v>
      </c>
      <c r="N5" s="3312" t="s">
        <v>207</v>
      </c>
      <c r="O5" s="3312" t="s">
        <v>208</v>
      </c>
      <c r="P5" s="3312" t="s">
        <v>199</v>
      </c>
      <c r="Q5" s="3312" t="s">
        <v>200</v>
      </c>
      <c r="R5" s="3312" t="s">
        <v>201</v>
      </c>
      <c r="S5" s="3312" t="s">
        <v>202</v>
      </c>
      <c r="T5" s="3312" t="s">
        <v>203</v>
      </c>
      <c r="U5" s="3312" t="s">
        <v>204</v>
      </c>
      <c r="V5" s="3312" t="s">
        <v>205</v>
      </c>
      <c r="W5" s="3313" t="s">
        <v>37</v>
      </c>
      <c r="X5" s="3313" t="s">
        <v>206</v>
      </c>
      <c r="Y5" s="3313" t="s">
        <v>39</v>
      </c>
      <c r="Z5" s="3313" t="s">
        <v>207</v>
      </c>
      <c r="AA5" s="3313" t="s">
        <v>208</v>
      </c>
      <c r="AB5" s="3313" t="s">
        <v>199</v>
      </c>
      <c r="AC5" s="3313" t="s">
        <v>200</v>
      </c>
      <c r="AD5" s="3313" t="s">
        <v>201</v>
      </c>
      <c r="AE5" s="3313" t="s">
        <v>202</v>
      </c>
      <c r="AF5" s="3313" t="s">
        <v>203</v>
      </c>
      <c r="AG5" s="3313" t="s">
        <v>204</v>
      </c>
      <c r="AH5" s="3313" t="s">
        <v>205</v>
      </c>
      <c r="AI5" s="3312" t="s">
        <v>37</v>
      </c>
      <c r="AJ5" s="3312" t="s">
        <v>206</v>
      </c>
      <c r="AK5" s="3312" t="s">
        <v>39</v>
      </c>
      <c r="AL5" s="3312" t="s">
        <v>40</v>
      </c>
      <c r="AM5" s="3312" t="s">
        <v>41</v>
      </c>
      <c r="AN5" s="3312" t="s">
        <v>42</v>
      </c>
      <c r="AO5" s="3312" t="s">
        <v>43</v>
      </c>
      <c r="AP5" s="3312" t="s">
        <v>44</v>
      </c>
      <c r="AQ5" s="3312" t="s">
        <v>45</v>
      </c>
      <c r="AR5" s="3312" t="s">
        <v>46</v>
      </c>
      <c r="AS5" s="3312" t="s">
        <v>47</v>
      </c>
      <c r="AT5" s="3312" t="s">
        <v>48</v>
      </c>
      <c r="AU5" s="3314" t="s">
        <v>37</v>
      </c>
      <c r="AV5" s="3314" t="s">
        <v>38</v>
      </c>
      <c r="AW5" s="3314" t="s">
        <v>39</v>
      </c>
      <c r="AX5" s="3314" t="s">
        <v>40</v>
      </c>
      <c r="AY5" s="3314" t="s">
        <v>41</v>
      </c>
      <c r="AZ5" s="3314" t="s">
        <v>42</v>
      </c>
      <c r="BA5" s="3314" t="s">
        <v>43</v>
      </c>
      <c r="BB5" s="3314" t="s">
        <v>44</v>
      </c>
      <c r="BC5" s="3314" t="s">
        <v>45</v>
      </c>
      <c r="BD5" s="3314" t="s">
        <v>46</v>
      </c>
      <c r="BE5" s="3314" t="s">
        <v>47</v>
      </c>
      <c r="BF5" s="3314" t="s">
        <v>48</v>
      </c>
      <c r="BG5" s="3312" t="s">
        <v>37</v>
      </c>
      <c r="BH5" s="3312" t="s">
        <v>38</v>
      </c>
      <c r="BI5" s="3312" t="s">
        <v>39</v>
      </c>
      <c r="BJ5" s="3312" t="s">
        <v>40</v>
      </c>
      <c r="BK5" s="3312" t="s">
        <v>41</v>
      </c>
      <c r="BL5" s="3312" t="s">
        <v>42</v>
      </c>
      <c r="BM5" s="3312" t="s">
        <v>43</v>
      </c>
      <c r="BN5" s="3312" t="s">
        <v>44</v>
      </c>
      <c r="BO5" s="3312" t="s">
        <v>45</v>
      </c>
      <c r="BP5" s="3312" t="s">
        <v>46</v>
      </c>
      <c r="BQ5" s="3312" t="s">
        <v>47</v>
      </c>
      <c r="BR5" s="3312" t="s">
        <v>48</v>
      </c>
      <c r="BS5" s="3314" t="s">
        <v>37</v>
      </c>
      <c r="BT5" s="3314" t="s">
        <v>38</v>
      </c>
      <c r="BU5" s="3314" t="s">
        <v>39</v>
      </c>
      <c r="BV5" s="3314" t="s">
        <v>40</v>
      </c>
      <c r="BW5" s="3314" t="s">
        <v>41</v>
      </c>
      <c r="BX5" s="3314" t="s">
        <v>42</v>
      </c>
      <c r="BY5" s="3314" t="s">
        <v>43</v>
      </c>
      <c r="BZ5" s="3314" t="s">
        <v>44</v>
      </c>
      <c r="CA5" s="3314" t="s">
        <v>45</v>
      </c>
      <c r="CB5" s="3314" t="s">
        <v>46</v>
      </c>
      <c r="CC5" s="3314" t="s">
        <v>47</v>
      </c>
      <c r="CD5" s="3314" t="s">
        <v>48</v>
      </c>
      <c r="CE5" s="3315" t="s">
        <v>37</v>
      </c>
      <c r="CF5" s="3315" t="s">
        <v>38</v>
      </c>
      <c r="CG5" s="3315" t="s">
        <v>39</v>
      </c>
      <c r="CH5" s="3315" t="s">
        <v>40</v>
      </c>
      <c r="CI5" s="3315" t="s">
        <v>41</v>
      </c>
      <c r="CJ5" s="3315" t="s">
        <v>42</v>
      </c>
      <c r="CK5" s="3315" t="s">
        <v>43</v>
      </c>
      <c r="CL5" s="3315" t="s">
        <v>44</v>
      </c>
      <c r="CM5" s="3315" t="s">
        <v>45</v>
      </c>
      <c r="CN5" s="3315" t="s">
        <v>46</v>
      </c>
      <c r="CO5" s="3315" t="s">
        <v>47</v>
      </c>
      <c r="CP5" s="3315" t="s">
        <v>48</v>
      </c>
      <c r="CQ5" s="3314" t="s">
        <v>37</v>
      </c>
      <c r="CR5" s="3314" t="s">
        <v>38</v>
      </c>
      <c r="CS5" s="3314" t="s">
        <v>39</v>
      </c>
      <c r="CT5" s="3314" t="s">
        <v>40</v>
      </c>
      <c r="CU5" s="3314" t="s">
        <v>41</v>
      </c>
      <c r="CV5" s="3314" t="s">
        <v>42</v>
      </c>
      <c r="CW5" s="3314" t="s">
        <v>43</v>
      </c>
      <c r="CX5" s="3314" t="s">
        <v>44</v>
      </c>
      <c r="CY5" s="3314" t="s">
        <v>45</v>
      </c>
      <c r="CZ5" s="3314" t="s">
        <v>46</v>
      </c>
      <c r="DA5" s="3314" t="s">
        <v>47</v>
      </c>
      <c r="DB5" s="3314" t="s">
        <v>48</v>
      </c>
      <c r="DC5" s="3371" t="s">
        <v>37</v>
      </c>
      <c r="DD5" s="3315" t="s">
        <v>38</v>
      </c>
      <c r="DE5" s="3315" t="s">
        <v>39</v>
      </c>
      <c r="DF5" s="3315" t="s">
        <v>40</v>
      </c>
      <c r="DG5" s="3315" t="s">
        <v>41</v>
      </c>
      <c r="DH5" s="3315" t="s">
        <v>42</v>
      </c>
      <c r="DI5" s="3315" t="s">
        <v>43</v>
      </c>
      <c r="DJ5" s="3315" t="s">
        <v>44</v>
      </c>
      <c r="DK5" s="3315" t="s">
        <v>45</v>
      </c>
      <c r="DL5" s="3315" t="s">
        <v>46</v>
      </c>
      <c r="DM5" s="3315" t="s">
        <v>47</v>
      </c>
      <c r="DN5" s="3315" t="s">
        <v>48</v>
      </c>
      <c r="DO5" s="3375" t="s">
        <v>37</v>
      </c>
      <c r="DP5" s="3316" t="s">
        <v>38</v>
      </c>
      <c r="DQ5" s="3316" t="s">
        <v>39</v>
      </c>
      <c r="DR5" s="3316" t="s">
        <v>40</v>
      </c>
      <c r="DS5" s="3316" t="s">
        <v>41</v>
      </c>
      <c r="DT5" s="3316" t="s">
        <v>42</v>
      </c>
      <c r="DU5" s="3316" t="s">
        <v>43</v>
      </c>
      <c r="DV5" s="3316" t="s">
        <v>1422</v>
      </c>
      <c r="DW5" s="3316" t="s">
        <v>45</v>
      </c>
      <c r="DX5" s="3316" t="s">
        <v>46</v>
      </c>
      <c r="DY5" s="3316" t="s">
        <v>47</v>
      </c>
      <c r="DZ5" s="3316" t="s">
        <v>48</v>
      </c>
      <c r="EA5" s="3379" t="s">
        <v>37</v>
      </c>
      <c r="EB5" s="3317" t="s">
        <v>38</v>
      </c>
      <c r="EC5" s="3485" t="s">
        <v>39</v>
      </c>
      <c r="ED5" s="3485" t="s">
        <v>40</v>
      </c>
      <c r="EE5" s="3485" t="s">
        <v>41</v>
      </c>
      <c r="EF5" s="3485" t="s">
        <v>42</v>
      </c>
      <c r="EG5" s="3485" t="s">
        <v>43</v>
      </c>
      <c r="EH5" s="3485" t="s">
        <v>1422</v>
      </c>
      <c r="EI5" s="3485" t="s">
        <v>45</v>
      </c>
      <c r="EJ5" s="3485" t="s">
        <v>46</v>
      </c>
      <c r="EK5" s="3485" t="s">
        <v>47</v>
      </c>
      <c r="EL5" s="3485" t="s">
        <v>48</v>
      </c>
      <c r="EM5" s="3379" t="s">
        <v>37</v>
      </c>
      <c r="EN5" s="3317" t="s">
        <v>38</v>
      </c>
      <c r="EO5" s="3485" t="s">
        <v>39</v>
      </c>
      <c r="EP5" s="3485" t="s">
        <v>40</v>
      </c>
      <c r="EQ5" s="3485" t="s">
        <v>41</v>
      </c>
      <c r="ER5" s="3485" t="s">
        <v>42</v>
      </c>
      <c r="ES5" s="3485" t="s">
        <v>43</v>
      </c>
      <c r="ET5" s="3485" t="s">
        <v>1422</v>
      </c>
      <c r="EU5" s="3485" t="s">
        <v>45</v>
      </c>
      <c r="EV5" s="3485" t="s">
        <v>46</v>
      </c>
      <c r="EW5" s="3485" t="s">
        <v>47</v>
      </c>
      <c r="EX5" s="3485" t="s">
        <v>48</v>
      </c>
      <c r="EY5" s="3379" t="s">
        <v>37</v>
      </c>
      <c r="EZ5" s="3314"/>
      <c r="FA5" s="3491" t="s">
        <v>167</v>
      </c>
      <c r="FB5" s="3318" t="s">
        <v>49</v>
      </c>
      <c r="FC5" s="3318" t="s">
        <v>49</v>
      </c>
      <c r="FD5" s="3318" t="s">
        <v>49</v>
      </c>
      <c r="FE5" s="3318" t="s">
        <v>49</v>
      </c>
      <c r="FF5" s="3318" t="s">
        <v>49</v>
      </c>
      <c r="FG5" s="3318" t="s">
        <v>168</v>
      </c>
      <c r="FH5" s="3318" t="s">
        <v>168</v>
      </c>
      <c r="FI5" s="3318" t="s">
        <v>168</v>
      </c>
      <c r="FJ5" s="3318" t="s">
        <v>168</v>
      </c>
      <c r="FK5" s="3318" t="s">
        <v>168</v>
      </c>
      <c r="FL5" s="3415" t="s">
        <v>694</v>
      </c>
      <c r="FM5" s="3415" t="s">
        <v>694</v>
      </c>
      <c r="FN5" s="3415" t="s">
        <v>694</v>
      </c>
      <c r="FO5" s="3303"/>
      <c r="FP5" s="3305"/>
      <c r="FQ5" s="3305"/>
      <c r="FR5" s="3305"/>
      <c r="FS5" s="3305"/>
      <c r="FT5" s="3305"/>
      <c r="FU5" s="3305"/>
      <c r="FV5" s="3305"/>
      <c r="FW5" s="3305"/>
      <c r="FX5" s="3305"/>
      <c r="FY5" s="3305"/>
      <c r="FZ5" s="3305"/>
      <c r="GA5" s="3305"/>
      <c r="GB5" s="3305"/>
      <c r="GC5" s="3305"/>
      <c r="GD5" s="3305"/>
      <c r="GE5" s="3305"/>
      <c r="GF5" s="3305"/>
      <c r="GG5" s="3305"/>
      <c r="GH5" s="3305"/>
      <c r="GI5" s="3305"/>
      <c r="GJ5" s="3305"/>
      <c r="GK5" s="3305"/>
      <c r="GL5" s="3305"/>
      <c r="GM5" s="3305"/>
      <c r="GN5" s="3305"/>
      <c r="GO5" s="3305"/>
      <c r="GP5" s="3305"/>
      <c r="GQ5" s="3305"/>
      <c r="GR5" s="3305"/>
      <c r="GS5" s="3305"/>
      <c r="GT5" s="3305"/>
      <c r="GU5" s="3305"/>
      <c r="GV5" s="3305"/>
      <c r="GW5" s="3305"/>
      <c r="GX5" s="3305"/>
      <c r="GY5" s="3305"/>
      <c r="GZ5" s="3305"/>
      <c r="HA5" s="3305"/>
      <c r="HB5" s="3305"/>
      <c r="HC5" s="3305"/>
      <c r="HD5" s="3305"/>
      <c r="HE5" s="3305"/>
      <c r="HF5" s="3305"/>
      <c r="HG5" s="3305"/>
      <c r="HH5" s="3305"/>
      <c r="HI5" s="3305"/>
      <c r="HJ5" s="3305"/>
      <c r="HK5" s="3305"/>
      <c r="HL5" s="3305"/>
      <c r="HM5" s="3305"/>
    </row>
    <row r="6" spans="1:221" ht="12.75">
      <c r="A6" s="3290"/>
      <c r="B6" s="3319"/>
      <c r="C6" s="3310"/>
      <c r="D6" s="3311"/>
      <c r="E6" s="3311"/>
      <c r="F6" s="3311"/>
      <c r="G6" s="3311"/>
      <c r="H6" s="3311"/>
      <c r="I6" s="3311"/>
      <c r="J6" s="3311"/>
      <c r="K6" s="3312"/>
      <c r="L6" s="3312"/>
      <c r="M6" s="3312"/>
      <c r="N6" s="3312"/>
      <c r="O6" s="3312"/>
      <c r="P6" s="3312"/>
      <c r="Q6" s="3312"/>
      <c r="R6" s="3312"/>
      <c r="S6" s="3312"/>
      <c r="T6" s="3312"/>
      <c r="U6" s="3312"/>
      <c r="V6" s="3312"/>
      <c r="W6" s="3313"/>
      <c r="X6" s="3313"/>
      <c r="Y6" s="3313"/>
      <c r="Z6" s="3313"/>
      <c r="AA6" s="3313"/>
      <c r="AB6" s="3313"/>
      <c r="AC6" s="3313"/>
      <c r="AD6" s="3313"/>
      <c r="AE6" s="3313"/>
      <c r="AF6" s="3313"/>
      <c r="AG6" s="3313"/>
      <c r="AH6" s="3313"/>
      <c r="AI6" s="3312"/>
      <c r="AJ6" s="3312"/>
      <c r="AK6" s="3312"/>
      <c r="AL6" s="3312"/>
      <c r="AM6" s="3312"/>
      <c r="AN6" s="3312"/>
      <c r="AO6" s="3312"/>
      <c r="AP6" s="3312"/>
      <c r="AQ6" s="3312"/>
      <c r="AR6" s="3312"/>
      <c r="AS6" s="3312"/>
      <c r="AT6" s="3312"/>
      <c r="AU6" s="3320"/>
      <c r="AV6" s="3320"/>
      <c r="AW6" s="3320"/>
      <c r="AX6" s="3320"/>
      <c r="AY6" s="3320"/>
      <c r="AZ6" s="3320"/>
      <c r="BA6" s="3320"/>
      <c r="BB6" s="3320"/>
      <c r="BC6" s="3320"/>
      <c r="BD6" s="3320"/>
      <c r="BE6" s="3320"/>
      <c r="BF6" s="3320"/>
      <c r="BG6" s="3321"/>
      <c r="BH6" s="3321"/>
      <c r="BI6" s="3321"/>
      <c r="BJ6" s="3321"/>
      <c r="BK6" s="3321"/>
      <c r="BL6" s="3321"/>
      <c r="BM6" s="3321"/>
      <c r="BN6" s="3321"/>
      <c r="BO6" s="3321"/>
      <c r="BP6" s="3321"/>
      <c r="BQ6" s="3321"/>
      <c r="BR6" s="3321"/>
      <c r="BS6" s="3320"/>
      <c r="BT6" s="3320"/>
      <c r="BU6" s="3320"/>
      <c r="BV6" s="3320"/>
      <c r="BW6" s="3320"/>
      <c r="BX6" s="3320"/>
      <c r="BY6" s="3320"/>
      <c r="BZ6" s="3320"/>
      <c r="CA6" s="3320"/>
      <c r="CB6" s="3320"/>
      <c r="CC6" s="3320"/>
      <c r="CD6" s="3320"/>
      <c r="CE6" s="3322"/>
      <c r="CF6" s="3322"/>
      <c r="CG6" s="3322"/>
      <c r="CH6" s="3322"/>
      <c r="CI6" s="3322"/>
      <c r="CJ6" s="3322"/>
      <c r="CK6" s="3322"/>
      <c r="CL6" s="3322"/>
      <c r="CM6" s="3322"/>
      <c r="CN6" s="3322"/>
      <c r="CO6" s="3322"/>
      <c r="CP6" s="3322"/>
      <c r="CQ6" s="3320"/>
      <c r="CR6" s="3320"/>
      <c r="CS6" s="3320"/>
      <c r="CT6" s="3320"/>
      <c r="CU6" s="3320"/>
      <c r="CV6" s="3320"/>
      <c r="CW6" s="3320"/>
      <c r="CX6" s="3320"/>
      <c r="CY6" s="3320"/>
      <c r="CZ6" s="3320"/>
      <c r="DA6" s="3320"/>
      <c r="DB6" s="3320"/>
      <c r="DC6" s="3372"/>
      <c r="DD6" s="3322"/>
      <c r="DE6" s="3322"/>
      <c r="DF6" s="3322"/>
      <c r="DG6" s="3322"/>
      <c r="DH6" s="3322"/>
      <c r="DI6" s="3322"/>
      <c r="DJ6" s="3322"/>
      <c r="DK6" s="3322"/>
      <c r="DL6" s="3322"/>
      <c r="DM6" s="3322"/>
      <c r="DN6" s="3322"/>
      <c r="DO6" s="3376"/>
      <c r="DP6" s="3323"/>
      <c r="DQ6" s="3323"/>
      <c r="DR6" s="3323"/>
      <c r="DS6" s="3323"/>
      <c r="DT6" s="3323"/>
      <c r="DU6" s="3323"/>
      <c r="DV6" s="3323"/>
      <c r="DW6" s="3323"/>
      <c r="DX6" s="3323"/>
      <c r="DY6" s="3323"/>
      <c r="DZ6" s="3323"/>
      <c r="EA6" s="3376"/>
      <c r="EB6" s="3323"/>
      <c r="EC6" s="3323"/>
      <c r="ED6" s="3323"/>
      <c r="EE6" s="3323"/>
      <c r="EF6" s="3323"/>
      <c r="EG6" s="3323"/>
      <c r="EH6" s="3323"/>
      <c r="EI6" s="3323"/>
      <c r="EJ6" s="3323"/>
      <c r="EK6" s="3323"/>
      <c r="EL6" s="3323"/>
      <c r="EM6" s="3376"/>
      <c r="EN6" s="3323"/>
      <c r="EO6" s="3323"/>
      <c r="EP6" s="3323"/>
      <c r="EQ6" s="3323"/>
      <c r="ER6" s="3323"/>
      <c r="ES6" s="3323"/>
      <c r="ET6" s="3323"/>
      <c r="EU6" s="3323"/>
      <c r="EV6" s="3323"/>
      <c r="EW6" s="3323"/>
      <c r="EX6" s="3323"/>
      <c r="EY6" s="3376"/>
      <c r="EZ6" s="3320"/>
      <c r="FA6" s="3492"/>
      <c r="FB6" s="3324"/>
      <c r="FC6" s="3324"/>
      <c r="FD6" s="3324"/>
      <c r="FE6" s="3324"/>
      <c r="FF6" s="3324"/>
      <c r="FG6" s="3324"/>
      <c r="FH6" s="3324"/>
      <c r="FI6" s="3324"/>
      <c r="FJ6" s="3324"/>
      <c r="FK6" s="3324"/>
      <c r="FL6" s="3324"/>
      <c r="FM6" s="3416"/>
      <c r="FN6" s="3416"/>
      <c r="FO6" s="3303"/>
      <c r="FP6" s="3305"/>
      <c r="FQ6" s="3305"/>
      <c r="FR6" s="3305"/>
      <c r="FS6" s="3305"/>
      <c r="FT6" s="3305"/>
      <c r="FU6" s="3305"/>
      <c r="FV6" s="3305"/>
      <c r="FW6" s="3305"/>
      <c r="FX6" s="3305"/>
      <c r="FY6" s="3305"/>
      <c r="FZ6" s="3305"/>
      <c r="GA6" s="3305"/>
      <c r="GB6" s="3305"/>
      <c r="GC6" s="3305"/>
      <c r="GD6" s="3305"/>
      <c r="GE6" s="3305"/>
      <c r="GF6" s="3305"/>
      <c r="GG6" s="3305"/>
      <c r="GH6" s="3305"/>
      <c r="GI6" s="3305"/>
      <c r="GJ6" s="3305"/>
      <c r="GK6" s="3305"/>
      <c r="GL6" s="3305"/>
      <c r="GM6" s="3305"/>
      <c r="GN6" s="3305"/>
      <c r="GO6" s="3305"/>
      <c r="GP6" s="3305"/>
      <c r="GQ6" s="3305"/>
      <c r="GR6" s="3305"/>
      <c r="GS6" s="3305"/>
      <c r="GT6" s="3305"/>
      <c r="GU6" s="3305"/>
      <c r="GV6" s="3305"/>
      <c r="GW6" s="3305"/>
      <c r="GX6" s="3305"/>
      <c r="GY6" s="3305"/>
      <c r="GZ6" s="3305"/>
      <c r="HA6" s="3305"/>
      <c r="HB6" s="3305"/>
      <c r="HC6" s="3305"/>
      <c r="HD6" s="3305"/>
      <c r="HE6" s="3305"/>
      <c r="HF6" s="3305"/>
      <c r="HG6" s="3305"/>
      <c r="HH6" s="3305"/>
      <c r="HI6" s="3305"/>
      <c r="HJ6" s="3305"/>
      <c r="HK6" s="3305"/>
      <c r="HL6" s="3305"/>
      <c r="HM6" s="3305"/>
    </row>
    <row r="7" spans="1:221" s="3407" customFormat="1" ht="12.75">
      <c r="A7" s="3382"/>
      <c r="B7" s="3380"/>
      <c r="C7" s="3381" t="s">
        <v>33</v>
      </c>
      <c r="D7" s="3383">
        <v>45.354991523505902</v>
      </c>
      <c r="E7" s="3384">
        <v>49.3347963832042</v>
      </c>
      <c r="F7" s="3384">
        <v>46.82747578860905</v>
      </c>
      <c r="G7" s="3384">
        <v>51.648411919542788</v>
      </c>
      <c r="H7" s="3384">
        <v>50.745314250653571</v>
      </c>
      <c r="I7" s="3384">
        <v>48.656137536849421</v>
      </c>
      <c r="J7" s="3385">
        <v>45.436904984132909</v>
      </c>
      <c r="K7" s="3386">
        <v>49.672226040848372</v>
      </c>
      <c r="L7" s="3387">
        <v>48.779385025189647</v>
      </c>
      <c r="M7" s="3387">
        <v>49.267541524415961</v>
      </c>
      <c r="N7" s="3387">
        <v>47.806372344295177</v>
      </c>
      <c r="O7" s="3387">
        <v>48.650531140362432</v>
      </c>
      <c r="P7" s="3387">
        <v>50.857958974485641</v>
      </c>
      <c r="Q7" s="3387">
        <v>49.680798395352738</v>
      </c>
      <c r="R7" s="3387">
        <v>48.466501241295788</v>
      </c>
      <c r="S7" s="3387">
        <v>53.225324283559587</v>
      </c>
      <c r="T7" s="3387">
        <v>51.618410031653269</v>
      </c>
      <c r="U7" s="3387">
        <v>50.622973255328041</v>
      </c>
      <c r="V7" s="3388">
        <v>48.117804555363428</v>
      </c>
      <c r="W7" s="3383">
        <v>50.220688554175055</v>
      </c>
      <c r="X7" s="3384">
        <v>55.163374571006109</v>
      </c>
      <c r="Y7" s="3384">
        <v>53.105907068387332</v>
      </c>
      <c r="Z7" s="3384">
        <v>54.542482331139354</v>
      </c>
      <c r="AA7" s="3384">
        <v>54.238855886132228</v>
      </c>
      <c r="AB7" s="3384">
        <v>55.407459508644223</v>
      </c>
      <c r="AC7" s="3384">
        <v>54.137631897711969</v>
      </c>
      <c r="AD7" s="3384">
        <v>53.205026785925014</v>
      </c>
      <c r="AE7" s="3384">
        <v>56.830067733540865</v>
      </c>
      <c r="AF7" s="3384">
        <v>58.041173192967463</v>
      </c>
      <c r="AG7" s="3384">
        <v>57.683805096100542</v>
      </c>
      <c r="AH7" s="3385">
        <v>54.356085771795556</v>
      </c>
      <c r="AI7" s="3389">
        <v>52.023622431541959</v>
      </c>
      <c r="AJ7" s="3390">
        <v>54.125815199835564</v>
      </c>
      <c r="AK7" s="3390">
        <v>55.570077161494453</v>
      </c>
      <c r="AL7" s="3390">
        <v>54.485315605338954</v>
      </c>
      <c r="AM7" s="3390">
        <v>51.944736813366809</v>
      </c>
      <c r="AN7" s="3390">
        <v>53.012039696870211</v>
      </c>
      <c r="AO7" s="3390">
        <v>52.398791307605848</v>
      </c>
      <c r="AP7" s="3390">
        <v>54.051287487139106</v>
      </c>
      <c r="AQ7" s="3390">
        <v>54.584326860617786</v>
      </c>
      <c r="AR7" s="3390">
        <v>55.582602263713831</v>
      </c>
      <c r="AS7" s="3390">
        <v>54.996763255394796</v>
      </c>
      <c r="AT7" s="3391">
        <v>49.568027358116879</v>
      </c>
      <c r="AU7" s="3386">
        <v>54.361183610307464</v>
      </c>
      <c r="AV7" s="3387">
        <v>57.175844978501239</v>
      </c>
      <c r="AW7" s="3387">
        <v>57.809979575452765</v>
      </c>
      <c r="AX7" s="3387">
        <v>55.572790644753489</v>
      </c>
      <c r="AY7" s="3387">
        <v>57.034168207024045</v>
      </c>
      <c r="AZ7" s="3387">
        <v>57.073838299418625</v>
      </c>
      <c r="BA7" s="3387">
        <v>56.928096618020177</v>
      </c>
      <c r="BB7" s="3387">
        <v>56.272585844345151</v>
      </c>
      <c r="BC7" s="3387">
        <v>55.960112151417015</v>
      </c>
      <c r="BD7" s="3387">
        <v>57.745355501786932</v>
      </c>
      <c r="BE7" s="3387">
        <v>56.623313324637223</v>
      </c>
      <c r="BF7" s="3387">
        <v>58.677996762649087</v>
      </c>
      <c r="BG7" s="3392">
        <v>56.835504663623723</v>
      </c>
      <c r="BH7" s="3393">
        <v>60.819767119101591</v>
      </c>
      <c r="BI7" s="3393">
        <v>60.487809366493728</v>
      </c>
      <c r="BJ7" s="3393">
        <v>56.430534546236672</v>
      </c>
      <c r="BK7" s="3393">
        <v>57.471709478153038</v>
      </c>
      <c r="BL7" s="3393">
        <v>57.902127121876788</v>
      </c>
      <c r="BM7" s="3393">
        <v>58.395446760729492</v>
      </c>
      <c r="BN7" s="3393">
        <v>58.91830801239184</v>
      </c>
      <c r="BO7" s="3393">
        <v>58.663322941842708</v>
      </c>
      <c r="BP7" s="3393">
        <v>59.090717132344096</v>
      </c>
      <c r="BQ7" s="3393">
        <v>63.98615201058697</v>
      </c>
      <c r="BR7" s="3394">
        <v>63.04941535829925</v>
      </c>
      <c r="BS7" s="3395">
        <v>64.615701571230247</v>
      </c>
      <c r="BT7" s="3396">
        <v>67.684043029606514</v>
      </c>
      <c r="BU7" s="3396">
        <v>69.390421062646666</v>
      </c>
      <c r="BV7" s="3396">
        <v>67.991833200707873</v>
      </c>
      <c r="BW7" s="3396">
        <v>64.593272089421774</v>
      </c>
      <c r="BX7" s="3396">
        <v>65.704860083398074</v>
      </c>
      <c r="BY7" s="3396">
        <v>63.623985286347207</v>
      </c>
      <c r="BZ7" s="3396">
        <v>62.87087391491719</v>
      </c>
      <c r="CA7" s="3396">
        <v>64.484068985212929</v>
      </c>
      <c r="CB7" s="3396">
        <v>67.372563528183491</v>
      </c>
      <c r="CC7" s="3396">
        <v>68.917867435158499</v>
      </c>
      <c r="CD7" s="3396">
        <v>72.284458979225306</v>
      </c>
      <c r="CE7" s="3397">
        <v>72.052204875053135</v>
      </c>
      <c r="CF7" s="3397">
        <v>77.429037031946251</v>
      </c>
      <c r="CG7" s="3397">
        <v>83.138671907819727</v>
      </c>
      <c r="CH7" s="3397">
        <v>64.885820169183376</v>
      </c>
      <c r="CI7" s="3397">
        <v>68.055627421854794</v>
      </c>
      <c r="CJ7" s="3397">
        <v>69.668789306847017</v>
      </c>
      <c r="CK7" s="3397">
        <v>69.414229199820483</v>
      </c>
      <c r="CL7" s="3397">
        <v>67.770541532123957</v>
      </c>
      <c r="CM7" s="3397">
        <v>69.036603635927506</v>
      </c>
      <c r="CN7" s="3397">
        <v>69.265451512985507</v>
      </c>
      <c r="CO7" s="3397">
        <v>71.053971990524133</v>
      </c>
      <c r="CP7" s="3398">
        <v>67.601332781163109</v>
      </c>
      <c r="CQ7" s="3399">
        <v>73.150548651246822</v>
      </c>
      <c r="CR7" s="3399">
        <v>78.246934422113284</v>
      </c>
      <c r="CS7" s="3399">
        <v>74.874992850834772</v>
      </c>
      <c r="CT7" s="3399">
        <v>76.380986934580733</v>
      </c>
      <c r="CU7" s="3399">
        <v>71.947872033180602</v>
      </c>
      <c r="CV7" s="3399">
        <v>70.926206923419414</v>
      </c>
      <c r="CW7" s="3399">
        <v>74.11</v>
      </c>
      <c r="CX7" s="3400">
        <v>73.43063050155753</v>
      </c>
      <c r="CY7" s="3399">
        <v>77.032264384045192</v>
      </c>
      <c r="CZ7" s="3399">
        <v>75.382922767109491</v>
      </c>
      <c r="DA7" s="3399">
        <v>76.067921016795268</v>
      </c>
      <c r="DB7" s="3401">
        <v>73.00996187002653</v>
      </c>
      <c r="DC7" s="3402">
        <v>74.887463449437405</v>
      </c>
      <c r="DD7" s="3403">
        <v>75.889696820629652</v>
      </c>
      <c r="DE7" s="3403">
        <v>75.805428580432363</v>
      </c>
      <c r="DF7" s="3403">
        <v>74.846309357172245</v>
      </c>
      <c r="DG7" s="3403">
        <v>75.644117994165981</v>
      </c>
      <c r="DH7" s="3403">
        <v>74.618137449640315</v>
      </c>
      <c r="DI7" s="3403">
        <v>74.404552851794776</v>
      </c>
      <c r="DJ7" s="3403">
        <v>72.840954712051854</v>
      </c>
      <c r="DK7" s="3403">
        <v>71.692456458545564</v>
      </c>
      <c r="DL7" s="3403">
        <v>73.199285360025243</v>
      </c>
      <c r="DM7" s="3403">
        <v>73.904639274426273</v>
      </c>
      <c r="DN7" s="3404">
        <v>69.394878505961017</v>
      </c>
      <c r="DO7" s="3405">
        <v>70.000101467607905</v>
      </c>
      <c r="DP7" s="3406">
        <v>74.416049326974615</v>
      </c>
      <c r="DQ7" s="3406">
        <v>74.335870169531347</v>
      </c>
      <c r="DR7" s="3406">
        <v>76.535392079290403</v>
      </c>
      <c r="DS7" s="3406">
        <v>74.696368188024977</v>
      </c>
      <c r="DT7" s="3406">
        <v>75.516376215795617</v>
      </c>
      <c r="DU7" s="3406">
        <v>72.855751649356591</v>
      </c>
      <c r="DV7" s="3406">
        <v>73.48265070980959</v>
      </c>
      <c r="DW7" s="3406">
        <v>72.657848010902725</v>
      </c>
      <c r="DX7" s="3406">
        <v>92.992497789072431</v>
      </c>
      <c r="DY7" s="3406">
        <v>74.054377321753392</v>
      </c>
      <c r="DZ7" s="3406">
        <v>70.00282204455624</v>
      </c>
      <c r="EA7" s="3405">
        <v>69.174173177259334</v>
      </c>
      <c r="EB7" s="3406">
        <v>71.664320366568319</v>
      </c>
      <c r="EC7" s="3406"/>
      <c r="ED7" s="3406"/>
      <c r="EE7" s="3406"/>
      <c r="EF7" s="3406"/>
      <c r="EG7" s="3406"/>
      <c r="EH7" s="3406"/>
      <c r="EI7" s="3406"/>
      <c r="EJ7" s="3406"/>
      <c r="EK7" s="3406"/>
      <c r="EL7" s="3406"/>
      <c r="EM7" s="3405"/>
      <c r="EN7" s="3406"/>
      <c r="EO7" s="3406"/>
      <c r="EP7" s="3406"/>
      <c r="EQ7" s="3406"/>
      <c r="ER7" s="3406"/>
      <c r="ES7" s="3406"/>
      <c r="ET7" s="3406"/>
      <c r="EU7" s="3406"/>
      <c r="EV7" s="3406"/>
      <c r="EW7" s="3406"/>
      <c r="EX7" s="3406"/>
      <c r="EY7" s="3405"/>
      <c r="EZ7" s="3406"/>
      <c r="FA7" s="3405">
        <v>48.286290340928261</v>
      </c>
      <c r="FB7" s="3406">
        <v>49.779483393362504</v>
      </c>
      <c r="FC7" s="3406">
        <v>54.815508419813391</v>
      </c>
      <c r="FD7" s="3406">
        <v>53.558617307014607</v>
      </c>
      <c r="FE7" s="3406">
        <v>56.79727347708026</v>
      </c>
      <c r="FF7" s="3406">
        <v>59.405705592675915</v>
      </c>
      <c r="FG7" s="3406">
        <v>66.535870535674064</v>
      </c>
      <c r="FH7" s="3406">
        <v>70.816867591603753</v>
      </c>
      <c r="FI7" s="3406">
        <v>74.546770196242463</v>
      </c>
      <c r="FJ7" s="3406">
        <v>74.014241640131232</v>
      </c>
      <c r="FK7" s="3406">
        <v>75.128842081056305</v>
      </c>
      <c r="FL7" s="3406">
        <v>74.830703976826754</v>
      </c>
      <c r="FM7" s="3417">
        <f>AVERAGE(FH7:FL7)</f>
        <v>73.867485097172107</v>
      </c>
      <c r="FN7" s="3417">
        <f>AVERAGE(FI7:FM7)</f>
        <v>74.477608598285769</v>
      </c>
    </row>
    <row r="8" spans="1:221" ht="12.75">
      <c r="A8" s="3290"/>
      <c r="B8" s="3350" t="s">
        <v>1423</v>
      </c>
      <c r="C8" s="3310"/>
      <c r="D8" s="3326">
        <v>71.33647710948722</v>
      </c>
      <c r="E8" s="3327">
        <v>70.490242014091962</v>
      </c>
      <c r="F8" s="3327">
        <v>71.708327470981345</v>
      </c>
      <c r="G8" s="3327">
        <v>73.645144857087303</v>
      </c>
      <c r="H8" s="3327">
        <v>75.055960975070477</v>
      </c>
      <c r="I8" s="3327">
        <v>71.812964375579398</v>
      </c>
      <c r="J8" s="3328">
        <v>70.187425387982486</v>
      </c>
      <c r="K8" s="3329">
        <v>77.886178213909375</v>
      </c>
      <c r="L8" s="3330">
        <v>72.924844202442401</v>
      </c>
      <c r="M8" s="3330">
        <v>73.789467762051942</v>
      </c>
      <c r="N8" s="3330">
        <v>72.873163262272172</v>
      </c>
      <c r="O8" s="3330">
        <v>73.743567434843058</v>
      </c>
      <c r="P8" s="3330">
        <v>75.882909839268507</v>
      </c>
      <c r="Q8" s="3330">
        <v>75.652569041846732</v>
      </c>
      <c r="R8" s="3330">
        <v>74.273768203054559</v>
      </c>
      <c r="S8" s="3330">
        <v>79.086043663185094</v>
      </c>
      <c r="T8" s="3330">
        <v>75.693917243516879</v>
      </c>
      <c r="U8" s="3330">
        <v>77.258481077613851</v>
      </c>
      <c r="V8" s="3331">
        <v>74.094527770850405</v>
      </c>
      <c r="W8" s="3332">
        <v>77.92828943089431</v>
      </c>
      <c r="X8" s="3333">
        <v>84.285242587205019</v>
      </c>
      <c r="Y8" s="3333">
        <v>80.224511817629534</v>
      </c>
      <c r="Z8" s="3333">
        <v>84.562057590876691</v>
      </c>
      <c r="AA8" s="3333">
        <v>83.638698464248364</v>
      </c>
      <c r="AB8" s="3333">
        <v>86.839797100660917</v>
      </c>
      <c r="AC8" s="3333">
        <v>85.895596399294391</v>
      </c>
      <c r="AD8" s="3333">
        <v>85.096122680383857</v>
      </c>
      <c r="AE8" s="3333">
        <v>89.315293376776268</v>
      </c>
      <c r="AF8" s="3333">
        <v>90.151871206747074</v>
      </c>
      <c r="AG8" s="3333">
        <v>91.312529175784093</v>
      </c>
      <c r="AH8" s="3334">
        <v>87.057600411263294</v>
      </c>
      <c r="AI8" s="3335">
        <v>85.112451370079839</v>
      </c>
      <c r="AJ8" s="3336">
        <v>86.574065176445501</v>
      </c>
      <c r="AK8" s="3336">
        <v>88.788407967650144</v>
      </c>
      <c r="AL8" s="3336">
        <v>87.790396839844178</v>
      </c>
      <c r="AM8" s="3336">
        <v>82.882589811593704</v>
      </c>
      <c r="AN8" s="3336">
        <v>84.446737132047929</v>
      </c>
      <c r="AO8" s="3336">
        <v>84.207298224815162</v>
      </c>
      <c r="AP8" s="3336">
        <v>86.65053279424977</v>
      </c>
      <c r="AQ8" s="3336">
        <v>84.963856999644278</v>
      </c>
      <c r="AR8" s="3336">
        <v>84.028994268139243</v>
      </c>
      <c r="AS8" s="3336">
        <v>83.865880264826032</v>
      </c>
      <c r="AT8" s="3337">
        <v>80.461051942709688</v>
      </c>
      <c r="AU8" s="3338">
        <v>85.728614380938865</v>
      </c>
      <c r="AV8" s="3339">
        <v>90.280753148941699</v>
      </c>
      <c r="AW8" s="3339">
        <v>91.860443417325186</v>
      </c>
      <c r="AX8" s="3339">
        <v>86.910784196348402</v>
      </c>
      <c r="AY8" s="3339">
        <v>87.449161208151381</v>
      </c>
      <c r="AZ8" s="3339">
        <v>87.944618991060821</v>
      </c>
      <c r="BA8" s="3339">
        <v>87.519017916793203</v>
      </c>
      <c r="BB8" s="3339">
        <v>87.819405858511431</v>
      </c>
      <c r="BC8" s="3339">
        <v>88.295482903023711</v>
      </c>
      <c r="BD8" s="3339">
        <v>89.001148186412749</v>
      </c>
      <c r="BE8" s="3339">
        <v>84.313181739281376</v>
      </c>
      <c r="BF8" s="3339">
        <v>96.589581078781691</v>
      </c>
      <c r="BG8" s="3340">
        <v>92.663130653266322</v>
      </c>
      <c r="BH8" s="3341">
        <v>96.797805889539006</v>
      </c>
      <c r="BI8" s="3341">
        <v>94.051169419591659</v>
      </c>
      <c r="BJ8" s="3341">
        <v>85.050375000000003</v>
      </c>
      <c r="BK8" s="3341">
        <v>88.902906533929041</v>
      </c>
      <c r="BL8" s="3341">
        <v>90.620914313357929</v>
      </c>
      <c r="BM8" s="3341">
        <v>89.463033135089205</v>
      </c>
      <c r="BN8" s="3341">
        <v>89.582521158901173</v>
      </c>
      <c r="BO8" s="3341">
        <v>90.206482162667129</v>
      </c>
      <c r="BP8" s="3341">
        <v>90.606695358649802</v>
      </c>
      <c r="BQ8" s="3341">
        <v>100.43197780020182</v>
      </c>
      <c r="BR8" s="3342">
        <v>106.23732163270795</v>
      </c>
      <c r="BS8" s="3343">
        <v>101.45770756402621</v>
      </c>
      <c r="BT8" s="3344">
        <v>109.73148081880213</v>
      </c>
      <c r="BU8" s="3344">
        <v>111.57217206739263</v>
      </c>
      <c r="BV8" s="3344">
        <v>111.00217228464419</v>
      </c>
      <c r="BW8" s="3344">
        <v>97.950083572048044</v>
      </c>
      <c r="BX8" s="3344">
        <v>101.0746706448804</v>
      </c>
      <c r="BY8" s="3344">
        <v>97.412546260652562</v>
      </c>
      <c r="BZ8" s="3344">
        <v>93.939133452464191</v>
      </c>
      <c r="CA8" s="3344">
        <v>99.497902811223256</v>
      </c>
      <c r="CB8" s="3344">
        <v>101.99874827888347</v>
      </c>
      <c r="CC8" s="3344">
        <v>105.712516172313</v>
      </c>
      <c r="CD8" s="3344">
        <v>120.96230299098607</v>
      </c>
      <c r="CE8" s="3345">
        <v>118.99408496328746</v>
      </c>
      <c r="CF8" s="3345">
        <v>119.05724313692899</v>
      </c>
      <c r="CG8" s="3345">
        <v>133.76220129692663</v>
      </c>
      <c r="CH8" s="3345">
        <v>93.582938332646606</v>
      </c>
      <c r="CI8" s="3345">
        <v>101.06745787300525</v>
      </c>
      <c r="CJ8" s="3345">
        <v>105.44867786507722</v>
      </c>
      <c r="CK8" s="3345">
        <v>104.87666559476914</v>
      </c>
      <c r="CL8" s="3345">
        <v>102.62494207185554</v>
      </c>
      <c r="CM8" s="3345">
        <v>105.00206426721347</v>
      </c>
      <c r="CN8" s="3345">
        <v>101.89781502488094</v>
      </c>
      <c r="CO8" s="3345">
        <v>103.7504363501405</v>
      </c>
      <c r="CP8" s="3346">
        <v>96.812372108992164</v>
      </c>
      <c r="CQ8" s="3347">
        <v>108.69314618013104</v>
      </c>
      <c r="CR8" s="3347">
        <v>112.07490960963433</v>
      </c>
      <c r="CS8" s="3347">
        <v>108.49847760060744</v>
      </c>
      <c r="CT8" s="3347">
        <v>108.78172079315574</v>
      </c>
      <c r="CU8" s="3347">
        <v>101.25989325434526</v>
      </c>
      <c r="CV8" s="3347">
        <v>100.57504642256136</v>
      </c>
      <c r="CW8" s="3347">
        <v>108.4</v>
      </c>
      <c r="CX8" s="3348">
        <v>107.04784185195027</v>
      </c>
      <c r="CY8" s="3347">
        <v>112.09746422954962</v>
      </c>
      <c r="CZ8" s="3347">
        <v>108.22871213742908</v>
      </c>
      <c r="DA8" s="3347">
        <v>111.43007899699302</v>
      </c>
      <c r="DB8" s="3370">
        <v>113.34921602045162</v>
      </c>
      <c r="DC8" s="3373">
        <v>112.37369610559412</v>
      </c>
      <c r="DD8" s="3349">
        <v>111.54774801238864</v>
      </c>
      <c r="DE8" s="3349">
        <v>112.08139776826916</v>
      </c>
      <c r="DF8" s="3349">
        <v>112.40243807082199</v>
      </c>
      <c r="DG8" s="3349">
        <v>112.64917046964358</v>
      </c>
      <c r="DH8" s="3349">
        <v>108.97197743596068</v>
      </c>
      <c r="DI8" s="3349">
        <v>109.78592609406209</v>
      </c>
      <c r="DJ8" s="3349">
        <v>107.96697932129663</v>
      </c>
      <c r="DK8" s="3349">
        <v>111.45776919294795</v>
      </c>
      <c r="DL8" s="3349">
        <v>108.10286298508342</v>
      </c>
      <c r="DM8" s="3349">
        <v>106.91653734487078</v>
      </c>
      <c r="DN8" s="3374">
        <v>101.2218456639673</v>
      </c>
      <c r="DO8" s="3378">
        <v>101.11419785214237</v>
      </c>
      <c r="DP8" s="3303">
        <v>111.47152546664739</v>
      </c>
      <c r="DQ8" s="3303">
        <v>110.83597074421991</v>
      </c>
      <c r="DR8" s="3303">
        <v>109.16796027164686</v>
      </c>
      <c r="DS8" s="3303">
        <v>106.06299486030575</v>
      </c>
      <c r="DT8" s="3303">
        <v>107.08882835288779</v>
      </c>
      <c r="DU8" s="3303">
        <v>110.07546462999716</v>
      </c>
      <c r="DV8" s="3303">
        <v>108.27510240560066</v>
      </c>
      <c r="DW8" s="3303">
        <v>107.19257717157213</v>
      </c>
      <c r="DX8" s="3303">
        <v>147.23028819749928</v>
      </c>
      <c r="DY8" s="3303">
        <v>108.63387755739497</v>
      </c>
      <c r="DZ8" s="3303">
        <v>108.74382154515779</v>
      </c>
      <c r="EA8" s="3378">
        <v>102.93245795696556</v>
      </c>
      <c r="EB8" s="3303">
        <v>103.01290453692766</v>
      </c>
      <c r="EC8" s="3303"/>
      <c r="ED8" s="3486">
        <v>107.09</v>
      </c>
      <c r="EE8" s="3486">
        <v>101.22</v>
      </c>
      <c r="EF8" s="3486">
        <v>101.16</v>
      </c>
      <c r="EG8" s="3486">
        <v>101.38</v>
      </c>
      <c r="EH8" s="3486">
        <v>100.62</v>
      </c>
      <c r="EI8" s="3486">
        <v>95.51</v>
      </c>
      <c r="EJ8" s="3486">
        <v>101.84</v>
      </c>
      <c r="EK8" s="3486">
        <v>97.81</v>
      </c>
      <c r="EL8" s="3486">
        <v>100.91</v>
      </c>
      <c r="EM8" s="3488">
        <v>100.34</v>
      </c>
      <c r="EN8" s="3303"/>
      <c r="EO8" s="3303"/>
      <c r="EP8" s="3486">
        <v>102.39</v>
      </c>
      <c r="EQ8" s="3486">
        <v>100.52</v>
      </c>
      <c r="ER8" s="3486">
        <v>102.32</v>
      </c>
      <c r="ES8" s="3486">
        <v>103.55</v>
      </c>
      <c r="ET8" s="3486">
        <v>101.02</v>
      </c>
      <c r="EU8" s="3486">
        <v>96.59</v>
      </c>
      <c r="EV8" s="3486">
        <v>101.08</v>
      </c>
      <c r="EW8" s="3486">
        <v>100.01</v>
      </c>
      <c r="EX8" s="3486">
        <v>101.89</v>
      </c>
      <c r="EY8" s="3488">
        <v>99.3</v>
      </c>
      <c r="EZ8" s="3303"/>
      <c r="FA8" s="3378">
        <v>72.033791741468605</v>
      </c>
      <c r="FB8" s="3303">
        <v>75.322999796354281</v>
      </c>
      <c r="FC8" s="3303">
        <v>85.686550527563043</v>
      </c>
      <c r="FD8" s="3303">
        <v>85.012639471846839</v>
      </c>
      <c r="FE8" s="3303">
        <v>88.602935399599644</v>
      </c>
      <c r="FF8" s="3303">
        <v>92.869974859717217</v>
      </c>
      <c r="FG8" s="3303">
        <v>103.8996481503053</v>
      </c>
      <c r="FH8" s="3303">
        <v>107.48127913034415</v>
      </c>
      <c r="FI8" s="3303">
        <v>108.36970892473407</v>
      </c>
      <c r="FJ8" s="3303">
        <v>109.76973658136149</v>
      </c>
      <c r="FK8" s="3303">
        <v>111.32438408792268</v>
      </c>
      <c r="FL8" s="3303">
        <v>110.77102068584797</v>
      </c>
      <c r="FM8" s="3489">
        <f t="shared" ref="FM8:FN9" si="0">AVERAGE(EM8:EX8)</f>
        <v>100.971</v>
      </c>
      <c r="FN8" s="3417">
        <f t="shared" si="0"/>
        <v>100.86699999999999</v>
      </c>
    </row>
    <row r="9" spans="1:221" ht="12.75">
      <c r="A9" s="3290"/>
      <c r="B9" s="3350" t="s">
        <v>1424</v>
      </c>
      <c r="C9" s="3310"/>
      <c r="D9" s="3326">
        <v>37.088202834610684</v>
      </c>
      <c r="E9" s="3327">
        <v>39.389060566590686</v>
      </c>
      <c r="F9" s="3327">
        <v>39.960162093442101</v>
      </c>
      <c r="G9" s="3327">
        <v>39.833883540463276</v>
      </c>
      <c r="H9" s="3327">
        <v>38.663733963877853</v>
      </c>
      <c r="I9" s="3327">
        <v>37.820455731885573</v>
      </c>
      <c r="J9" s="3328">
        <v>38.026591424817873</v>
      </c>
      <c r="K9" s="3329">
        <v>39.115670327495799</v>
      </c>
      <c r="L9" s="3330">
        <v>39.035458224096658</v>
      </c>
      <c r="M9" s="3330">
        <v>39.657905179077559</v>
      </c>
      <c r="N9" s="3330">
        <v>38.701380115717406</v>
      </c>
      <c r="O9" s="3330">
        <v>38.929040123150259</v>
      </c>
      <c r="P9" s="3330">
        <v>41.113319220165408</v>
      </c>
      <c r="Q9" s="3330">
        <v>38.850298376094692</v>
      </c>
      <c r="R9" s="3330">
        <v>37.807750077491924</v>
      </c>
      <c r="S9" s="3330">
        <v>39.985659917311573</v>
      </c>
      <c r="T9" s="3330">
        <v>39.369929734212008</v>
      </c>
      <c r="U9" s="3330">
        <v>38.821406296723488</v>
      </c>
      <c r="V9" s="3331">
        <v>39.732985275935697</v>
      </c>
      <c r="W9" s="3332">
        <v>41.184396247952755</v>
      </c>
      <c r="X9" s="3333">
        <v>41.193009870918758</v>
      </c>
      <c r="Y9" s="3333">
        <v>42.98011144018875</v>
      </c>
      <c r="Z9" s="3333">
        <v>42.496053645524597</v>
      </c>
      <c r="AA9" s="3333">
        <v>42.375665496632202</v>
      </c>
      <c r="AB9" s="3333">
        <v>42.729588812073558</v>
      </c>
      <c r="AC9" s="3333">
        <v>42.320796452876877</v>
      </c>
      <c r="AD9" s="3333">
        <v>41.077562702088613</v>
      </c>
      <c r="AE9" s="3333">
        <v>44.422392138290313</v>
      </c>
      <c r="AF9" s="3333">
        <v>45.743995795312223</v>
      </c>
      <c r="AG9" s="3333">
        <v>43.858075562839652</v>
      </c>
      <c r="AH9" s="3334">
        <v>45.171011993259995</v>
      </c>
      <c r="AI9" s="3335">
        <v>45.353731998421786</v>
      </c>
      <c r="AJ9" s="3336">
        <v>46.64545110058512</v>
      </c>
      <c r="AK9" s="3336">
        <v>45.698235325678716</v>
      </c>
      <c r="AL9" s="3336">
        <v>46.843268603220451</v>
      </c>
      <c r="AM9" s="3336">
        <v>46.262460794371982</v>
      </c>
      <c r="AN9" s="3336">
        <v>43.970774557325157</v>
      </c>
      <c r="AO9" s="3336">
        <v>44.266863300935924</v>
      </c>
      <c r="AP9" s="3336">
        <v>42.205949704428733</v>
      </c>
      <c r="AQ9" s="3336">
        <v>44.129989562624267</v>
      </c>
      <c r="AR9" s="3336">
        <v>44.285184550130857</v>
      </c>
      <c r="AS9" s="3336">
        <v>44.131755565651979</v>
      </c>
      <c r="AT9" s="3337">
        <v>43.135526447605706</v>
      </c>
      <c r="AU9" s="3338">
        <v>50.452490679921901</v>
      </c>
      <c r="AV9" s="3339">
        <v>51.158929034416417</v>
      </c>
      <c r="AW9" s="3339">
        <v>50.635239220983905</v>
      </c>
      <c r="AX9" s="3339">
        <v>52.58417037154652</v>
      </c>
      <c r="AY9" s="3339">
        <v>51.715962751805399</v>
      </c>
      <c r="AZ9" s="3339">
        <v>52.093950891233185</v>
      </c>
      <c r="BA9" s="3339">
        <v>51.873263615513629</v>
      </c>
      <c r="BB9" s="3339">
        <v>50.641704190815886</v>
      </c>
      <c r="BC9" s="3339">
        <v>50.767297801258643</v>
      </c>
      <c r="BD9" s="3339">
        <v>52.660421647318202</v>
      </c>
      <c r="BE9" s="3339">
        <v>52.883366654157136</v>
      </c>
      <c r="BF9" s="3339">
        <v>52.231014481316343</v>
      </c>
      <c r="BG9" s="3340">
        <v>51.308446025614955</v>
      </c>
      <c r="BH9" s="3341">
        <v>52.120542773561048</v>
      </c>
      <c r="BI9" s="3341">
        <v>52.651957015985801</v>
      </c>
      <c r="BJ9" s="3341">
        <v>54.359690401289036</v>
      </c>
      <c r="BK9" s="3341">
        <v>51.480584647969629</v>
      </c>
      <c r="BL9" s="3341">
        <v>51.649307862472334</v>
      </c>
      <c r="BM9" s="3341">
        <v>52.82551788824869</v>
      </c>
      <c r="BN9" s="3341">
        <v>52.479359710263765</v>
      </c>
      <c r="BO9" s="3341">
        <v>51.356539785022534</v>
      </c>
      <c r="BP9" s="3341">
        <v>53.957462525364917</v>
      </c>
      <c r="BQ9" s="3341">
        <v>53.647813947664957</v>
      </c>
      <c r="BR9" s="3342">
        <v>54.527160373100635</v>
      </c>
      <c r="BS9" s="3343">
        <v>55.995320569743896</v>
      </c>
      <c r="BT9" s="3344">
        <v>54.970999790253785</v>
      </c>
      <c r="BU9" s="3344">
        <v>56.062980933638741</v>
      </c>
      <c r="BV9" s="3344">
        <v>57.919853674398432</v>
      </c>
      <c r="BW9" s="3344">
        <v>57.836098651715375</v>
      </c>
      <c r="BX9" s="3344">
        <v>57.304254791856188</v>
      </c>
      <c r="BY9" s="3344">
        <v>57.049547902979732</v>
      </c>
      <c r="BZ9" s="3344">
        <v>57.821687282566671</v>
      </c>
      <c r="CA9" s="3344">
        <v>56.199089269031283</v>
      </c>
      <c r="CB9" s="3344">
        <v>58.235704063219458</v>
      </c>
      <c r="CC9" s="3344">
        <v>57.923976273032068</v>
      </c>
      <c r="CD9" s="3344">
        <v>58.767539447731757</v>
      </c>
      <c r="CE9" s="3345">
        <v>58.689370039148088</v>
      </c>
      <c r="CF9" s="3345">
        <v>67.630018196089637</v>
      </c>
      <c r="CG9" s="3345">
        <v>67.790611763282115</v>
      </c>
      <c r="CH9" s="3345">
        <v>63.9756612660765</v>
      </c>
      <c r="CI9" s="3345">
        <v>64.218452351018357</v>
      </c>
      <c r="CJ9" s="3345">
        <v>64.009552709782184</v>
      </c>
      <c r="CK9" s="3345">
        <v>64.458894449237846</v>
      </c>
      <c r="CL9" s="3345">
        <v>66.039017733011789</v>
      </c>
      <c r="CM9" s="3345">
        <v>65.080399900919247</v>
      </c>
      <c r="CN9" s="3345">
        <v>69.290249375142011</v>
      </c>
      <c r="CO9" s="3345">
        <v>69.488685626655524</v>
      </c>
      <c r="CP9" s="3346">
        <v>68.814460768657526</v>
      </c>
      <c r="CQ9" s="3347">
        <v>71.136236284331773</v>
      </c>
      <c r="CR9" s="3347">
        <v>74.782857187686318</v>
      </c>
      <c r="CS9" s="3347">
        <v>72.581744927358557</v>
      </c>
      <c r="CT9" s="3347">
        <v>70.882274943126404</v>
      </c>
      <c r="CU9" s="3347">
        <v>70.482900397929555</v>
      </c>
      <c r="CV9" s="3347">
        <v>68.754788689292155</v>
      </c>
      <c r="CW9" s="3347">
        <v>69.16</v>
      </c>
      <c r="CX9" s="3348">
        <v>71.73968587316611</v>
      </c>
      <c r="CY9" s="3347">
        <v>71.052733398377953</v>
      </c>
      <c r="CZ9" s="3347">
        <v>71.09240955432567</v>
      </c>
      <c r="DA9" s="3347">
        <v>71.273436103282364</v>
      </c>
      <c r="DB9" s="3370">
        <v>70.592560520826737</v>
      </c>
      <c r="DC9" s="3373">
        <v>68.931104879800301</v>
      </c>
      <c r="DD9" s="3349">
        <v>68.809852471605836</v>
      </c>
      <c r="DE9" s="3349">
        <v>71.913666808484777</v>
      </c>
      <c r="DF9" s="3349">
        <v>72.048210936177412</v>
      </c>
      <c r="DG9" s="3349">
        <v>69.935311821590687</v>
      </c>
      <c r="DH9" s="3349">
        <v>72.850873170580769</v>
      </c>
      <c r="DI9" s="3349">
        <v>71.327732397674566</v>
      </c>
      <c r="DJ9" s="3349">
        <v>70.490790224319483</v>
      </c>
      <c r="DK9" s="3349">
        <v>70.398065801173743</v>
      </c>
      <c r="DL9" s="3349">
        <v>70.848325754580216</v>
      </c>
      <c r="DM9" s="3349">
        <v>69.586032186084253</v>
      </c>
      <c r="DN9" s="3374">
        <v>71.183818124333072</v>
      </c>
      <c r="DO9" s="3378">
        <v>74.186986663202561</v>
      </c>
      <c r="DP9" s="3303">
        <v>71.904446254808789</v>
      </c>
      <c r="DQ9" s="3303">
        <v>74.798922550595606</v>
      </c>
      <c r="DR9" s="3303">
        <v>74.822508783344176</v>
      </c>
      <c r="DS9" s="3303">
        <v>72.701001975850716</v>
      </c>
      <c r="DT9" s="3303">
        <v>74.179148058818953</v>
      </c>
      <c r="DU9" s="3303">
        <v>69.442780667211537</v>
      </c>
      <c r="DV9" s="3303">
        <v>73.021821295606856</v>
      </c>
      <c r="DW9" s="3303">
        <v>72.471291060958947</v>
      </c>
      <c r="DX9" s="3303">
        <v>82.185629410700273</v>
      </c>
      <c r="DY9" s="3303">
        <v>68.228066501964278</v>
      </c>
      <c r="DZ9" s="3303">
        <v>70.357165418283543</v>
      </c>
      <c r="EA9" s="3378">
        <v>68.25330895948899</v>
      </c>
      <c r="EB9" s="3303">
        <v>69.081195289007667</v>
      </c>
      <c r="EC9" s="3303"/>
      <c r="ED9" s="3486">
        <v>67.53</v>
      </c>
      <c r="EE9" s="3486">
        <v>66.14</v>
      </c>
      <c r="EF9" s="3486">
        <v>64.73</v>
      </c>
      <c r="EG9" s="3486">
        <v>64.81</v>
      </c>
      <c r="EH9" s="3486">
        <v>64.92</v>
      </c>
      <c r="EI9" s="3486">
        <v>66.58</v>
      </c>
      <c r="EJ9" s="3486">
        <v>64.92</v>
      </c>
      <c r="EK9" s="3486">
        <v>64.739999999999995</v>
      </c>
      <c r="EL9" s="3486">
        <v>67.680000000000007</v>
      </c>
      <c r="EM9" s="3488">
        <v>66.02</v>
      </c>
      <c r="EN9" s="3303"/>
      <c r="EO9" s="3303"/>
      <c r="EP9" s="3486">
        <v>64.8</v>
      </c>
      <c r="EQ9" s="3486">
        <v>66.56</v>
      </c>
      <c r="ER9" s="3486">
        <v>63.83</v>
      </c>
      <c r="ES9" s="3486">
        <v>65.06</v>
      </c>
      <c r="ET9" s="3486">
        <v>64.78</v>
      </c>
      <c r="EU9" s="3486">
        <v>64.709999999999994</v>
      </c>
      <c r="EV9" s="3486">
        <v>64.81</v>
      </c>
      <c r="EW9" s="3486">
        <v>64.569999999999993</v>
      </c>
      <c r="EX9" s="3486">
        <v>65.38</v>
      </c>
      <c r="EY9" s="3488">
        <v>64.22</v>
      </c>
      <c r="EZ9" s="3303"/>
      <c r="FA9" s="3378">
        <v>38.683155736526871</v>
      </c>
      <c r="FB9" s="3303">
        <v>39.233737813697665</v>
      </c>
      <c r="FC9" s="3303">
        <v>42.971202652693087</v>
      </c>
      <c r="FD9" s="3303">
        <v>44.694139268646495</v>
      </c>
      <c r="FE9" s="3303">
        <v>51.676991153507117</v>
      </c>
      <c r="FF9" s="3303">
        <v>52.724840462576353</v>
      </c>
      <c r="FG9" s="3303">
        <v>57.17989566432805</v>
      </c>
      <c r="FH9" s="3303">
        <v>65.881004587108848</v>
      </c>
      <c r="FI9" s="3303">
        <v>71.127635656641971</v>
      </c>
      <c r="FJ9" s="3303">
        <v>70.751485187846001</v>
      </c>
      <c r="FK9" s="3303">
        <v>73.191647386778854</v>
      </c>
      <c r="FL9" s="3303">
        <v>72.461903330985947</v>
      </c>
      <c r="FM9" s="3489">
        <f t="shared" si="0"/>
        <v>65.051999999999992</v>
      </c>
      <c r="FN9" s="3417">
        <f t="shared" si="0"/>
        <v>64.871999999999986</v>
      </c>
    </row>
    <row r="10" spans="1:221" ht="12.75">
      <c r="A10" s="3290"/>
      <c r="B10" s="3350" t="s">
        <v>1425</v>
      </c>
      <c r="C10" s="3310"/>
      <c r="D10" s="3326">
        <v>16.503053596317102</v>
      </c>
      <c r="E10" s="3327">
        <v>17.887368507202094</v>
      </c>
      <c r="F10" s="3327">
        <v>14.844819673589186</v>
      </c>
      <c r="G10" s="3327">
        <v>16.48463787136857</v>
      </c>
      <c r="H10" s="3327">
        <v>16.934588907100935</v>
      </c>
      <c r="I10" s="3327">
        <v>16.55610495907559</v>
      </c>
      <c r="J10" s="3328">
        <v>17.284830359386781</v>
      </c>
      <c r="K10" s="3329">
        <v>18.598571911523234</v>
      </c>
      <c r="L10" s="3330">
        <v>18.605147282113581</v>
      </c>
      <c r="M10" s="3330">
        <v>16.514681569343068</v>
      </c>
      <c r="N10" s="3330">
        <v>16.937954493219944</v>
      </c>
      <c r="O10" s="3330">
        <v>18.827039813502765</v>
      </c>
      <c r="P10" s="3330">
        <v>16.617794388327727</v>
      </c>
      <c r="Q10" s="3330">
        <v>17.991263338332974</v>
      </c>
      <c r="R10" s="3330">
        <v>18.375218246334057</v>
      </c>
      <c r="S10" s="3330">
        <v>19.201465971092194</v>
      </c>
      <c r="T10" s="3330">
        <v>19.857018185363945</v>
      </c>
      <c r="U10" s="3330">
        <v>18.563722437300115</v>
      </c>
      <c r="V10" s="3331">
        <v>20.03620617857835</v>
      </c>
      <c r="W10" s="3332">
        <v>18.524224072672215</v>
      </c>
      <c r="X10" s="3333">
        <v>19.296633057436665</v>
      </c>
      <c r="Y10" s="3333">
        <v>19.890283985732992</v>
      </c>
      <c r="Z10" s="3333">
        <v>19.25203916950187</v>
      </c>
      <c r="AA10" s="3333">
        <v>19.455093112244899</v>
      </c>
      <c r="AB10" s="3333">
        <v>18.211947974667407</v>
      </c>
      <c r="AC10" s="3333">
        <v>18.573978837182839</v>
      </c>
      <c r="AD10" s="3333">
        <v>19.136274853118554</v>
      </c>
      <c r="AE10" s="3333">
        <v>19.243881932021459</v>
      </c>
      <c r="AF10" s="3333">
        <v>18.463602406618204</v>
      </c>
      <c r="AG10" s="3333">
        <v>18.871866250699942</v>
      </c>
      <c r="AH10" s="3334">
        <v>19.088402343405864</v>
      </c>
      <c r="AI10" s="3335">
        <v>19.070360854267236</v>
      </c>
      <c r="AJ10" s="3336">
        <v>18.759991372264107</v>
      </c>
      <c r="AK10" s="3336">
        <v>18.699757254464281</v>
      </c>
      <c r="AL10" s="3336">
        <v>19.18543076641668</v>
      </c>
      <c r="AM10" s="3336">
        <v>19.027831102130168</v>
      </c>
      <c r="AN10" s="3336">
        <v>19.415351821737787</v>
      </c>
      <c r="AO10" s="3336">
        <v>19.877017795525909</v>
      </c>
      <c r="AP10" s="3336">
        <v>19.878862706992191</v>
      </c>
      <c r="AQ10" s="3336">
        <v>20.374260041291294</v>
      </c>
      <c r="AR10" s="3336">
        <v>19.907633023255809</v>
      </c>
      <c r="AS10" s="3336">
        <v>19.906287130924202</v>
      </c>
      <c r="AT10" s="3337">
        <v>20.481775545086922</v>
      </c>
      <c r="AU10" s="3338">
        <v>20.57619067814581</v>
      </c>
      <c r="AV10" s="3339">
        <v>19.788169206471164</v>
      </c>
      <c r="AW10" s="3339">
        <v>19.0350938086304</v>
      </c>
      <c r="AX10" s="3339">
        <v>19.203278241536967</v>
      </c>
      <c r="AY10" s="3339">
        <v>21.115955135675048</v>
      </c>
      <c r="AZ10" s="3339">
        <v>20.205115271277524</v>
      </c>
      <c r="BA10" s="3339">
        <v>20.780756002186447</v>
      </c>
      <c r="BB10" s="3339">
        <v>20.101113818452138</v>
      </c>
      <c r="BC10" s="3339">
        <v>19.591108296118176</v>
      </c>
      <c r="BD10" s="3339">
        <v>19.269224738675948</v>
      </c>
      <c r="BE10" s="3339">
        <v>19.373558808016885</v>
      </c>
      <c r="BF10" s="3339">
        <v>19.635488521089162</v>
      </c>
      <c r="BG10" s="3340">
        <v>19.558390402075236</v>
      </c>
      <c r="BH10" s="3341">
        <v>20.203698500180693</v>
      </c>
      <c r="BI10" s="3341">
        <v>19.089524494421209</v>
      </c>
      <c r="BJ10" s="3341">
        <v>19.815904608932325</v>
      </c>
      <c r="BK10" s="3341">
        <v>19.235406737880037</v>
      </c>
      <c r="BL10" s="3341">
        <v>19.987525576771738</v>
      </c>
      <c r="BM10" s="3341">
        <v>21.42086093536782</v>
      </c>
      <c r="BN10" s="3341">
        <v>21.906470114455274</v>
      </c>
      <c r="BO10" s="3341">
        <v>20.97549043268403</v>
      </c>
      <c r="BP10" s="3341">
        <v>21.279173566691515</v>
      </c>
      <c r="BQ10" s="3341">
        <v>21.482979109184079</v>
      </c>
      <c r="BR10" s="3342">
        <v>21.587334509112281</v>
      </c>
      <c r="BS10" s="3343">
        <v>23.172753792298717</v>
      </c>
      <c r="BT10" s="3344">
        <v>22.873522299132578</v>
      </c>
      <c r="BU10" s="3344">
        <v>23.160712894429285</v>
      </c>
      <c r="BV10" s="3344">
        <v>23.084810245516557</v>
      </c>
      <c r="BW10" s="3344">
        <v>24.944565896082661</v>
      </c>
      <c r="BX10" s="3344">
        <v>24.351881802310455</v>
      </c>
      <c r="BY10" s="3344">
        <v>26.542717968422522</v>
      </c>
      <c r="BZ10" s="3344">
        <v>25.358131362181215</v>
      </c>
      <c r="CA10" s="3344">
        <v>25.417599653379547</v>
      </c>
      <c r="CB10" s="3344">
        <v>26.368949943545363</v>
      </c>
      <c r="CC10" s="3344">
        <v>24.737891628638263</v>
      </c>
      <c r="CD10" s="3344">
        <v>25.50156407227545</v>
      </c>
      <c r="CE10" s="3345">
        <v>24.977685408902904</v>
      </c>
      <c r="CF10" s="3345">
        <v>24.439318691750085</v>
      </c>
      <c r="CG10" s="3345">
        <v>25.776061776061777</v>
      </c>
      <c r="CH10" s="3345">
        <v>25.005250264570996</v>
      </c>
      <c r="CI10" s="3345">
        <v>26.01821304072255</v>
      </c>
      <c r="CJ10" s="3345">
        <v>24.393467655147678</v>
      </c>
      <c r="CK10" s="3345">
        <v>25.042202305231108</v>
      </c>
      <c r="CL10" s="3345">
        <v>25.833980719492114</v>
      </c>
      <c r="CM10" s="3345">
        <v>24.425810795603741</v>
      </c>
      <c r="CN10" s="3345">
        <v>25.892359107383975</v>
      </c>
      <c r="CO10" s="3345">
        <v>27.256322035790017</v>
      </c>
      <c r="CP10" s="3346">
        <v>27.67553031238424</v>
      </c>
      <c r="CQ10" s="3347">
        <v>30.325119948991787</v>
      </c>
      <c r="CR10" s="3347">
        <v>30.021281302349557</v>
      </c>
      <c r="CS10" s="3347">
        <v>29.38892597798079</v>
      </c>
      <c r="CT10" s="3347">
        <v>30.678596441281137</v>
      </c>
      <c r="CU10" s="3347">
        <v>28.266561394312674</v>
      </c>
      <c r="CV10" s="3347">
        <v>29.029856368683081</v>
      </c>
      <c r="CW10" s="3347">
        <v>29.41</v>
      </c>
      <c r="CX10" s="3348">
        <v>29.218240248589417</v>
      </c>
      <c r="CY10" s="3347">
        <v>29.972333939761469</v>
      </c>
      <c r="CZ10" s="3347">
        <v>33.231304483552506</v>
      </c>
      <c r="DA10" s="3347">
        <v>30.858015870073039</v>
      </c>
      <c r="DB10" s="3370">
        <v>30.009258177096015</v>
      </c>
      <c r="DC10" s="3373">
        <v>32.206025609149677</v>
      </c>
      <c r="DD10" s="3349">
        <v>31.448877666603742</v>
      </c>
      <c r="DE10" s="3349">
        <v>31.74823930657622</v>
      </c>
      <c r="DF10" s="3349">
        <v>29.973099897013388</v>
      </c>
      <c r="DG10" s="3349">
        <v>30.970817939824151</v>
      </c>
      <c r="DH10" s="3349">
        <v>31.193080619327276</v>
      </c>
      <c r="DI10" s="3349">
        <v>29.536045952782459</v>
      </c>
      <c r="DJ10" s="3349">
        <v>28.592900823753901</v>
      </c>
      <c r="DK10" s="3349">
        <v>25.856757706303064</v>
      </c>
      <c r="DL10" s="3349">
        <v>27.463579310061949</v>
      </c>
      <c r="DM10" s="3349">
        <v>28.267501105509862</v>
      </c>
      <c r="DN10" s="3374">
        <v>30.205370404327493</v>
      </c>
      <c r="DO10" s="3378">
        <v>29.143818268233662</v>
      </c>
      <c r="DP10" s="3303">
        <v>28.574189259522118</v>
      </c>
      <c r="DQ10" s="3303">
        <v>29.07471611448986</v>
      </c>
      <c r="DR10" s="3303">
        <v>29.359257704515205</v>
      </c>
      <c r="DS10" s="3303">
        <v>27.901933002993704</v>
      </c>
      <c r="DT10" s="3303">
        <v>29.785882238442827</v>
      </c>
      <c r="DU10" s="3303">
        <v>28.097399934613051</v>
      </c>
      <c r="DV10" s="3303">
        <v>30.495817130601019</v>
      </c>
      <c r="DW10" s="3303">
        <v>28.72605286151158</v>
      </c>
      <c r="DX10" s="3303">
        <v>32.501984625378945</v>
      </c>
      <c r="DY10" s="3303">
        <v>28.960498127340831</v>
      </c>
      <c r="DZ10" s="3303">
        <v>28.537690602632189</v>
      </c>
      <c r="EA10" s="3378">
        <v>30.072559254095506</v>
      </c>
      <c r="EB10" s="3303">
        <v>31.286264111063069</v>
      </c>
      <c r="EC10" s="3303"/>
      <c r="ED10" s="3303"/>
      <c r="EE10" s="3303"/>
      <c r="EF10" s="3303"/>
      <c r="EG10" s="3303"/>
      <c r="EH10" s="3303"/>
      <c r="EI10" s="3303"/>
      <c r="EJ10" s="3303"/>
      <c r="EK10" s="3303"/>
      <c r="EL10" s="3303"/>
      <c r="EM10" s="3378"/>
      <c r="EN10" s="3303"/>
      <c r="EO10" s="3303"/>
      <c r="EP10" s="3303"/>
      <c r="EQ10" s="3303"/>
      <c r="ER10" s="3303"/>
      <c r="ES10" s="3303"/>
      <c r="ET10" s="3303"/>
      <c r="EU10" s="3303"/>
      <c r="EV10" s="3303"/>
      <c r="EW10" s="3303"/>
      <c r="EX10" s="3303"/>
      <c r="EY10" s="3378"/>
      <c r="EZ10" s="3303"/>
      <c r="FA10" s="3378">
        <v>16.642200553434321</v>
      </c>
      <c r="FB10" s="3303">
        <v>18.318993743242942</v>
      </c>
      <c r="FC10" s="3303">
        <v>18.992010550809084</v>
      </c>
      <c r="FD10" s="3303">
        <v>19.543735233633136</v>
      </c>
      <c r="FE10" s="3303">
        <v>19.886163350331515</v>
      </c>
      <c r="FF10" s="3303">
        <v>20.574926165884836</v>
      </c>
      <c r="FG10" s="3303">
        <v>24.67920254920412</v>
      </c>
      <c r="FH10" s="3303">
        <v>25.571024828160251</v>
      </c>
      <c r="FI10" s="3303">
        <v>30.034124512722617</v>
      </c>
      <c r="FJ10" s="3303">
        <v>29.809169797596006</v>
      </c>
      <c r="FK10" s="3303">
        <v>29.263269989189585</v>
      </c>
      <c r="FL10" s="3303">
        <v>29.566671308973152</v>
      </c>
      <c r="FM10" s="3417"/>
      <c r="FN10" s="3418"/>
    </row>
    <row r="11" spans="1:221" ht="22.5">
      <c r="A11" s="3290"/>
      <c r="B11" s="3325"/>
      <c r="C11" s="3310"/>
      <c r="D11" s="3351"/>
      <c r="E11" s="3311"/>
      <c r="F11" s="3311"/>
      <c r="G11" s="3311"/>
      <c r="H11" s="3311"/>
      <c r="I11" s="3311"/>
      <c r="J11" s="3352"/>
      <c r="K11" s="3353"/>
      <c r="L11" s="3354"/>
      <c r="M11" s="3354"/>
      <c r="N11" s="3354"/>
      <c r="O11" s="3354"/>
      <c r="P11" s="3354"/>
      <c r="Q11" s="3354"/>
      <c r="R11" s="3354"/>
      <c r="S11" s="3354"/>
      <c r="T11" s="3354"/>
      <c r="U11" s="3354"/>
      <c r="V11" s="3355"/>
      <c r="W11" s="3356"/>
      <c r="X11" s="3313"/>
      <c r="Y11" s="3313"/>
      <c r="Z11" s="3313"/>
      <c r="AA11" s="3313"/>
      <c r="AB11" s="3313"/>
      <c r="AC11" s="3313"/>
      <c r="AD11" s="3313"/>
      <c r="AE11" s="3313"/>
      <c r="AF11" s="3313"/>
      <c r="AG11" s="3313"/>
      <c r="AH11" s="3357"/>
      <c r="AI11" s="3358"/>
      <c r="AJ11" s="3315"/>
      <c r="AK11" s="3315"/>
      <c r="AL11" s="3315"/>
      <c r="AM11" s="3315"/>
      <c r="AN11" s="3315"/>
      <c r="AO11" s="3315"/>
      <c r="AP11" s="3315"/>
      <c r="AQ11" s="3315"/>
      <c r="AR11" s="3315"/>
      <c r="AS11" s="3315"/>
      <c r="AT11" s="3359"/>
      <c r="AU11" s="3360"/>
      <c r="AV11" s="3361"/>
      <c r="AW11" s="3361"/>
      <c r="AX11" s="3361"/>
      <c r="AY11" s="3361"/>
      <c r="AZ11" s="3361"/>
      <c r="BA11" s="3361"/>
      <c r="BB11" s="3361"/>
      <c r="BC11" s="3361"/>
      <c r="BD11" s="3361"/>
      <c r="BE11" s="3361"/>
      <c r="BF11" s="3361"/>
      <c r="BG11" s="3362"/>
      <c r="BH11" s="3363"/>
      <c r="BI11" s="3363"/>
      <c r="BJ11" s="3363"/>
      <c r="BK11" s="3363"/>
      <c r="BL11" s="3363"/>
      <c r="BM11" s="3363"/>
      <c r="BN11" s="3363"/>
      <c r="BO11" s="3363"/>
      <c r="BP11" s="3363"/>
      <c r="BQ11" s="3363"/>
      <c r="BR11" s="3363"/>
      <c r="BS11" s="3364"/>
      <c r="BT11" s="3365"/>
      <c r="BU11" s="3365"/>
      <c r="BV11" s="3365"/>
      <c r="BW11" s="3365"/>
      <c r="BX11" s="3365"/>
      <c r="BY11" s="3365"/>
      <c r="BZ11" s="3365"/>
      <c r="CA11" s="3365"/>
      <c r="CB11" s="3365"/>
      <c r="CC11" s="3365"/>
      <c r="CD11" s="3365"/>
      <c r="CE11" s="3366"/>
      <c r="CF11" s="3366"/>
      <c r="CG11" s="3366"/>
      <c r="CH11" s="3366"/>
      <c r="CI11" s="3366"/>
      <c r="CJ11" s="3366"/>
      <c r="CK11" s="3366"/>
      <c r="CL11" s="3366"/>
      <c r="CM11" s="3366"/>
      <c r="CN11" s="3366"/>
      <c r="CO11" s="3366"/>
      <c r="CP11" s="3367"/>
      <c r="CQ11" s="3368"/>
      <c r="CR11" s="3368"/>
      <c r="CS11" s="3289"/>
      <c r="CT11" s="3289"/>
      <c r="CU11" s="3289"/>
      <c r="CV11" s="3289"/>
      <c r="CW11" s="3289"/>
      <c r="CX11" s="3289"/>
      <c r="CY11" s="3289"/>
      <c r="DC11" s="2131"/>
      <c r="DF11" s="3303"/>
      <c r="DG11" s="3303"/>
      <c r="DH11" s="3303"/>
      <c r="DI11" s="3303"/>
      <c r="DJ11" s="3305"/>
      <c r="DK11" s="3305"/>
      <c r="DL11" s="3305"/>
      <c r="DM11" s="3305"/>
      <c r="DN11" s="3305"/>
      <c r="DO11" s="3377"/>
      <c r="DP11" s="3305"/>
      <c r="DQ11" s="3305"/>
      <c r="DR11" s="3305"/>
      <c r="DS11" s="3305"/>
      <c r="DT11" s="3305"/>
      <c r="DU11" s="3305"/>
      <c r="DV11" s="3305"/>
      <c r="DW11" s="3305"/>
      <c r="DX11" s="3305"/>
      <c r="DY11" s="3305"/>
      <c r="DZ11" s="3305"/>
      <c r="EA11" s="3305"/>
      <c r="EB11" s="3305"/>
      <c r="EC11" s="3305"/>
      <c r="ED11" s="3487" t="s">
        <v>1436</v>
      </c>
      <c r="EE11" s="3487" t="s">
        <v>1436</v>
      </c>
      <c r="EF11" s="3487" t="s">
        <v>1437</v>
      </c>
      <c r="EG11" s="3487" t="s">
        <v>1437</v>
      </c>
      <c r="EH11" s="3487" t="s">
        <v>1438</v>
      </c>
      <c r="EI11" s="3487" t="s">
        <v>1439</v>
      </c>
      <c r="EJ11" s="3487" t="s">
        <v>1440</v>
      </c>
      <c r="EK11" s="3487" t="s">
        <v>1434</v>
      </c>
      <c r="EL11" s="3487" t="s">
        <v>1434</v>
      </c>
      <c r="EM11" s="3487" t="s">
        <v>1435</v>
      </c>
      <c r="EN11" s="3305"/>
      <c r="EO11" s="3305"/>
      <c r="EP11" s="3487" t="s">
        <v>1436</v>
      </c>
      <c r="EQ11" s="3487" t="s">
        <v>1436</v>
      </c>
      <c r="ER11" s="3487" t="s">
        <v>1437</v>
      </c>
      <c r="ES11" s="3487" t="s">
        <v>1437</v>
      </c>
      <c r="ET11" s="3487" t="s">
        <v>1438</v>
      </c>
      <c r="EU11" s="3487" t="s">
        <v>1439</v>
      </c>
      <c r="EV11" s="3487" t="s">
        <v>1440</v>
      </c>
      <c r="EW11" s="3487" t="s">
        <v>1440</v>
      </c>
      <c r="EX11" s="3487" t="s">
        <v>1435</v>
      </c>
      <c r="EY11" s="3487" t="s">
        <v>1435</v>
      </c>
      <c r="EZ11" s="3305"/>
      <c r="FA11" s="3954" t="s">
        <v>358</v>
      </c>
      <c r="FB11" s="3955"/>
      <c r="FC11" s="3955"/>
      <c r="FD11" s="3955"/>
      <c r="FE11" s="3955"/>
      <c r="FF11" s="3955"/>
      <c r="FG11" s="3955"/>
      <c r="FH11" s="3955"/>
      <c r="FI11" s="3955"/>
      <c r="FJ11" s="3955"/>
      <c r="FK11" s="3955"/>
      <c r="FL11" s="3956"/>
      <c r="FM11" s="3419"/>
      <c r="FN11" s="3419"/>
    </row>
    <row r="12" spans="1:221" ht="12.75">
      <c r="CR12" s="2"/>
      <c r="FA12" s="2131" t="s">
        <v>1426</v>
      </c>
      <c r="FB12" s="2132"/>
      <c r="FC12" s="2132"/>
      <c r="FD12" s="2132"/>
      <c r="FE12" s="2132"/>
      <c r="FF12" s="2132"/>
      <c r="FG12" s="2132"/>
      <c r="FH12" s="2132"/>
      <c r="FI12" s="2132"/>
      <c r="FJ12" s="2132"/>
      <c r="FK12" s="2132"/>
      <c r="FL12" s="2132"/>
      <c r="FM12" s="2132"/>
      <c r="FN12" s="2132"/>
    </row>
    <row r="13" spans="1:221" customFormat="1" ht="15"/>
    <row r="14" spans="1:221" customFormat="1" ht="15"/>
    <row r="15" spans="1:221" customFormat="1" ht="15"/>
    <row r="16" spans="1:221" customFormat="1" ht="15"/>
    <row r="17" customFormat="1" ht="15"/>
    <row r="18" customFormat="1" ht="15"/>
    <row r="19" customFormat="1" ht="15"/>
    <row r="20" customFormat="1" ht="15"/>
    <row r="21" customFormat="1" ht="15"/>
    <row r="22" customFormat="1" ht="15"/>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9"/>
  <sheetViews>
    <sheetView showGridLines="0" topLeftCell="H11" zoomScale="80" zoomScaleNormal="80" workbookViewId="0">
      <selection activeCell="C23" sqref="C23"/>
    </sheetView>
  </sheetViews>
  <sheetFormatPr baseColWidth="10" defaultColWidth="11.42578125" defaultRowHeight="15"/>
  <cols>
    <col min="1" max="1" width="3" style="186" customWidth="1"/>
    <col min="2" max="2" width="23.5703125" style="186" customWidth="1"/>
    <col min="3" max="3" width="14" style="186" customWidth="1"/>
    <col min="4" max="4" width="14" style="1609" customWidth="1"/>
    <col min="5" max="5" width="23.5703125" style="1609" customWidth="1"/>
    <col min="6" max="9" width="20.7109375" style="1609" customWidth="1"/>
    <col min="10" max="12" width="23.5703125" style="186" customWidth="1"/>
    <col min="13" max="16384" width="11.42578125" style="186"/>
  </cols>
  <sheetData>
    <row r="1" spans="2:12">
      <c r="B1" s="2721"/>
      <c r="C1" s="567"/>
      <c r="D1" s="567"/>
      <c r="E1" s="567"/>
      <c r="F1" s="567"/>
      <c r="G1" s="567"/>
      <c r="H1" s="567"/>
      <c r="I1" s="567"/>
      <c r="J1" s="567"/>
      <c r="K1" s="567"/>
      <c r="L1" s="2722"/>
    </row>
    <row r="2" spans="2:12">
      <c r="B2" s="2723"/>
      <c r="C2" s="2724"/>
      <c r="D2" s="2724"/>
      <c r="E2" s="2724"/>
      <c r="F2" s="2724"/>
      <c r="G2" s="2724"/>
      <c r="H2" s="2724"/>
      <c r="I2" s="2724"/>
      <c r="J2" s="2724"/>
      <c r="K2" s="2724"/>
      <c r="L2" s="2725"/>
    </row>
    <row r="3" spans="2:12">
      <c r="B3" s="2723"/>
      <c r="C3" s="2724"/>
      <c r="D3" s="2724"/>
      <c r="E3" s="2724"/>
      <c r="F3" s="2724"/>
      <c r="G3" s="2724"/>
      <c r="H3" s="2724"/>
      <c r="I3" s="2724"/>
      <c r="J3" s="2724"/>
      <c r="K3" s="2724"/>
      <c r="L3" s="2725"/>
    </row>
    <row r="4" spans="2:12">
      <c r="B4" s="2723"/>
      <c r="C4" s="2724"/>
      <c r="D4" s="2724"/>
      <c r="E4" s="2724"/>
      <c r="F4" s="2724"/>
      <c r="G4" s="2724"/>
      <c r="H4" s="2724"/>
      <c r="I4" s="2724"/>
      <c r="J4" s="2724"/>
      <c r="K4" s="2724"/>
      <c r="L4" s="2725"/>
    </row>
    <row r="5" spans="2:12">
      <c r="B5" s="2723"/>
      <c r="C5" s="2724"/>
      <c r="D5" s="2724"/>
      <c r="E5" s="2724"/>
      <c r="F5" s="2724"/>
      <c r="G5" s="2724"/>
      <c r="H5" s="2724"/>
      <c r="I5" s="2724"/>
      <c r="J5" s="2724"/>
      <c r="K5" s="2724"/>
      <c r="L5" s="2725"/>
    </row>
    <row r="6" spans="2:12">
      <c r="B6" s="2723"/>
      <c r="C6" s="2724"/>
      <c r="D6" s="2724"/>
      <c r="E6" s="2724"/>
      <c r="F6" s="2724"/>
      <c r="G6" s="2724"/>
      <c r="H6" s="2724"/>
      <c r="I6" s="2724"/>
      <c r="J6" s="2724"/>
      <c r="K6" s="2724"/>
      <c r="L6" s="2725"/>
    </row>
    <row r="7" spans="2:12">
      <c r="B7" s="2723"/>
      <c r="C7" s="2724"/>
      <c r="D7" s="2724"/>
      <c r="E7" s="2724"/>
      <c r="F7"/>
      <c r="G7" s="2724"/>
      <c r="H7" s="2724"/>
      <c r="I7" s="2724"/>
      <c r="J7" s="2724"/>
      <c r="K7" s="2724"/>
      <c r="L7" s="2725"/>
    </row>
    <row r="8" spans="2:12">
      <c r="B8" s="2723"/>
      <c r="C8" s="2724"/>
      <c r="D8" s="2724"/>
      <c r="E8" s="2724"/>
      <c r="F8" s="2724"/>
      <c r="G8" s="2724"/>
      <c r="H8" s="2724"/>
      <c r="I8" s="2724"/>
      <c r="J8" s="2724"/>
      <c r="K8" s="2724"/>
      <c r="L8" s="2725"/>
    </row>
    <row r="9" spans="2:12" ht="15.75" thickBot="1">
      <c r="B9" s="2723"/>
      <c r="C9" s="2724"/>
      <c r="D9" s="2724"/>
      <c r="E9" s="2724"/>
      <c r="F9" s="2724"/>
      <c r="G9" s="2724"/>
      <c r="H9" s="2724"/>
      <c r="I9" s="2724"/>
      <c r="J9" s="2724"/>
      <c r="K9" s="2724"/>
      <c r="L9" s="2725"/>
    </row>
    <row r="10" spans="2:12" ht="46.15" customHeight="1" thickBot="1">
      <c r="B10" s="3762" t="str">
        <f>'Llegadas '!A1</f>
        <v>Llegadas internacionales de turistas no residentes (#)</v>
      </c>
      <c r="C10" s="3759" t="s">
        <v>1198</v>
      </c>
      <c r="D10" s="3760"/>
      <c r="E10" s="3760"/>
      <c r="F10" s="3760"/>
      <c r="G10" s="3760"/>
      <c r="H10" s="3760"/>
      <c r="I10" s="3761"/>
      <c r="J10" s="3764" t="str">
        <f>'Sugeridos-estancia-gasto'!A2</f>
        <v>Estadía promedio en ciudad del turismo de recreación en estancia corta y media (1 a 15 días)</v>
      </c>
      <c r="K10" s="3765"/>
      <c r="L10" s="3766"/>
    </row>
    <row r="11" spans="2:12" s="1303" customFormat="1" ht="60.75" customHeight="1" thickBot="1">
      <c r="B11" s="3763"/>
      <c r="C11" s="3773" t="str">
        <f>'TOH '!A1</f>
        <v>Tasa de ocupación hotelera (TOH) - (%)</v>
      </c>
      <c r="D11" s="3774"/>
      <c r="E11" s="2713" t="str">
        <f>'Estancia hotelera'!B2</f>
        <v>Estancia media hotelera DMQ (noches)</v>
      </c>
      <c r="F11" s="2714" t="s">
        <v>1196</v>
      </c>
      <c r="G11" s="2714" t="s">
        <v>1197</v>
      </c>
      <c r="H11" s="2715" t="s">
        <v>1195</v>
      </c>
      <c r="I11" s="2716" t="s">
        <v>1199</v>
      </c>
      <c r="J11" s="2690" t="str">
        <f>'Sugeridos-estancia-gasto'!A5</f>
        <v>Estancia ciudad (días)</v>
      </c>
      <c r="K11" s="2694" t="str">
        <f>'Sugeridos-estancia-gasto'!A7</f>
        <v>Gasto medio diario (USD)</v>
      </c>
      <c r="L11" s="2717" t="str">
        <f>'Sugeridos-estancia-gasto'!A6</f>
        <v>Gasto medio turista (USD)</v>
      </c>
    </row>
    <row r="12" spans="2:12" s="1303" customFormat="1" ht="18.75">
      <c r="B12" s="2597">
        <f>'Llegadas '!J3</f>
        <v>2015</v>
      </c>
      <c r="C12" s="3767">
        <f>'TOH '!K3</f>
        <v>2015</v>
      </c>
      <c r="D12" s="3768"/>
      <c r="E12" s="2699">
        <f>'Estancia hotelera'!M4</f>
        <v>2015</v>
      </c>
      <c r="F12" s="2701"/>
      <c r="G12" s="2701"/>
      <c r="H12" s="2703"/>
      <c r="I12" s="2708"/>
      <c r="J12" s="2691" t="str">
        <f>'Sugeridos-estancia-gasto'!I4</f>
        <v xml:space="preserve"> agosto 2015</v>
      </c>
      <c r="K12" s="2695" t="str">
        <f>'Sugeridos-estancia-gasto'!I4</f>
        <v xml:space="preserve"> agosto 2015</v>
      </c>
      <c r="L12" s="2718" t="str">
        <f>'Sugeridos-estancia-gasto'!I4</f>
        <v xml:space="preserve"> agosto 2015</v>
      </c>
    </row>
    <row r="13" spans="2:12" s="1303" customFormat="1" ht="18.75">
      <c r="B13" s="2594">
        <f>'Llegadas '!J16</f>
        <v>712877</v>
      </c>
      <c r="C13" s="3769">
        <f>'TOH '!K5</f>
        <v>52.646506184060037</v>
      </c>
      <c r="D13" s="3770"/>
      <c r="E13" s="2698">
        <f>'Estancia hotelera'!M19</f>
        <v>1.5855894194982867</v>
      </c>
      <c r="F13" s="2596"/>
      <c r="G13" s="2596"/>
      <c r="H13" s="2704"/>
      <c r="I13" s="2709"/>
      <c r="J13" s="2692">
        <f>'Sugeridos-estancia-gasto'!I5</f>
        <v>5.92</v>
      </c>
      <c r="K13" s="2696">
        <f>'Sugeridos-estancia-gasto'!I7</f>
        <v>75</v>
      </c>
      <c r="L13" s="2719">
        <f>'Sugeridos-estancia-gasto'!I6</f>
        <v>446</v>
      </c>
    </row>
    <row r="14" spans="2:12" s="1303" customFormat="1" ht="18.75">
      <c r="B14" s="2597"/>
      <c r="C14" s="2601"/>
      <c r="D14" s="2601"/>
      <c r="E14" s="2699"/>
      <c r="F14" s="2600"/>
      <c r="G14" s="2600"/>
      <c r="H14" s="2705"/>
      <c r="I14" s="2710"/>
      <c r="J14" s="2691"/>
      <c r="K14" s="2695"/>
      <c r="L14" s="2718"/>
    </row>
    <row r="15" spans="2:12" s="1303" customFormat="1" ht="18.75">
      <c r="B15" s="2597">
        <f>'Llegadas '!K3</f>
        <v>2016</v>
      </c>
      <c r="C15" s="3771">
        <f>'TOH '!L3</f>
        <v>2016</v>
      </c>
      <c r="D15" s="3772"/>
      <c r="E15" s="2699">
        <f>'Estancia hotelera'!N4</f>
        <v>2016</v>
      </c>
      <c r="F15" s="2701"/>
      <c r="G15" s="2701"/>
      <c r="H15" s="2703"/>
      <c r="I15" s="2708"/>
      <c r="J15" s="2691" t="str">
        <f>'Sugeridos-estancia-gasto'!J4</f>
        <v xml:space="preserve"> diciembre 2016</v>
      </c>
      <c r="K15" s="2695" t="str">
        <f>J15</f>
        <v xml:space="preserve"> diciembre 2016</v>
      </c>
      <c r="L15" s="2718" t="str">
        <f>'Sugeridos-estancia-gasto'!J4</f>
        <v xml:space="preserve"> diciembre 2016</v>
      </c>
    </row>
    <row r="16" spans="2:12" s="1303" customFormat="1" ht="18.75">
      <c r="B16" s="2594">
        <f>'Llegadas '!K16</f>
        <v>627626</v>
      </c>
      <c r="C16" s="3769">
        <f>'TOH '!L5</f>
        <v>46.512730614023319</v>
      </c>
      <c r="D16" s="3770"/>
      <c r="E16" s="2698">
        <f>'Estancia hotelera'!N19</f>
        <v>1.5566332188277681</v>
      </c>
      <c r="F16" s="2596"/>
      <c r="G16" s="2596"/>
      <c r="H16" s="2704"/>
      <c r="I16" s="2709"/>
      <c r="J16" s="2692">
        <f>'Sugeridos-estancia-gasto'!J5</f>
        <v>5.53</v>
      </c>
      <c r="K16" s="2696">
        <f>'Sugeridos-estancia-gasto'!J7</f>
        <v>114</v>
      </c>
      <c r="L16" s="2719">
        <f>'Sugeridos-estancia-gasto'!J6</f>
        <v>631</v>
      </c>
    </row>
    <row r="17" spans="2:12" s="1303" customFormat="1" ht="18.75">
      <c r="B17" s="2597"/>
      <c r="C17" s="2601"/>
      <c r="D17" s="2601"/>
      <c r="E17" s="2699"/>
      <c r="F17" s="2600"/>
      <c r="G17" s="2600"/>
      <c r="H17" s="2705"/>
      <c r="I17" s="2710"/>
      <c r="J17" s="2691"/>
      <c r="K17" s="2695"/>
      <c r="L17" s="2718"/>
    </row>
    <row r="18" spans="2:12" s="1303" customFormat="1" ht="18.75">
      <c r="B18" s="2597">
        <f>'Llegadas '!L3</f>
        <v>2017</v>
      </c>
      <c r="C18" s="3771" t="str">
        <f>'TOH '!M3</f>
        <v xml:space="preserve">2017 (e) </v>
      </c>
      <c r="D18" s="3772"/>
      <c r="E18" s="2699" t="str">
        <f>'Estancia hotelera'!O4</f>
        <v xml:space="preserve">2017 (e) </v>
      </c>
      <c r="F18" s="2701"/>
      <c r="G18" s="2701"/>
      <c r="H18" s="2703"/>
      <c r="I18" s="2708"/>
      <c r="J18" s="2691" t="str">
        <f>'Sugeridos-estancia-gasto'!K4</f>
        <v xml:space="preserve"> enero 2017 (e) </v>
      </c>
      <c r="K18" s="2695" t="str">
        <f>J18</f>
        <v xml:space="preserve"> enero 2017 (e) </v>
      </c>
      <c r="L18" s="2718" t="str">
        <f>'Sugeridos-estancia-gasto'!K4</f>
        <v xml:space="preserve"> enero 2017 (e) </v>
      </c>
    </row>
    <row r="19" spans="2:12" s="1303" customFormat="1" ht="18.75">
      <c r="B19" s="2594">
        <f>'Llegadas '!L16</f>
        <v>652931</v>
      </c>
      <c r="C19" s="3769">
        <f>'TOH '!M5</f>
        <v>46.020581605453351</v>
      </c>
      <c r="D19" s="3770"/>
      <c r="E19" s="2698">
        <f>'Estancia hotelera'!O19</f>
        <v>1.5448134813886878</v>
      </c>
      <c r="F19" s="2596"/>
      <c r="G19" s="2596"/>
      <c r="H19" s="2704"/>
      <c r="I19" s="2709"/>
      <c r="J19" s="2692">
        <f>'Sugeridos-estancia-gasto'!K5</f>
        <v>4.8682914931280266</v>
      </c>
      <c r="K19" s="2696">
        <f>'Sugeridos-estancia-gasto'!K7</f>
        <v>112.99411496055541</v>
      </c>
      <c r="L19" s="2719">
        <f>'Sugeridos-estancia-gasto'!K6</f>
        <v>550.08828863600218</v>
      </c>
    </row>
    <row r="20" spans="2:12" s="1303" customFormat="1" ht="18.75">
      <c r="B20" s="2594"/>
      <c r="C20" s="2595"/>
      <c r="D20" s="3063"/>
      <c r="E20" s="2698"/>
      <c r="F20" s="2596"/>
      <c r="G20" s="2596"/>
      <c r="H20" s="2704"/>
      <c r="I20" s="2709"/>
      <c r="J20" s="2692"/>
      <c r="K20" s="2696"/>
      <c r="L20" s="2719"/>
    </row>
    <row r="21" spans="2:12" s="1303" customFormat="1" ht="37.5">
      <c r="B21" s="2594"/>
      <c r="C21" s="3064" t="s">
        <v>1398</v>
      </c>
      <c r="D21" s="3065" t="s">
        <v>1397</v>
      </c>
      <c r="E21" s="2698"/>
      <c r="F21" s="2596"/>
      <c r="G21" s="2596"/>
      <c r="H21" s="2704"/>
      <c r="I21" s="2709"/>
      <c r="J21" s="2692"/>
      <c r="K21" s="2696"/>
      <c r="L21" s="2719"/>
    </row>
    <row r="22" spans="2:12" s="1303" customFormat="1" ht="18.75">
      <c r="B22" s="2597">
        <v>2018</v>
      </c>
      <c r="C22" s="2598" t="str">
        <f>'TOH '!N3</f>
        <v xml:space="preserve">2018 (e) </v>
      </c>
      <c r="D22" s="2598" t="s">
        <v>1007</v>
      </c>
      <c r="E22" s="2699" t="str">
        <f>'Estancia hotelera'!P4</f>
        <v xml:space="preserve">2018 (e) </v>
      </c>
      <c r="F22" s="2701">
        <v>2018</v>
      </c>
      <c r="G22" s="2701">
        <v>2018</v>
      </c>
      <c r="H22" s="2703">
        <v>2018</v>
      </c>
      <c r="I22" s="2708">
        <v>2018</v>
      </c>
      <c r="J22" s="2691" t="str">
        <f>'Sugeridos-estancia-gasto'!L4</f>
        <v xml:space="preserve">2018 (e) </v>
      </c>
      <c r="K22" s="2695" t="str">
        <f>J22</f>
        <v xml:space="preserve">2018 (e) </v>
      </c>
      <c r="L22" s="2718" t="str">
        <f>K22</f>
        <v xml:space="preserve">2018 (e) </v>
      </c>
    </row>
    <row r="23" spans="2:12" s="1303" customFormat="1" ht="18.75">
      <c r="B23" s="2594">
        <f>'Llegadas '!M16</f>
        <v>692492</v>
      </c>
      <c r="C23" s="2595">
        <f>'TOH '!N5</f>
        <v>46.433055555555562</v>
      </c>
      <c r="D23" s="2595">
        <f>'TOH '!O5</f>
        <v>50.197122475217498</v>
      </c>
      <c r="E23" s="2698">
        <f>'Estancia hotelera'!P19</f>
        <v>1.5756734082798449</v>
      </c>
      <c r="F23" s="2702">
        <f>'Aloj-Hab-Plazas'!E14</f>
        <v>13776</v>
      </c>
      <c r="G23" s="2702">
        <f>'Aloj-Hab-Plazas'!F14</f>
        <v>28458</v>
      </c>
      <c r="H23" s="2706" t="e">
        <f>GETPIVOTDATA("Suma de NÚMERO HABITACIONES",'Aloj-Capacidad-TASA'!$B$4)</f>
        <v>#REF!</v>
      </c>
      <c r="I23" s="2711" t="e">
        <f>GETPIVOTDATA("Suma de NÚMERO DE PLAZAS",'Aloj-Capacidad-TASA'!$B$4)</f>
        <v>#REF!</v>
      </c>
      <c r="J23" s="2692">
        <f>'Sugeridos-estancia-gasto'!L5</f>
        <v>5.84</v>
      </c>
      <c r="K23" s="2696">
        <f>'Sugeridos-estancia-gasto'!L7</f>
        <v>118.15068493150686</v>
      </c>
      <c r="L23" s="2719">
        <f>'Sugeridos-estancia-gasto'!L6</f>
        <v>690</v>
      </c>
    </row>
    <row r="24" spans="2:12" s="1303" customFormat="1" ht="18.75">
      <c r="B24" s="2594"/>
      <c r="C24" s="3159"/>
      <c r="D24" s="3159"/>
      <c r="E24" s="2698"/>
      <c r="F24" s="2702"/>
      <c r="G24" s="2702"/>
      <c r="H24" s="2706"/>
      <c r="I24" s="2711"/>
      <c r="J24" s="2692"/>
      <c r="K24" s="2696"/>
      <c r="L24" s="2719"/>
    </row>
    <row r="25" spans="2:12" s="1303" customFormat="1" ht="18.75">
      <c r="B25" s="2597" t="s">
        <v>1040</v>
      </c>
      <c r="C25" s="3160"/>
      <c r="D25" s="3160" t="s">
        <v>1135</v>
      </c>
      <c r="E25" s="2699" t="s">
        <v>1135</v>
      </c>
      <c r="F25" s="2701" t="s">
        <v>1135</v>
      </c>
      <c r="G25" s="2701" t="s">
        <v>1135</v>
      </c>
      <c r="H25" s="2703" t="s">
        <v>1135</v>
      </c>
      <c r="I25" s="2708" t="s">
        <v>1135</v>
      </c>
      <c r="J25" s="2692" t="s">
        <v>1135</v>
      </c>
      <c r="K25" s="2696" t="s">
        <v>1135</v>
      </c>
      <c r="L25" s="2719" t="s">
        <v>1135</v>
      </c>
    </row>
    <row r="26" spans="2:12" s="1303" customFormat="1" ht="18.75">
      <c r="B26" s="2594">
        <f>'Llegadas '!N16</f>
        <v>712849</v>
      </c>
      <c r="C26" s="3159"/>
      <c r="D26" s="3159">
        <f>'TOH '!P5</f>
        <v>51.795609300014824</v>
      </c>
      <c r="E26" s="2698">
        <f>'Estancia hotelera'!Q19</f>
        <v>1.5656773819986467</v>
      </c>
      <c r="F26" s="2702">
        <f>'Aloj-Hab-Plazas'!E15</f>
        <v>13776</v>
      </c>
      <c r="G26" s="2702">
        <f>'Aloj-Hab-Plazas'!F15</f>
        <v>28458</v>
      </c>
      <c r="H26" s="2706" t="e">
        <f>H23</f>
        <v>#REF!</v>
      </c>
      <c r="I26" s="2711" t="e">
        <f>I23</f>
        <v>#REF!</v>
      </c>
      <c r="J26" s="2692">
        <f>'Sugeridos-estancia-gasto'!M5</f>
        <v>5.9216582986256059</v>
      </c>
      <c r="K26" s="2696">
        <f>'Sugeridos-estancia-gasto'!M7</f>
        <v>101.82895997841246</v>
      </c>
      <c r="L26" s="2719">
        <f>'Sugeridos-estancia-gasto'!M6</f>
        <v>596.61765772720048</v>
      </c>
    </row>
    <row r="27" spans="2:12" s="1303" customFormat="1" ht="19.5" thickBot="1">
      <c r="B27" s="2599"/>
      <c r="C27" s="2602"/>
      <c r="D27" s="2602"/>
      <c r="E27" s="2700"/>
      <c r="F27" s="2603"/>
      <c r="G27" s="2603"/>
      <c r="H27" s="2707"/>
      <c r="I27" s="2712"/>
      <c r="J27" s="2693"/>
      <c r="K27" s="2697"/>
      <c r="L27" s="2720"/>
    </row>
    <row r="28" spans="2:12">
      <c r="B28" s="703"/>
      <c r="C28" s="703"/>
      <c r="D28" s="703"/>
      <c r="E28" s="703"/>
      <c r="F28" s="703"/>
      <c r="G28" s="703"/>
      <c r="H28" s="703"/>
      <c r="I28" s="703"/>
      <c r="J28" s="703"/>
      <c r="K28" s="703"/>
      <c r="L28" s="703"/>
    </row>
    <row r="29" spans="2:12">
      <c r="B29" s="701" t="s">
        <v>1441</v>
      </c>
      <c r="C29" s="186" t="s">
        <v>1110</v>
      </c>
    </row>
  </sheetData>
  <mergeCells count="10">
    <mergeCell ref="C15:D15"/>
    <mergeCell ref="C16:D16"/>
    <mergeCell ref="C18:D18"/>
    <mergeCell ref="C19:D19"/>
    <mergeCell ref="C11:D11"/>
    <mergeCell ref="C10:I10"/>
    <mergeCell ref="B10:B11"/>
    <mergeCell ref="J10:L10"/>
    <mergeCell ref="C12:D12"/>
    <mergeCell ref="C13:D13"/>
  </mergeCells>
  <pageMargins left="0.7" right="0.7" top="0.75" bottom="0.75" header="0.3" footer="0.3"/>
  <pageSetup paperSize="9" orientation="portrait" verticalDpi="597"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K9"/>
  <sheetViews>
    <sheetView showGridLines="0" workbookViewId="0">
      <selection activeCell="EZ8" sqref="EZ8"/>
    </sheetView>
  </sheetViews>
  <sheetFormatPr baseColWidth="10" defaultColWidth="11.42578125" defaultRowHeight="12.75"/>
  <cols>
    <col min="1" max="1" width="3" style="2" customWidth="1"/>
    <col min="2" max="2" width="19.42578125" style="2" customWidth="1"/>
    <col min="3" max="3" width="4.85546875" style="2" bestFit="1" customWidth="1"/>
    <col min="4" max="130" width="11.42578125" style="2" hidden="1" customWidth="1"/>
    <col min="131" max="155" width="6" style="2" hidden="1" customWidth="1"/>
    <col min="156" max="156" width="4.28515625" style="2" customWidth="1"/>
    <col min="157" max="165" width="11.42578125" style="2"/>
    <col min="166" max="166" width="8.28515625" style="2" bestFit="1" customWidth="1"/>
    <col min="167" max="16384" width="11.42578125" style="2"/>
  </cols>
  <sheetData>
    <row r="1" spans="1:245" ht="13.5" thickBot="1">
      <c r="A1" s="3290"/>
      <c r="B1" s="3524" t="s">
        <v>1442</v>
      </c>
      <c r="C1" s="3525"/>
      <c r="D1" s="3526"/>
      <c r="E1" s="3526"/>
      <c r="F1" s="3526"/>
      <c r="G1" s="3526"/>
      <c r="H1" s="3527"/>
      <c r="I1" s="3527"/>
      <c r="J1" s="3528"/>
      <c r="K1" s="3528"/>
      <c r="L1" s="3528"/>
      <c r="M1" s="3528"/>
      <c r="N1" s="3528"/>
      <c r="O1" s="3528"/>
      <c r="P1" s="3528"/>
      <c r="Q1" s="3528"/>
      <c r="R1" s="3528"/>
      <c r="S1" s="3528"/>
      <c r="T1" s="3528"/>
      <c r="U1" s="3528"/>
      <c r="V1" s="3528"/>
      <c r="W1" s="3528"/>
      <c r="X1" s="3528"/>
      <c r="Y1" s="3528"/>
      <c r="Z1" s="3528"/>
      <c r="AA1" s="3528"/>
      <c r="AB1" s="3528"/>
      <c r="AC1" s="3528"/>
      <c r="AD1" s="3528"/>
      <c r="AE1" s="3528"/>
      <c r="AF1" s="3528"/>
      <c r="AG1" s="3528"/>
      <c r="AH1" s="3528"/>
      <c r="AI1" s="3529"/>
      <c r="AJ1" s="3529"/>
      <c r="AK1" s="3529"/>
      <c r="AL1" s="3529"/>
      <c r="AM1" s="3529"/>
      <c r="AN1" s="3529"/>
      <c r="AO1" s="3529"/>
      <c r="AP1" s="3529"/>
      <c r="AQ1" s="3529"/>
      <c r="AR1" s="3529"/>
      <c r="AS1" s="3529"/>
      <c r="AT1" s="3529"/>
      <c r="AU1" s="3528"/>
      <c r="AV1" s="3528"/>
      <c r="AW1" s="3528"/>
      <c r="AX1" s="3528"/>
      <c r="AY1" s="3528"/>
      <c r="AZ1" s="3528"/>
      <c r="BA1" s="3528"/>
      <c r="BB1" s="3528"/>
      <c r="BC1" s="3528"/>
      <c r="BD1" s="3528"/>
      <c r="BE1" s="3528"/>
      <c r="BF1" s="3528"/>
      <c r="BG1" s="3528"/>
      <c r="BH1" s="3528"/>
      <c r="BI1" s="3528"/>
      <c r="BJ1" s="3528"/>
      <c r="BK1" s="3528"/>
      <c r="BL1" s="3528"/>
      <c r="BM1" s="3528"/>
      <c r="BN1" s="3528"/>
      <c r="BO1" s="3528"/>
      <c r="BP1" s="3528"/>
      <c r="BQ1" s="3528"/>
      <c r="BR1" s="3528"/>
      <c r="BS1" s="3528"/>
      <c r="BT1" s="3528"/>
      <c r="BU1" s="3528"/>
      <c r="BV1" s="3528"/>
      <c r="BW1" s="3528"/>
      <c r="BX1" s="3528"/>
      <c r="BY1" s="3528"/>
      <c r="BZ1" s="3528"/>
      <c r="CA1" s="3528"/>
      <c r="CB1" s="3528"/>
      <c r="CC1" s="3528"/>
      <c r="CD1" s="3528"/>
      <c r="CE1" s="3528"/>
      <c r="CF1" s="3528"/>
      <c r="CG1" s="3528"/>
      <c r="CH1" s="3528"/>
      <c r="CI1" s="3528"/>
      <c r="CJ1" s="3528"/>
      <c r="CK1" s="3528"/>
      <c r="CL1" s="3528"/>
      <c r="CM1" s="3528"/>
      <c r="CN1" s="3528"/>
      <c r="CO1" s="3528"/>
      <c r="CP1" s="3528"/>
      <c r="CQ1" s="3528"/>
      <c r="CR1" s="3528"/>
      <c r="CS1" s="3528"/>
      <c r="CT1" s="3528"/>
      <c r="CU1" s="3528"/>
      <c r="CV1" s="3528"/>
      <c r="CW1" s="3528"/>
      <c r="CX1" s="3528"/>
      <c r="CY1" s="3528"/>
      <c r="CZ1" s="3528"/>
      <c r="DA1" s="3528"/>
      <c r="DB1" s="3528"/>
      <c r="DC1" s="3528"/>
      <c r="DD1" s="3528"/>
      <c r="DE1" s="3528"/>
      <c r="DF1" s="3528"/>
      <c r="DG1" s="3528"/>
      <c r="DH1" s="3528"/>
      <c r="DI1" s="3528"/>
      <c r="DJ1" s="3528"/>
      <c r="DK1" s="3528"/>
      <c r="DL1" s="3528"/>
      <c r="DM1" s="3528"/>
      <c r="DN1" s="3528"/>
      <c r="DO1" s="3528"/>
      <c r="DP1" s="3528"/>
      <c r="DQ1" s="3528"/>
      <c r="DR1" s="3528"/>
      <c r="DS1" s="3528"/>
      <c r="DT1" s="3528"/>
      <c r="DU1" s="3528"/>
      <c r="DV1" s="3528"/>
      <c r="DW1" s="3528"/>
      <c r="DX1" s="3528"/>
      <c r="DY1" s="3528"/>
      <c r="DZ1" s="3528"/>
      <c r="EA1" s="3528"/>
      <c r="EB1" s="3528"/>
      <c r="EC1" s="3528"/>
      <c r="ED1" s="3528"/>
      <c r="EE1" s="3528"/>
      <c r="EF1" s="3528"/>
      <c r="EG1" s="3528"/>
      <c r="EH1" s="3528"/>
      <c r="EI1" s="3528"/>
      <c r="EJ1" s="3528"/>
      <c r="EK1" s="3528"/>
      <c r="EL1" s="3528"/>
      <c r="EM1" s="3528"/>
      <c r="EN1" s="3528"/>
      <c r="EO1" s="3528"/>
      <c r="EP1" s="3528"/>
      <c r="EQ1" s="3528"/>
      <c r="ER1" s="3528"/>
      <c r="ES1" s="3528"/>
      <c r="ET1" s="3528"/>
      <c r="EU1" s="3528"/>
      <c r="EV1" s="3528"/>
      <c r="EW1" s="3528"/>
      <c r="EX1" s="3528"/>
      <c r="EY1" s="3528"/>
      <c r="EZ1" s="3528"/>
      <c r="FA1" s="3530"/>
      <c r="FB1" s="3528" t="s">
        <v>165</v>
      </c>
      <c r="FC1" s="3528"/>
      <c r="FD1" s="3528"/>
      <c r="FE1" s="3528"/>
      <c r="FF1" s="3528"/>
      <c r="FG1" s="3528"/>
      <c r="FH1" s="3528"/>
      <c r="FI1" s="3528"/>
      <c r="FJ1" s="3528"/>
    </row>
    <row r="2" spans="1:245">
      <c r="A2" s="3290"/>
      <c r="B2" s="3531" t="s">
        <v>198</v>
      </c>
      <c r="C2" s="3532"/>
      <c r="D2" s="3308"/>
      <c r="E2" s="3308"/>
      <c r="F2" s="3308"/>
      <c r="G2" s="3533">
        <v>2006</v>
      </c>
      <c r="H2" s="3533"/>
      <c r="I2" s="3533"/>
      <c r="J2" s="3534"/>
      <c r="K2" s="3535"/>
      <c r="L2" s="3536"/>
      <c r="M2" s="3537"/>
      <c r="N2" s="3538"/>
      <c r="O2" s="3539"/>
      <c r="P2" s="3536">
        <v>2007</v>
      </c>
      <c r="Q2" s="3539"/>
      <c r="R2" s="3539"/>
      <c r="S2" s="3539"/>
      <c r="T2" s="3539"/>
      <c r="U2" s="3539"/>
      <c r="V2" s="3540"/>
      <c r="W2" s="3511"/>
      <c r="X2" s="3307"/>
      <c r="Y2" s="3307"/>
      <c r="Z2" s="3307"/>
      <c r="AA2" s="3307"/>
      <c r="AB2" s="3307">
        <v>2008</v>
      </c>
      <c r="AC2" s="3307"/>
      <c r="AD2" s="3307"/>
      <c r="AE2" s="3307"/>
      <c r="AF2" s="3307"/>
      <c r="AG2" s="3307"/>
      <c r="AH2" s="3541"/>
      <c r="AI2" s="3542"/>
      <c r="AJ2" s="3543"/>
      <c r="AK2" s="3543"/>
      <c r="AL2" s="3543"/>
      <c r="AM2" s="3543"/>
      <c r="AN2" s="3543">
        <v>2009</v>
      </c>
      <c r="AO2" s="3543"/>
      <c r="AP2" s="3543"/>
      <c r="AQ2" s="3543"/>
      <c r="AR2" s="3543"/>
      <c r="AS2" s="3543"/>
      <c r="AT2" s="3543"/>
      <c r="AU2" s="3512"/>
      <c r="AV2" s="3513"/>
      <c r="AW2" s="3513"/>
      <c r="AX2" s="3513"/>
      <c r="AY2" s="3513"/>
      <c r="AZ2" s="3513">
        <v>2010</v>
      </c>
      <c r="BA2" s="3513"/>
      <c r="BB2" s="3513"/>
      <c r="BC2" s="3513"/>
      <c r="BD2" s="3513"/>
      <c r="BE2" s="3513"/>
      <c r="BF2" s="3514"/>
      <c r="BG2" s="3515"/>
      <c r="BH2" s="3516"/>
      <c r="BI2" s="3516"/>
      <c r="BJ2" s="3516"/>
      <c r="BK2" s="3516"/>
      <c r="BL2" s="3516">
        <v>2011</v>
      </c>
      <c r="BM2" s="3516"/>
      <c r="BN2" s="3516"/>
      <c r="BO2" s="3516"/>
      <c r="BP2" s="3516"/>
      <c r="BQ2" s="3516"/>
      <c r="BR2" s="3517"/>
      <c r="BS2" s="3518"/>
      <c r="BT2" s="3519"/>
      <c r="BU2" s="3519"/>
      <c r="BV2" s="3519"/>
      <c r="BW2" s="3519"/>
      <c r="BX2" s="3519">
        <v>2012</v>
      </c>
      <c r="BY2" s="3519"/>
      <c r="BZ2" s="3519"/>
      <c r="CA2" s="3519"/>
      <c r="CB2" s="3519"/>
      <c r="CC2" s="3519"/>
      <c r="CD2" s="3520"/>
      <c r="CE2" s="3521"/>
      <c r="CF2" s="3522"/>
      <c r="CG2" s="3522"/>
      <c r="CH2" s="3522"/>
      <c r="CI2" s="3522"/>
      <c r="CJ2" s="3522">
        <v>2013</v>
      </c>
      <c r="CK2" s="3522"/>
      <c r="CL2" s="3522"/>
      <c r="CM2" s="3522"/>
      <c r="CN2" s="3522"/>
      <c r="CO2" s="3522"/>
      <c r="CP2" s="3523"/>
      <c r="CQ2" s="3544">
        <v>2014</v>
      </c>
      <c r="CR2" s="3545"/>
      <c r="CS2" s="3546"/>
      <c r="CT2" s="3546"/>
      <c r="CU2" s="3546"/>
      <c r="CV2" s="3546"/>
      <c r="CW2" s="3546"/>
      <c r="CX2" s="3546"/>
      <c r="CY2" s="3546"/>
      <c r="CZ2" s="3547"/>
      <c r="DA2" s="3547"/>
      <c r="DB2" s="3548"/>
      <c r="DC2" s="3549">
        <v>2015</v>
      </c>
      <c r="DD2" s="3550"/>
      <c r="DE2" s="3550"/>
      <c r="DF2" s="3550"/>
      <c r="DG2" s="3550"/>
      <c r="DH2" s="3550"/>
      <c r="DI2" s="3550"/>
      <c r="DJ2" s="3550"/>
      <c r="DK2" s="3550"/>
      <c r="DL2" s="3550"/>
      <c r="DM2" s="3550"/>
      <c r="DN2" s="3551"/>
      <c r="DO2" s="3552">
        <v>2016</v>
      </c>
      <c r="DP2" s="3553"/>
      <c r="DQ2" s="3553"/>
      <c r="DR2" s="3553"/>
      <c r="DS2" s="3553"/>
      <c r="DT2" s="3553"/>
      <c r="DU2" s="3553"/>
      <c r="DV2" s="3553"/>
      <c r="DW2" s="3553"/>
      <c r="DX2" s="3553"/>
      <c r="DY2" s="3553"/>
      <c r="DZ2" s="3553"/>
      <c r="EA2" s="3671">
        <v>2017</v>
      </c>
      <c r="EB2" s="3554"/>
      <c r="EC2" s="3555"/>
      <c r="ED2" s="3555"/>
      <c r="EE2" s="3555"/>
      <c r="EF2" s="3555"/>
      <c r="EG2" s="3555"/>
      <c r="EH2" s="3555"/>
      <c r="EI2" s="3555"/>
      <c r="EJ2" s="3555"/>
      <c r="EK2" s="3555"/>
      <c r="EL2" s="3555"/>
      <c r="EM2" s="3620">
        <v>2018</v>
      </c>
      <c r="EN2" s="3667"/>
      <c r="EO2" s="3667"/>
      <c r="EP2" s="3667"/>
      <c r="EQ2" s="3667"/>
      <c r="ER2" s="3667"/>
      <c r="ES2" s="3667"/>
      <c r="ET2" s="3667"/>
      <c r="EU2" s="3667"/>
      <c r="EV2" s="3667"/>
      <c r="EW2" s="3667"/>
      <c r="EX2" s="3667"/>
      <c r="EY2" s="3622">
        <v>2019</v>
      </c>
      <c r="EZ2" s="3556"/>
      <c r="FA2" s="3557">
        <v>2006</v>
      </c>
      <c r="FB2" s="3557">
        <v>2007</v>
      </c>
      <c r="FC2" s="3557">
        <v>2008</v>
      </c>
      <c r="FD2" s="3557">
        <v>2009</v>
      </c>
      <c r="FE2" s="3557">
        <v>2010</v>
      </c>
      <c r="FF2" s="3557">
        <v>2011</v>
      </c>
      <c r="FG2" s="3557">
        <v>2012</v>
      </c>
      <c r="FH2" s="3557">
        <v>2013</v>
      </c>
      <c r="FI2" s="3557">
        <v>2014</v>
      </c>
      <c r="FJ2" s="3557">
        <v>2015</v>
      </c>
      <c r="FK2" s="3557">
        <v>2016</v>
      </c>
      <c r="FL2" s="3558" t="s">
        <v>696</v>
      </c>
      <c r="FM2" s="3559" t="s">
        <v>1007</v>
      </c>
      <c r="FN2" s="3559" t="s">
        <v>1135</v>
      </c>
    </row>
    <row r="3" spans="1:245" s="64" customFormat="1" ht="13.5" thickBot="1">
      <c r="A3" s="188"/>
      <c r="B3" s="970" t="s">
        <v>166</v>
      </c>
      <c r="C3" s="971"/>
      <c r="D3" s="3560" t="s">
        <v>42</v>
      </c>
      <c r="E3" s="3560" t="s">
        <v>43</v>
      </c>
      <c r="F3" s="3560" t="s">
        <v>44</v>
      </c>
      <c r="G3" s="3561" t="s">
        <v>45</v>
      </c>
      <c r="H3" s="3561" t="s">
        <v>46</v>
      </c>
      <c r="I3" s="3561" t="s">
        <v>47</v>
      </c>
      <c r="J3" s="3562" t="s">
        <v>48</v>
      </c>
      <c r="K3" s="3563" t="s">
        <v>37</v>
      </c>
      <c r="L3" s="3564" t="s">
        <v>38</v>
      </c>
      <c r="M3" s="3564" t="s">
        <v>39</v>
      </c>
      <c r="N3" s="3564" t="s">
        <v>40</v>
      </c>
      <c r="O3" s="3564" t="s">
        <v>41</v>
      </c>
      <c r="P3" s="3564" t="s">
        <v>42</v>
      </c>
      <c r="Q3" s="3564" t="s">
        <v>43</v>
      </c>
      <c r="R3" s="3564" t="s">
        <v>44</v>
      </c>
      <c r="S3" s="3564" t="s">
        <v>45</v>
      </c>
      <c r="T3" s="3564" t="s">
        <v>46</v>
      </c>
      <c r="U3" s="3564" t="s">
        <v>47</v>
      </c>
      <c r="V3" s="3565" t="s">
        <v>48</v>
      </c>
      <c r="W3" s="3566" t="s">
        <v>37</v>
      </c>
      <c r="X3" s="3561" t="s">
        <v>38</v>
      </c>
      <c r="Y3" s="3561" t="s">
        <v>39</v>
      </c>
      <c r="Z3" s="3561" t="s">
        <v>40</v>
      </c>
      <c r="AA3" s="3561" t="s">
        <v>41</v>
      </c>
      <c r="AB3" s="3561" t="s">
        <v>42</v>
      </c>
      <c r="AC3" s="3561" t="s">
        <v>43</v>
      </c>
      <c r="AD3" s="3561" t="s">
        <v>44</v>
      </c>
      <c r="AE3" s="3561" t="s">
        <v>45</v>
      </c>
      <c r="AF3" s="3561" t="s">
        <v>46</v>
      </c>
      <c r="AG3" s="3561" t="s">
        <v>47</v>
      </c>
      <c r="AH3" s="3562" t="s">
        <v>48</v>
      </c>
      <c r="AI3" s="3567" t="s">
        <v>37</v>
      </c>
      <c r="AJ3" s="3567" t="s">
        <v>38</v>
      </c>
      <c r="AK3" s="3567" t="s">
        <v>39</v>
      </c>
      <c r="AL3" s="3567" t="s">
        <v>40</v>
      </c>
      <c r="AM3" s="3567" t="s">
        <v>41</v>
      </c>
      <c r="AN3" s="3567" t="s">
        <v>42</v>
      </c>
      <c r="AO3" s="3567" t="s">
        <v>43</v>
      </c>
      <c r="AP3" s="3567" t="s">
        <v>44</v>
      </c>
      <c r="AQ3" s="3567" t="s">
        <v>45</v>
      </c>
      <c r="AR3" s="3567" t="s">
        <v>46</v>
      </c>
      <c r="AS3" s="3567" t="s">
        <v>47</v>
      </c>
      <c r="AT3" s="3567" t="s">
        <v>48</v>
      </c>
      <c r="AU3" s="3568" t="s">
        <v>37</v>
      </c>
      <c r="AV3" s="3569" t="s">
        <v>38</v>
      </c>
      <c r="AW3" s="3569" t="s">
        <v>39</v>
      </c>
      <c r="AX3" s="3569" t="s">
        <v>40</v>
      </c>
      <c r="AY3" s="3569" t="s">
        <v>41</v>
      </c>
      <c r="AZ3" s="3569" t="s">
        <v>42</v>
      </c>
      <c r="BA3" s="3569" t="s">
        <v>43</v>
      </c>
      <c r="BB3" s="3569" t="s">
        <v>44</v>
      </c>
      <c r="BC3" s="3569" t="s">
        <v>45</v>
      </c>
      <c r="BD3" s="3569" t="s">
        <v>46</v>
      </c>
      <c r="BE3" s="3569" t="s">
        <v>47</v>
      </c>
      <c r="BF3" s="3570" t="s">
        <v>48</v>
      </c>
      <c r="BG3" s="3571" t="s">
        <v>37</v>
      </c>
      <c r="BH3" s="3572" t="s">
        <v>38</v>
      </c>
      <c r="BI3" s="3572" t="s">
        <v>39</v>
      </c>
      <c r="BJ3" s="3572" t="s">
        <v>40</v>
      </c>
      <c r="BK3" s="3572" t="s">
        <v>41</v>
      </c>
      <c r="BL3" s="3572" t="s">
        <v>42</v>
      </c>
      <c r="BM3" s="3572" t="s">
        <v>43</v>
      </c>
      <c r="BN3" s="3572" t="s">
        <v>44</v>
      </c>
      <c r="BO3" s="3572" t="s">
        <v>45</v>
      </c>
      <c r="BP3" s="3572" t="s">
        <v>46</v>
      </c>
      <c r="BQ3" s="3572" t="s">
        <v>47</v>
      </c>
      <c r="BR3" s="3573" t="s">
        <v>48</v>
      </c>
      <c r="BS3" s="3574" t="s">
        <v>37</v>
      </c>
      <c r="BT3" s="3575" t="s">
        <v>38</v>
      </c>
      <c r="BU3" s="3575" t="s">
        <v>39</v>
      </c>
      <c r="BV3" s="3575" t="s">
        <v>40</v>
      </c>
      <c r="BW3" s="3575" t="s">
        <v>41</v>
      </c>
      <c r="BX3" s="3575" t="s">
        <v>42</v>
      </c>
      <c r="BY3" s="3575" t="s">
        <v>43</v>
      </c>
      <c r="BZ3" s="3575" t="s">
        <v>44</v>
      </c>
      <c r="CA3" s="3575" t="s">
        <v>45</v>
      </c>
      <c r="CB3" s="3575" t="s">
        <v>46</v>
      </c>
      <c r="CC3" s="3575" t="s">
        <v>47</v>
      </c>
      <c r="CD3" s="3576" t="s">
        <v>48</v>
      </c>
      <c r="CE3" s="3577" t="s">
        <v>37</v>
      </c>
      <c r="CF3" s="3578" t="s">
        <v>38</v>
      </c>
      <c r="CG3" s="3578" t="s">
        <v>39</v>
      </c>
      <c r="CH3" s="3578" t="s">
        <v>40</v>
      </c>
      <c r="CI3" s="3578" t="s">
        <v>41</v>
      </c>
      <c r="CJ3" s="3578" t="s">
        <v>42</v>
      </c>
      <c r="CK3" s="3578" t="s">
        <v>43</v>
      </c>
      <c r="CL3" s="3578" t="s">
        <v>44</v>
      </c>
      <c r="CM3" s="3578" t="s">
        <v>45</v>
      </c>
      <c r="CN3" s="3578" t="s">
        <v>46</v>
      </c>
      <c r="CO3" s="3578" t="s">
        <v>47</v>
      </c>
      <c r="CP3" s="3579" t="s">
        <v>48</v>
      </c>
      <c r="CQ3" s="3580" t="s">
        <v>37</v>
      </c>
      <c r="CR3" s="3581" t="s">
        <v>38</v>
      </c>
      <c r="CS3" s="3582" t="s">
        <v>39</v>
      </c>
      <c r="CT3" s="3582" t="s">
        <v>40</v>
      </c>
      <c r="CU3" s="3582" t="s">
        <v>41</v>
      </c>
      <c r="CV3" s="3582" t="s">
        <v>42</v>
      </c>
      <c r="CW3" s="3582" t="s">
        <v>43</v>
      </c>
      <c r="CX3" s="3582" t="s">
        <v>44</v>
      </c>
      <c r="CY3" s="3582" t="s">
        <v>45</v>
      </c>
      <c r="CZ3" s="3582" t="s">
        <v>46</v>
      </c>
      <c r="DA3" s="3582" t="s">
        <v>47</v>
      </c>
      <c r="DB3" s="3583" t="s">
        <v>48</v>
      </c>
      <c r="DC3" s="3584" t="s">
        <v>37</v>
      </c>
      <c r="DD3" s="3585" t="s">
        <v>38</v>
      </c>
      <c r="DE3" s="3585" t="s">
        <v>39</v>
      </c>
      <c r="DF3" s="3585" t="s">
        <v>40</v>
      </c>
      <c r="DG3" s="3585" t="s">
        <v>41</v>
      </c>
      <c r="DH3" s="3586" t="s">
        <v>42</v>
      </c>
      <c r="DI3" s="3586" t="s">
        <v>43</v>
      </c>
      <c r="DJ3" s="3586" t="s">
        <v>44</v>
      </c>
      <c r="DK3" s="3586" t="s">
        <v>45</v>
      </c>
      <c r="DL3" s="3586" t="s">
        <v>46</v>
      </c>
      <c r="DM3" s="3586" t="s">
        <v>47</v>
      </c>
      <c r="DN3" s="3587" t="s">
        <v>48</v>
      </c>
      <c r="DO3" s="3584" t="s">
        <v>37</v>
      </c>
      <c r="DP3" s="3585" t="s">
        <v>38</v>
      </c>
      <c r="DQ3" s="3585" t="s">
        <v>39</v>
      </c>
      <c r="DR3" s="3585" t="s">
        <v>40</v>
      </c>
      <c r="DS3" s="3585" t="s">
        <v>41</v>
      </c>
      <c r="DT3" s="3586" t="s">
        <v>42</v>
      </c>
      <c r="DU3" s="3586" t="s">
        <v>43</v>
      </c>
      <c r="DV3" s="3586" t="s">
        <v>44</v>
      </c>
      <c r="DW3" s="3586" t="s">
        <v>45</v>
      </c>
      <c r="DX3" s="3586" t="s">
        <v>203</v>
      </c>
      <c r="DY3" s="3586" t="s">
        <v>47</v>
      </c>
      <c r="DZ3" s="3586" t="s">
        <v>48</v>
      </c>
      <c r="EA3" s="3672" t="s">
        <v>37</v>
      </c>
      <c r="EB3" s="3586" t="s">
        <v>38</v>
      </c>
      <c r="EC3" s="3616" t="s">
        <v>39</v>
      </c>
      <c r="ED3" s="3616" t="s">
        <v>40</v>
      </c>
      <c r="EE3" s="3616" t="s">
        <v>41</v>
      </c>
      <c r="EF3" s="3616" t="s">
        <v>42</v>
      </c>
      <c r="EG3" s="3616" t="s">
        <v>43</v>
      </c>
      <c r="EH3" s="3616" t="s">
        <v>44</v>
      </c>
      <c r="EI3" s="3616" t="s">
        <v>45</v>
      </c>
      <c r="EJ3" s="3616" t="s">
        <v>46</v>
      </c>
      <c r="EK3" s="3616" t="s">
        <v>47</v>
      </c>
      <c r="EL3" s="3616" t="s">
        <v>48</v>
      </c>
      <c r="EM3" s="3619" t="s">
        <v>37</v>
      </c>
      <c r="EN3" s="3617" t="s">
        <v>38</v>
      </c>
      <c r="EO3" s="3616" t="s">
        <v>39</v>
      </c>
      <c r="EP3" s="3616" t="s">
        <v>40</v>
      </c>
      <c r="EQ3" s="3616" t="s">
        <v>41</v>
      </c>
      <c r="ER3" s="3616" t="s">
        <v>42</v>
      </c>
      <c r="ES3" s="3616" t="s">
        <v>43</v>
      </c>
      <c r="ET3" s="3616" t="s">
        <v>44</v>
      </c>
      <c r="EU3" s="3616" t="s">
        <v>45</v>
      </c>
      <c r="EV3" s="3616" t="s">
        <v>46</v>
      </c>
      <c r="EW3" s="3616" t="s">
        <v>47</v>
      </c>
      <c r="EX3" s="3616" t="s">
        <v>48</v>
      </c>
      <c r="EY3" s="3618" t="s">
        <v>37</v>
      </c>
      <c r="EZ3" s="972"/>
      <c r="FA3" s="973" t="s">
        <v>167</v>
      </c>
      <c r="FB3" s="973" t="s">
        <v>49</v>
      </c>
      <c r="FC3" s="973" t="s">
        <v>49</v>
      </c>
      <c r="FD3" s="973" t="s">
        <v>49</v>
      </c>
      <c r="FE3" s="973" t="s">
        <v>49</v>
      </c>
      <c r="FF3" s="973" t="s">
        <v>49</v>
      </c>
      <c r="FG3" s="973" t="s">
        <v>49</v>
      </c>
      <c r="FH3" s="973" t="s">
        <v>49</v>
      </c>
      <c r="FI3" s="973" t="s">
        <v>49</v>
      </c>
      <c r="FJ3" s="973" t="s">
        <v>49</v>
      </c>
      <c r="FK3" s="973" t="s">
        <v>49</v>
      </c>
      <c r="FL3" s="979" t="s">
        <v>694</v>
      </c>
      <c r="FM3" s="3510" t="s">
        <v>694</v>
      </c>
      <c r="FN3" s="3510" t="s">
        <v>694</v>
      </c>
      <c r="GI3" s="189"/>
      <c r="GJ3" s="189"/>
      <c r="GK3" s="189"/>
    </row>
    <row r="4" spans="1:245" ht="13.5" thickBot="1">
      <c r="A4" s="3588"/>
      <c r="B4" s="3589"/>
      <c r="C4" s="3590" t="s">
        <v>33</v>
      </c>
      <c r="D4" s="3591">
        <v>23.060772973509934</v>
      </c>
      <c r="E4" s="3591">
        <v>23.1781896947478</v>
      </c>
      <c r="F4" s="3591">
        <v>23.08074115188716</v>
      </c>
      <c r="G4" s="3591">
        <v>24.455241414345863</v>
      </c>
      <c r="H4" s="3591">
        <v>25.030611278150964</v>
      </c>
      <c r="I4" s="3591">
        <v>25.796187687687688</v>
      </c>
      <c r="J4" s="3592">
        <v>19.135151070464609</v>
      </c>
      <c r="K4" s="3593">
        <v>23.464971240755961</v>
      </c>
      <c r="L4" s="3591">
        <v>24.724818163139517</v>
      </c>
      <c r="M4" s="3591">
        <v>25.54286683107275</v>
      </c>
      <c r="N4" s="3591">
        <v>24.308234689683509</v>
      </c>
      <c r="O4" s="3591">
        <v>24.452591450883684</v>
      </c>
      <c r="P4" s="3591">
        <v>28.211313193588165</v>
      </c>
      <c r="Q4" s="3591">
        <v>27.369103476316322</v>
      </c>
      <c r="R4" s="3591">
        <v>26.165411430887719</v>
      </c>
      <c r="S4" s="3591">
        <v>27.659391850800741</v>
      </c>
      <c r="T4" s="3591">
        <v>27.72550780458139</v>
      </c>
      <c r="U4" s="3591">
        <v>29.463336035670871</v>
      </c>
      <c r="V4" s="3592">
        <v>21.295787953795376</v>
      </c>
      <c r="W4" s="3593">
        <v>24.0320510708402</v>
      </c>
      <c r="X4" s="3591">
        <v>28.641027369281034</v>
      </c>
      <c r="Y4" s="3591">
        <v>26.815120506535941</v>
      </c>
      <c r="Z4" s="3591">
        <v>29.055733251634017</v>
      </c>
      <c r="AA4" s="3591">
        <v>28.982830536225929</v>
      </c>
      <c r="AB4" s="3591">
        <v>31.156252558329911</v>
      </c>
      <c r="AC4" s="3591">
        <v>31.868219402374123</v>
      </c>
      <c r="AD4" s="3591">
        <v>29.768610315186248</v>
      </c>
      <c r="AE4" s="3591">
        <v>31.882566516577974</v>
      </c>
      <c r="AF4" s="3591">
        <v>32.303923092656987</v>
      </c>
      <c r="AG4" s="3591">
        <v>34.035334287466753</v>
      </c>
      <c r="AH4" s="3592">
        <v>26.165044953003672</v>
      </c>
      <c r="AI4" s="3594">
        <v>24.595185333600476</v>
      </c>
      <c r="AJ4" s="3594">
        <v>26.320523790483815</v>
      </c>
      <c r="AK4" s="3594">
        <v>28.273368787073018</v>
      </c>
      <c r="AL4" s="3594">
        <v>25.271174064225804</v>
      </c>
      <c r="AM4" s="3594">
        <v>25.045729442970817</v>
      </c>
      <c r="AN4" s="3594">
        <v>26.331070118222588</v>
      </c>
      <c r="AO4" s="3594">
        <v>27.586663269465951</v>
      </c>
      <c r="AP4" s="3594">
        <v>28.203305937949455</v>
      </c>
      <c r="AQ4" s="3594">
        <v>27.043379211175019</v>
      </c>
      <c r="AR4" s="3594">
        <v>29.134449672667763</v>
      </c>
      <c r="AS4" s="3594">
        <v>29.963187397708676</v>
      </c>
      <c r="AT4" s="3594">
        <v>23.120124769891582</v>
      </c>
      <c r="AU4" s="3595">
        <v>25.464977086918427</v>
      </c>
      <c r="AV4" s="3596">
        <v>30.979174917491761</v>
      </c>
      <c r="AW4" s="3596">
        <v>30.665536788973025</v>
      </c>
      <c r="AX4" s="3596">
        <v>28.292234022011957</v>
      </c>
      <c r="AY4" s="3596">
        <v>29.596329407221479</v>
      </c>
      <c r="AZ4" s="3596">
        <v>30.328354894767326</v>
      </c>
      <c r="BA4" s="3596">
        <v>30.468107742807479</v>
      </c>
      <c r="BB4" s="3596">
        <v>29.335865997296757</v>
      </c>
      <c r="BC4" s="3596">
        <v>28.582195404518242</v>
      </c>
      <c r="BD4" s="3596">
        <v>32.406043637767915</v>
      </c>
      <c r="BE4" s="3596">
        <v>31.57161421123768</v>
      </c>
      <c r="BF4" s="3597">
        <v>28.901778335586027</v>
      </c>
      <c r="BG4" s="3598">
        <v>26.758179185170881</v>
      </c>
      <c r="BH4" s="3599">
        <v>32.939839737401044</v>
      </c>
      <c r="BI4" s="3599">
        <v>32.388356825642013</v>
      </c>
      <c r="BJ4" s="3599">
        <v>28.707041899980705</v>
      </c>
      <c r="BK4" s="3599">
        <v>30.018007337323809</v>
      </c>
      <c r="BL4" s="3599">
        <v>31.262817146167208</v>
      </c>
      <c r="BM4" s="3599">
        <v>32.068968912917555</v>
      </c>
      <c r="BN4" s="3599">
        <v>32.102488897470558</v>
      </c>
      <c r="BO4" s="3599">
        <v>32.338210079165847</v>
      </c>
      <c r="BP4" s="3599">
        <v>33.514801305432897</v>
      </c>
      <c r="BQ4" s="3599">
        <v>39.294993280860048</v>
      </c>
      <c r="BR4" s="3600">
        <v>31.95689767709732</v>
      </c>
      <c r="BS4" s="3601">
        <v>34.30469955845652</v>
      </c>
      <c r="BT4" s="3602">
        <v>37.820005759262827</v>
      </c>
      <c r="BU4" s="3602">
        <v>40.648878863505495</v>
      </c>
      <c r="BV4" s="3602">
        <v>36.633033211748902</v>
      </c>
      <c r="BW4" s="3602">
        <v>37.972658053807656</v>
      </c>
      <c r="BX4" s="3602">
        <v>40.748262027001324</v>
      </c>
      <c r="BY4" s="3602">
        <v>38.095198038476063</v>
      </c>
      <c r="BZ4" s="3602">
        <v>37.279453036589977</v>
      </c>
      <c r="CA4" s="3602">
        <v>38.32809694454923</v>
      </c>
      <c r="CB4" s="3602">
        <v>40.439628442097337</v>
      </c>
      <c r="CC4" s="3602">
        <v>44.503198792908336</v>
      </c>
      <c r="CD4" s="3603">
        <v>34.527600905318742</v>
      </c>
      <c r="CE4" s="3601">
        <v>37.120479064503954</v>
      </c>
      <c r="CF4" s="3602">
        <v>45.53382308562805</v>
      </c>
      <c r="CG4" s="3602">
        <v>50.571961523953235</v>
      </c>
      <c r="CH4" s="3602">
        <v>37.469941531497554</v>
      </c>
      <c r="CI4" s="3602">
        <v>38.46745944926441</v>
      </c>
      <c r="CJ4" s="3602">
        <v>41.452355714824598</v>
      </c>
      <c r="CK4" s="3602">
        <v>41.399796303281796</v>
      </c>
      <c r="CL4" s="3602">
        <v>37.963738822652758</v>
      </c>
      <c r="CM4" s="3602">
        <v>42.893820789865877</v>
      </c>
      <c r="CN4" s="3602">
        <v>41.92702123695976</v>
      </c>
      <c r="CO4" s="3602">
        <v>44.328079359165415</v>
      </c>
      <c r="CP4" s="3603">
        <v>34.333057004470916</v>
      </c>
      <c r="CQ4" s="3604">
        <v>37.953165052160962</v>
      </c>
      <c r="CR4" s="3605">
        <v>47.686626304023861</v>
      </c>
      <c r="CS4" s="3605">
        <v>43.072304519032443</v>
      </c>
      <c r="CT4" s="3605">
        <v>41.450525131282824</v>
      </c>
      <c r="CU4" s="3605">
        <v>40.093342085521364</v>
      </c>
      <c r="CV4" s="3605">
        <v>39.84246061515379</v>
      </c>
      <c r="CW4" s="3605">
        <v>42.72</v>
      </c>
      <c r="CX4" s="3605">
        <v>40.92895180948809</v>
      </c>
      <c r="CY4" s="3605">
        <v>46.331953549353813</v>
      </c>
      <c r="CZ4" s="3605">
        <v>44.331766248361113</v>
      </c>
      <c r="DA4" s="3605">
        <v>48.645898539872697</v>
      </c>
      <c r="DB4" s="3606">
        <v>37.623448146761497</v>
      </c>
      <c r="DC4" s="3607">
        <v>39.07872519655561</v>
      </c>
      <c r="DD4" s="3591">
        <v>39.194721078247845</v>
      </c>
      <c r="DE4" s="3591">
        <v>43.579614376637949</v>
      </c>
      <c r="DF4" s="3591">
        <v>40.136302882815428</v>
      </c>
      <c r="DG4" s="3591">
        <v>41.028940471733428</v>
      </c>
      <c r="DH4" s="3591">
        <v>41.490192775594238</v>
      </c>
      <c r="DI4" s="3591">
        <v>40.795545573647765</v>
      </c>
      <c r="DJ4" s="3591">
        <v>35.1780330358838</v>
      </c>
      <c r="DK4" s="3591">
        <v>36.523030187962789</v>
      </c>
      <c r="DL4" s="3591">
        <v>39.77643820011393</v>
      </c>
      <c r="DM4" s="3591">
        <v>40.83435839028094</v>
      </c>
      <c r="DN4" s="3608">
        <v>30.795355450236968</v>
      </c>
      <c r="DO4" s="3607">
        <v>30.90305229852969</v>
      </c>
      <c r="DP4" s="3591">
        <v>33.854531918853525</v>
      </c>
      <c r="DQ4" s="3591">
        <v>34.20158198399406</v>
      </c>
      <c r="DR4" s="3591">
        <v>34.207593523171411</v>
      </c>
      <c r="DS4" s="3591">
        <v>32.515559277870835</v>
      </c>
      <c r="DT4" s="3591">
        <v>36.128270984552394</v>
      </c>
      <c r="DU4" s="3591">
        <v>33.486916061790431</v>
      </c>
      <c r="DV4" s="3591">
        <v>33.155611390284768</v>
      </c>
      <c r="DW4" s="3591">
        <v>34.732793597617722</v>
      </c>
      <c r="DX4" s="3591">
        <v>54.906846511627897</v>
      </c>
      <c r="DY4" s="3591">
        <v>35.869030336869535</v>
      </c>
      <c r="DZ4" s="3591">
        <v>28.069086171598748</v>
      </c>
      <c r="EA4" s="3607">
        <v>31.310183956002284</v>
      </c>
      <c r="EB4" s="3591">
        <v>35.703394652000753</v>
      </c>
      <c r="EC4" s="3609"/>
      <c r="ED4" s="3609"/>
      <c r="EE4" s="3609"/>
      <c r="EF4" s="3609"/>
      <c r="EG4" s="3609"/>
      <c r="EH4" s="3609"/>
      <c r="EI4" s="3609"/>
      <c r="EJ4" s="3609"/>
      <c r="EK4" s="3609"/>
      <c r="EL4" s="3609"/>
      <c r="EM4" s="3621"/>
      <c r="EN4" s="3668"/>
      <c r="EO4" s="3668"/>
      <c r="EP4" s="3668"/>
      <c r="EQ4" s="3668"/>
      <c r="ER4" s="3668"/>
      <c r="ES4" s="3668"/>
      <c r="ET4" s="3668"/>
      <c r="EU4" s="3668"/>
      <c r="EV4" s="3668"/>
      <c r="EW4" s="3668"/>
      <c r="EX4" s="3668"/>
      <c r="EY4" s="3623"/>
      <c r="EZ4" s="972"/>
      <c r="FA4" s="3610">
        <v>23.372746793996534</v>
      </c>
      <c r="FB4" s="3610">
        <v>25.869116141136971</v>
      </c>
      <c r="FC4" s="3610">
        <v>29.544555946458292</v>
      </c>
      <c r="FD4" s="3610">
        <v>26.734118218920994</v>
      </c>
      <c r="FE4" s="3610">
        <v>29.70919481210553</v>
      </c>
      <c r="FF4" s="3610">
        <v>31.931546736957173</v>
      </c>
      <c r="FG4" s="3610">
        <v>38.432941346668819</v>
      </c>
      <c r="FH4" s="3610">
        <v>41.07665565909705</v>
      </c>
      <c r="FI4" s="3610">
        <v>42.556703500084367</v>
      </c>
      <c r="FJ4" s="3610">
        <v>39.038581514153336</v>
      </c>
      <c r="FK4" s="3610">
        <v>35.169239504730086</v>
      </c>
      <c r="FL4" s="3611">
        <v>35.357239037281737</v>
      </c>
      <c r="FM4" s="3612">
        <v>33</v>
      </c>
      <c r="FN4" s="3612">
        <v>34</v>
      </c>
      <c r="FO4" s="3420"/>
      <c r="FP4" s="3420"/>
      <c r="FQ4" s="3420"/>
      <c r="FR4" s="3420"/>
      <c r="FS4" s="3420"/>
      <c r="FT4" s="3420"/>
      <c r="FU4" s="3420"/>
      <c r="FV4" s="3420"/>
      <c r="FW4" s="3420"/>
      <c r="FX4" s="3421"/>
      <c r="FY4" s="3421"/>
      <c r="FZ4" s="3421"/>
      <c r="GA4" s="3421"/>
      <c r="GB4" s="3421"/>
      <c r="GC4" s="3421"/>
      <c r="GD4" s="3421"/>
      <c r="GE4" s="3421"/>
      <c r="GF4" s="3421"/>
      <c r="GG4" s="3421"/>
      <c r="GH4" s="3421"/>
      <c r="GL4" s="3420"/>
      <c r="GM4" s="3421"/>
      <c r="GN4" s="3421"/>
      <c r="GO4" s="3421"/>
      <c r="GP4" s="3421"/>
      <c r="GQ4" s="3421"/>
      <c r="GR4" s="3421"/>
      <c r="GS4" s="3421"/>
      <c r="GT4" s="3421"/>
      <c r="GU4" s="3421"/>
      <c r="GV4" s="3421"/>
      <c r="GW4" s="3421"/>
      <c r="GX4" s="3421"/>
      <c r="GY4" s="3421"/>
      <c r="GZ4" s="3421"/>
      <c r="HA4" s="3421"/>
      <c r="HB4" s="3421"/>
      <c r="HC4" s="3421"/>
      <c r="HD4" s="3421"/>
      <c r="HE4" s="3421"/>
      <c r="HF4" s="3421"/>
      <c r="HG4" s="3421"/>
      <c r="HH4" s="3421"/>
      <c r="HI4" s="3421"/>
      <c r="HJ4" s="3421"/>
      <c r="HK4" s="3421"/>
      <c r="HL4" s="3421"/>
      <c r="HM4" s="3421"/>
      <c r="HN4" s="3421"/>
      <c r="HO4" s="3421"/>
      <c r="HP4" s="3421"/>
      <c r="HQ4" s="3421"/>
      <c r="HR4" s="3421"/>
      <c r="HS4" s="3421"/>
      <c r="HT4" s="3421"/>
      <c r="HU4" s="3421"/>
      <c r="HV4" s="3421"/>
      <c r="HW4" s="3421"/>
      <c r="HX4" s="3421"/>
      <c r="HY4" s="3421"/>
      <c r="HZ4" s="3421"/>
      <c r="IA4" s="3421"/>
      <c r="IB4" s="3421"/>
      <c r="IC4" s="3421"/>
      <c r="ID4" s="3421"/>
      <c r="IE4" s="3421"/>
      <c r="IF4" s="3421"/>
      <c r="IG4" s="3421"/>
      <c r="IH4" s="3421"/>
      <c r="II4" s="3421"/>
      <c r="IJ4" s="3421"/>
      <c r="IK4" s="3421"/>
    </row>
    <row r="5" spans="1:245">
      <c r="A5" s="188"/>
      <c r="B5" s="3350" t="s">
        <v>1423</v>
      </c>
      <c r="C5" s="3624"/>
      <c r="D5" s="3625">
        <v>47.679746816948445</v>
      </c>
      <c r="E5" s="3625">
        <v>49.785466561762391</v>
      </c>
      <c r="F5" s="3625">
        <v>47.654692613370727</v>
      </c>
      <c r="G5" s="3625">
        <v>52.667835915772741</v>
      </c>
      <c r="H5" s="3625">
        <v>52.362469968956667</v>
      </c>
      <c r="I5" s="3625">
        <v>54.020690775054796</v>
      </c>
      <c r="J5" s="3626">
        <v>38.279392325145508</v>
      </c>
      <c r="K5" s="3627">
        <v>50.032098360655738</v>
      </c>
      <c r="L5" s="3628">
        <v>51.395111801242237</v>
      </c>
      <c r="M5" s="3628">
        <v>54.527354037267081</v>
      </c>
      <c r="N5" s="3628">
        <v>50.743149068322985</v>
      </c>
      <c r="O5" s="3628">
        <v>49.945372670807451</v>
      </c>
      <c r="P5" s="3628">
        <v>60.3105900621118</v>
      </c>
      <c r="Q5" s="3628">
        <v>55.721690734055358</v>
      </c>
      <c r="R5" s="3628">
        <v>52.353605970149253</v>
      </c>
      <c r="S5" s="3628">
        <v>58.464119402985069</v>
      </c>
      <c r="T5" s="3628">
        <v>56.438005970149256</v>
      </c>
      <c r="U5" s="3628">
        <v>59.924847761194023</v>
      </c>
      <c r="V5" s="3629">
        <v>42.192817610062889</v>
      </c>
      <c r="W5" s="3630">
        <v>48.616213836477989</v>
      </c>
      <c r="X5" s="3625">
        <v>60.675938650306747</v>
      </c>
      <c r="Y5" s="3625">
        <v>54.881018404907969</v>
      </c>
      <c r="Z5" s="3625">
        <v>60.654920245398777</v>
      </c>
      <c r="AA5" s="3625">
        <v>60.215638820638823</v>
      </c>
      <c r="AB5" s="3625">
        <v>65.371375921375929</v>
      </c>
      <c r="AC5" s="3625">
        <v>65.608409090909092</v>
      </c>
      <c r="AD5" s="3625">
        <v>60.969858722358723</v>
      </c>
      <c r="AE5" s="3625">
        <v>66.789895577395583</v>
      </c>
      <c r="AF5" s="3625">
        <v>67.991038083538086</v>
      </c>
      <c r="AG5" s="3625">
        <v>71.770374692874697</v>
      </c>
      <c r="AH5" s="3626">
        <v>52.009883292383286</v>
      </c>
      <c r="AI5" s="3631">
        <v>45.859829612220913</v>
      </c>
      <c r="AJ5" s="3631">
        <v>51.11854876615746</v>
      </c>
      <c r="AK5" s="3631">
        <v>59.243773234200752</v>
      </c>
      <c r="AL5" s="3631">
        <v>49.800161090458481</v>
      </c>
      <c r="AM5" s="3631">
        <v>48.093215613382903</v>
      </c>
      <c r="AN5" s="3631">
        <v>52.554182156133834</v>
      </c>
      <c r="AO5" s="3631">
        <v>54.0116935483871</v>
      </c>
      <c r="AP5" s="3631">
        <v>58.807139256458726</v>
      </c>
      <c r="AQ5" s="3631">
        <v>55.183919344675481</v>
      </c>
      <c r="AR5" s="3631">
        <v>61.085419029615629</v>
      </c>
      <c r="AS5" s="3631">
        <v>62.524725897920604</v>
      </c>
      <c r="AT5" s="3631">
        <v>43.734851921865157</v>
      </c>
      <c r="AU5" s="3632">
        <v>49.991906543988421</v>
      </c>
      <c r="AV5" s="3633">
        <v>63.223787396562699</v>
      </c>
      <c r="AW5" s="3633">
        <v>63.255143220878423</v>
      </c>
      <c r="AX5" s="3633">
        <v>55.447428389560791</v>
      </c>
      <c r="AY5" s="3633">
        <v>59.210509229789949</v>
      </c>
      <c r="AZ5" s="3633">
        <v>59.70238064926798</v>
      </c>
      <c r="BA5" s="3633">
        <v>59.176919159770847</v>
      </c>
      <c r="BB5" s="3633">
        <v>58.727625716104392</v>
      </c>
      <c r="BC5" s="3633">
        <v>56.816569064290256</v>
      </c>
      <c r="BD5" s="3633">
        <v>65.448561425843423</v>
      </c>
      <c r="BE5" s="3633">
        <v>61.837638446849141</v>
      </c>
      <c r="BF5" s="3634">
        <v>58.280082749840865</v>
      </c>
      <c r="BG5" s="3635">
        <v>53.010458306810946</v>
      </c>
      <c r="BH5" s="3636">
        <v>68.44998726925526</v>
      </c>
      <c r="BI5" s="3636">
        <v>67.345245066836412</v>
      </c>
      <c r="BJ5" s="3636">
        <v>55.148752387014632</v>
      </c>
      <c r="BK5" s="3636">
        <v>60.878376830044559</v>
      </c>
      <c r="BL5" s="3636">
        <v>63.59388287714831</v>
      </c>
      <c r="BM5" s="3636">
        <v>62.703176320814769</v>
      </c>
      <c r="BN5" s="3636">
        <v>63.681922342457035</v>
      </c>
      <c r="BO5" s="3636">
        <v>65.561998726925523</v>
      </c>
      <c r="BP5" s="3636">
        <v>66.139809038828773</v>
      </c>
      <c r="BQ5" s="3636">
        <v>82.360502864417569</v>
      </c>
      <c r="BR5" s="3637">
        <v>64.880070019096124</v>
      </c>
      <c r="BS5" s="3638">
        <v>69.957173774665819</v>
      </c>
      <c r="BT5" s="3639">
        <v>79.423761935073202</v>
      </c>
      <c r="BU5" s="3639">
        <v>86.889382558879689</v>
      </c>
      <c r="BV5" s="3639">
        <v>75.461623169955445</v>
      </c>
      <c r="BW5" s="3639">
        <v>76.529560789306174</v>
      </c>
      <c r="BX5" s="3639">
        <v>81.154626773596561</v>
      </c>
      <c r="BY5" s="3639">
        <v>73.017760641579272</v>
      </c>
      <c r="BZ5" s="3639">
        <v>72.183238741517584</v>
      </c>
      <c r="CA5" s="3639">
        <v>75.619858112276361</v>
      </c>
      <c r="CB5" s="3639">
        <v>81.079987661937068</v>
      </c>
      <c r="CC5" s="3639">
        <v>90.729265885256012</v>
      </c>
      <c r="CD5" s="3640">
        <v>70.501110425663171</v>
      </c>
      <c r="CE5" s="3641">
        <v>76.757686613201727</v>
      </c>
      <c r="CF5" s="3642">
        <v>94.689950647748304</v>
      </c>
      <c r="CG5" s="3642">
        <v>107.13884022208514</v>
      </c>
      <c r="CH5" s="3642">
        <v>70.057637260950031</v>
      </c>
      <c r="CI5" s="3642">
        <v>72.091363355953121</v>
      </c>
      <c r="CJ5" s="3642">
        <v>80.033528685996302</v>
      </c>
      <c r="CK5" s="3642">
        <v>77.883189389265866</v>
      </c>
      <c r="CL5" s="3642">
        <v>66.28036397285625</v>
      </c>
      <c r="CM5" s="3642">
        <v>80.029185687847004</v>
      </c>
      <c r="CN5" s="3642">
        <v>75.794867365823563</v>
      </c>
      <c r="CO5" s="3642">
        <v>80.479969154842692</v>
      </c>
      <c r="CP5" s="3643">
        <v>61.725508945095612</v>
      </c>
      <c r="CQ5" s="3644">
        <v>68.996952498457745</v>
      </c>
      <c r="CR5" s="3645">
        <v>90.012652683528685</v>
      </c>
      <c r="CS5" s="3645">
        <v>79.607402837754478</v>
      </c>
      <c r="CT5" s="3645">
        <v>78.20518198642813</v>
      </c>
      <c r="CU5" s="3645">
        <v>72.110857495373224</v>
      </c>
      <c r="CV5" s="3645">
        <v>71.305181986428124</v>
      </c>
      <c r="CW5" s="3645">
        <v>79.88</v>
      </c>
      <c r="CX5" s="3645">
        <v>72.157001850709435</v>
      </c>
      <c r="CY5" s="3645">
        <v>89.425416409623693</v>
      </c>
      <c r="CZ5" s="3645">
        <v>80.490746452806903</v>
      </c>
      <c r="DA5" s="3645">
        <v>90.818932757557064</v>
      </c>
      <c r="DB5" s="3646">
        <v>64.162837754472548</v>
      </c>
      <c r="DC5" s="3647">
        <v>72.552362739049968</v>
      </c>
      <c r="DD5" s="3648">
        <v>76.972424429364594</v>
      </c>
      <c r="DE5" s="3648">
        <v>79.760950030845152</v>
      </c>
      <c r="DF5" s="3648">
        <v>72.85033312769896</v>
      </c>
      <c r="DG5" s="3648">
        <v>77.61992597162245</v>
      </c>
      <c r="DH5" s="3648">
        <v>72.698766193707584</v>
      </c>
      <c r="DI5" s="3648">
        <v>72.189512646514501</v>
      </c>
      <c r="DJ5" s="3648">
        <v>62.62861576660459</v>
      </c>
      <c r="DK5" s="3648">
        <v>65.664556176288016</v>
      </c>
      <c r="DL5" s="3648">
        <v>73.581253879577901</v>
      </c>
      <c r="DM5" s="3648">
        <v>77.720049658597148</v>
      </c>
      <c r="DN5" s="3649">
        <v>51.636917339962707</v>
      </c>
      <c r="DO5" s="3650">
        <v>52.148213239601638</v>
      </c>
      <c r="DP5" s="3651">
        <v>62.262390158172231</v>
      </c>
      <c r="DQ5" s="3651">
        <v>60.431400117164614</v>
      </c>
      <c r="DR5" s="3651">
        <v>62.780374926772112</v>
      </c>
      <c r="DS5" s="3651">
        <v>60.835500878734628</v>
      </c>
      <c r="DT5" s="3651">
        <v>64.521148213239599</v>
      </c>
      <c r="DU5" s="3651">
        <v>58.689455184534268</v>
      </c>
      <c r="DV5" s="3651">
        <v>54.938605741066205</v>
      </c>
      <c r="DW5" s="3651">
        <v>61.232513181019335</v>
      </c>
      <c r="DX5" s="3651">
        <v>104.36502636203866</v>
      </c>
      <c r="DY5" s="3651">
        <v>67.923960164030461</v>
      </c>
      <c r="DZ5" s="3651">
        <v>47.208318687756297</v>
      </c>
      <c r="EA5" s="3673">
        <v>56.272682016179211</v>
      </c>
      <c r="EB5" s="3652">
        <v>65.911698817672686</v>
      </c>
      <c r="EC5" s="3653"/>
      <c r="ED5" s="3663">
        <v>60.4</v>
      </c>
      <c r="EE5" s="3663">
        <v>55.85</v>
      </c>
      <c r="EF5" s="3663">
        <v>59.81</v>
      </c>
      <c r="EG5" s="3663">
        <v>57.58</v>
      </c>
      <c r="EH5" s="3663">
        <v>55.13</v>
      </c>
      <c r="EI5" s="3663">
        <v>54.13</v>
      </c>
      <c r="EJ5" s="3663">
        <v>58.89</v>
      </c>
      <c r="EK5" s="3663">
        <v>63.49</v>
      </c>
      <c r="EL5" s="3663">
        <v>47.73</v>
      </c>
      <c r="EM5" s="3665">
        <v>50.89</v>
      </c>
      <c r="EN5" s="3663"/>
      <c r="EO5" s="3663"/>
      <c r="EP5" s="3663">
        <v>69.37</v>
      </c>
      <c r="EQ5" s="3663">
        <v>61.17</v>
      </c>
      <c r="ER5" s="3663">
        <v>57.58</v>
      </c>
      <c r="ES5" s="3663">
        <v>60.46</v>
      </c>
      <c r="ET5" s="3663">
        <v>55.47</v>
      </c>
      <c r="EU5" s="3663">
        <v>66.459999999999994</v>
      </c>
      <c r="EV5" s="3663">
        <v>68.3</v>
      </c>
      <c r="EW5" s="3663">
        <v>69.61</v>
      </c>
      <c r="EX5" s="3663">
        <v>48.88</v>
      </c>
      <c r="EY5" s="3665">
        <v>53.69</v>
      </c>
      <c r="EZ5" s="3655"/>
      <c r="FA5" s="3656">
        <v>48.929942462991697</v>
      </c>
      <c r="FB5" s="3657">
        <v>53.556042913642351</v>
      </c>
      <c r="FC5" s="3657">
        <v>61.270826662183765</v>
      </c>
      <c r="FD5" s="3657">
        <v>53.439986070370047</v>
      </c>
      <c r="FE5" s="3657">
        <v>59.241583621106351</v>
      </c>
      <c r="FF5" s="3657">
        <v>64.422916561303751</v>
      </c>
      <c r="FG5" s="3657">
        <v>77.670165122608381</v>
      </c>
      <c r="FH5" s="3657">
        <v>78.457957966078766</v>
      </c>
      <c r="FI5" s="3656">
        <v>78.09776372609501</v>
      </c>
      <c r="FJ5" s="3656">
        <v>71.281825096216892</v>
      </c>
      <c r="FK5" s="3656">
        <v>63.111408904510832</v>
      </c>
      <c r="FL5" s="3658">
        <v>63.759223690850689</v>
      </c>
      <c r="FM5" s="3659">
        <f>AVERAGE(EM5:EX5)</f>
        <v>60.818999999999996</v>
      </c>
      <c r="FN5" s="3659">
        <f>AVERAGE(EN5:EY5)</f>
        <v>61.099000000000004</v>
      </c>
      <c r="FO5" s="3613"/>
      <c r="FP5" s="3613"/>
      <c r="FQ5" s="3613"/>
      <c r="FR5" s="3613"/>
      <c r="FS5" s="3613"/>
      <c r="FT5" s="3613"/>
      <c r="FU5" s="3613"/>
      <c r="FV5" s="3613"/>
      <c r="FW5" s="3613"/>
      <c r="FX5" s="3614"/>
      <c r="FY5" s="3614"/>
      <c r="FZ5" s="3614"/>
      <c r="GA5" s="3614"/>
      <c r="GB5" s="3614"/>
      <c r="GC5" s="3614"/>
      <c r="GD5" s="3614"/>
      <c r="GE5" s="3614"/>
      <c r="GF5" s="3614"/>
      <c r="GG5" s="3614"/>
      <c r="GH5" s="3614"/>
      <c r="GI5" s="189"/>
      <c r="GJ5" s="189"/>
      <c r="GK5" s="189"/>
      <c r="GL5" s="3613"/>
      <c r="GM5" s="3614"/>
      <c r="GN5" s="3614"/>
      <c r="GO5" s="3614"/>
      <c r="GP5" s="3614"/>
      <c r="GQ5" s="3614"/>
      <c r="GR5" s="3614"/>
      <c r="GS5" s="3614"/>
      <c r="GT5" s="3614"/>
      <c r="GU5" s="3614"/>
      <c r="GV5" s="3614"/>
      <c r="GW5" s="3614"/>
      <c r="GX5" s="3614"/>
      <c r="GY5" s="3614"/>
      <c r="GZ5" s="3614"/>
      <c r="HA5" s="3614"/>
      <c r="HB5" s="3614"/>
      <c r="HC5" s="3614"/>
      <c r="HD5" s="3614"/>
      <c r="HE5" s="3614"/>
      <c r="HF5" s="3614"/>
      <c r="HG5" s="3614"/>
      <c r="HH5" s="3614"/>
      <c r="HI5" s="3614"/>
      <c r="HJ5" s="3614"/>
      <c r="HK5" s="3614"/>
      <c r="HL5" s="3614"/>
      <c r="HM5" s="3614"/>
      <c r="HN5" s="3614"/>
      <c r="HO5" s="3614"/>
      <c r="HP5" s="3614"/>
      <c r="HQ5" s="3614"/>
      <c r="HR5" s="3614"/>
      <c r="HS5" s="3614"/>
      <c r="HT5" s="3614"/>
      <c r="HU5" s="3614"/>
      <c r="HV5" s="3614"/>
      <c r="HW5" s="3614"/>
      <c r="HX5" s="3614"/>
      <c r="HY5" s="3614"/>
      <c r="HZ5" s="3614"/>
      <c r="IA5" s="3614"/>
      <c r="IB5" s="3614"/>
      <c r="IC5" s="3614"/>
      <c r="ID5" s="3614"/>
      <c r="IE5" s="3614"/>
      <c r="IF5" s="3614"/>
      <c r="IG5" s="3614"/>
      <c r="IH5" s="3614"/>
      <c r="II5" s="3614"/>
      <c r="IJ5" s="3614"/>
      <c r="IK5" s="3614"/>
    </row>
    <row r="6" spans="1:245">
      <c r="A6" s="188"/>
      <c r="B6" s="3350" t="s">
        <v>1424</v>
      </c>
      <c r="C6" s="3624"/>
      <c r="D6" s="3625">
        <v>16.966722058943091</v>
      </c>
      <c r="E6" s="3625">
        <v>17.498018949804713</v>
      </c>
      <c r="F6" s="3625">
        <v>18.449165790310349</v>
      </c>
      <c r="G6" s="3625">
        <v>17.425036498213377</v>
      </c>
      <c r="H6" s="3625">
        <v>19.2775558119701</v>
      </c>
      <c r="I6" s="3625">
        <v>18.837458398335933</v>
      </c>
      <c r="J6" s="3626">
        <v>15.456523216582928</v>
      </c>
      <c r="K6" s="3627">
        <v>17.663753462603875</v>
      </c>
      <c r="L6" s="3628">
        <v>18.801721752498079</v>
      </c>
      <c r="M6" s="3628">
        <v>18.470989583333335</v>
      </c>
      <c r="N6" s="3628">
        <v>18.08337053571428</v>
      </c>
      <c r="O6" s="3628">
        <v>18.815133928571427</v>
      </c>
      <c r="P6" s="3628">
        <v>20.711912202380951</v>
      </c>
      <c r="Q6" s="3628">
        <v>21.283325859491775</v>
      </c>
      <c r="R6" s="3628">
        <v>20.554373134328362</v>
      </c>
      <c r="S6" s="3628">
        <v>18.820868263473052</v>
      </c>
      <c r="T6" s="3628">
        <v>21.780187125748501</v>
      </c>
      <c r="U6" s="3628">
        <v>22.674468562874257</v>
      </c>
      <c r="V6" s="3629">
        <v>17.07140718562874</v>
      </c>
      <c r="W6" s="3630">
        <v>20.037178143712573</v>
      </c>
      <c r="X6" s="3625">
        <v>21.003413173652692</v>
      </c>
      <c r="Y6" s="3625">
        <v>20.673308383233529</v>
      </c>
      <c r="Z6" s="3625">
        <v>21.464326347305384</v>
      </c>
      <c r="AA6" s="3625">
        <v>21.70078313253012</v>
      </c>
      <c r="AB6" s="3625">
        <v>23.736980421686752</v>
      </c>
      <c r="AC6" s="3625">
        <v>24.924277108433731</v>
      </c>
      <c r="AD6" s="3625">
        <v>22.835474397590364</v>
      </c>
      <c r="AE6" s="3625">
        <v>23.544103915662657</v>
      </c>
      <c r="AF6" s="3625">
        <v>24.78524417731029</v>
      </c>
      <c r="AG6" s="3625">
        <v>25.46710743801653</v>
      </c>
      <c r="AH6" s="3626">
        <v>22.139134036144572</v>
      </c>
      <c r="AI6" s="3631">
        <v>21.812514705882354</v>
      </c>
      <c r="AJ6" s="3631">
        <v>21.981757352941177</v>
      </c>
      <c r="AK6" s="3631">
        <v>20.474090909090915</v>
      </c>
      <c r="AL6" s="3631">
        <v>21.749441132637845</v>
      </c>
      <c r="AM6" s="3631">
        <v>22.560553914327912</v>
      </c>
      <c r="AN6" s="3631">
        <v>21.805158204562176</v>
      </c>
      <c r="AO6" s="3631">
        <v>23.351383370125092</v>
      </c>
      <c r="AP6" s="3631">
        <v>20.860126206384557</v>
      </c>
      <c r="AQ6" s="3631">
        <v>21.955830860534125</v>
      </c>
      <c r="AR6" s="3631">
        <v>23.142690058479531</v>
      </c>
      <c r="AS6" s="3631">
        <v>23.668757309941522</v>
      </c>
      <c r="AT6" s="3631">
        <v>20.320958302852961</v>
      </c>
      <c r="AU6" s="3632">
        <v>22.604015270514786</v>
      </c>
      <c r="AV6" s="3633">
        <v>26.970537037037037</v>
      </c>
      <c r="AW6" s="3633">
        <v>26.869592592592593</v>
      </c>
      <c r="AX6" s="3633">
        <v>26.811092896174863</v>
      </c>
      <c r="AY6" s="3633">
        <v>26.649993928354586</v>
      </c>
      <c r="AZ6" s="3633">
        <v>28.983703703703704</v>
      </c>
      <c r="BA6" s="3633">
        <v>29.680771098967814</v>
      </c>
      <c r="BB6" s="3633">
        <v>26.696442015786282</v>
      </c>
      <c r="BC6" s="3633">
        <v>26.448785670916813</v>
      </c>
      <c r="BD6" s="3633">
        <v>29.941244687310256</v>
      </c>
      <c r="BE6" s="3633">
        <v>31.372301153612625</v>
      </c>
      <c r="BF6" s="3634">
        <v>25.926721311475411</v>
      </c>
      <c r="BG6" s="3635">
        <v>24.716788099574977</v>
      </c>
      <c r="BH6" s="3636">
        <v>28.590686095931993</v>
      </c>
      <c r="BI6" s="3636">
        <v>29.029265330904675</v>
      </c>
      <c r="BJ6" s="3636">
        <v>28.67691560412872</v>
      </c>
      <c r="BK6" s="3636">
        <v>27.611220400728595</v>
      </c>
      <c r="BL6" s="3636">
        <v>27.88006071645416</v>
      </c>
      <c r="BM6" s="3636">
        <v>30.885488767455982</v>
      </c>
      <c r="BN6" s="3636">
        <v>30.082422586520941</v>
      </c>
      <c r="BO6" s="3636">
        <v>29.30012143290832</v>
      </c>
      <c r="BP6" s="3636">
        <v>31.712176505664878</v>
      </c>
      <c r="BQ6" s="3636">
        <v>34.068050089445443</v>
      </c>
      <c r="BR6" s="3637">
        <v>27.887871198568874</v>
      </c>
      <c r="BS6" s="3638">
        <v>30.323792486583191</v>
      </c>
      <c r="BT6" s="3639">
        <v>32.335336911150861</v>
      </c>
      <c r="BU6" s="3639">
        <v>33.427608825283244</v>
      </c>
      <c r="BV6" s="3639">
        <v>31.864269528920698</v>
      </c>
      <c r="BW6" s="3639">
        <v>33.33532498509242</v>
      </c>
      <c r="BX6" s="3639">
        <v>36.309326177698267</v>
      </c>
      <c r="BY6" s="3639">
        <v>34.625266549502051</v>
      </c>
      <c r="BZ6" s="3639">
        <v>33.921857059168133</v>
      </c>
      <c r="CA6" s="3639">
        <v>34.064704159343876</v>
      </c>
      <c r="CB6" s="3639">
        <v>35.372214411247811</v>
      </c>
      <c r="CC6" s="3639">
        <v>39.47244288224956</v>
      </c>
      <c r="CD6" s="3640">
        <v>29.279332161687169</v>
      </c>
      <c r="CE6" s="3641">
        <v>30.880497949619215</v>
      </c>
      <c r="CF6" s="3642">
        <v>39.658816637375516</v>
      </c>
      <c r="CG6" s="3642">
        <v>42.342390158172229</v>
      </c>
      <c r="CH6" s="3642">
        <v>37.397065026362043</v>
      </c>
      <c r="CI6" s="3642">
        <v>38.61048623315758</v>
      </c>
      <c r="CJ6" s="3642">
        <v>40.799420035149382</v>
      </c>
      <c r="CK6" s="3642">
        <v>42.353573520796729</v>
      </c>
      <c r="CL6" s="3642">
        <v>42.347794698251541</v>
      </c>
      <c r="CM6" s="3642">
        <v>44.456965595036671</v>
      </c>
      <c r="CN6" s="3642">
        <v>44.385504794134235</v>
      </c>
      <c r="CO6" s="3642">
        <v>46.855279187817267</v>
      </c>
      <c r="CP6" s="3643">
        <v>35.280028200789623</v>
      </c>
      <c r="CQ6" s="3644">
        <v>37.981082910321483</v>
      </c>
      <c r="CR6" s="3645">
        <v>48.003107727016364</v>
      </c>
      <c r="CS6" s="3645">
        <v>43.472453044962997</v>
      </c>
      <c r="CT6" s="3645">
        <v>41.372396129766649</v>
      </c>
      <c r="CU6" s="3645">
        <v>43.261809903244163</v>
      </c>
      <c r="CV6" s="3645">
        <v>42.623278315310188</v>
      </c>
      <c r="CW6" s="3645">
        <v>42.65</v>
      </c>
      <c r="CX6" s="3645">
        <v>44.541718838929988</v>
      </c>
      <c r="CY6" s="3645">
        <v>44.216676152532727</v>
      </c>
      <c r="CZ6" s="3645">
        <v>44.813716562322142</v>
      </c>
      <c r="DA6" s="3645">
        <v>47.927426136363636</v>
      </c>
      <c r="DB6" s="3646">
        <v>41.379761363636376</v>
      </c>
      <c r="DC6" s="3647">
        <v>37.34382954545454</v>
      </c>
      <c r="DD6" s="3648">
        <v>34.54869318181818</v>
      </c>
      <c r="DE6" s="3648">
        <v>43.373068181818184</v>
      </c>
      <c r="DF6" s="3648">
        <v>40.736164772727271</v>
      </c>
      <c r="DG6" s="3648">
        <v>38.964715909090913</v>
      </c>
      <c r="DH6" s="3648">
        <v>44.373713962690786</v>
      </c>
      <c r="DI6" s="3648">
        <v>44.292707744488396</v>
      </c>
      <c r="DJ6" s="3648">
        <v>37.216311239193089</v>
      </c>
      <c r="DK6" s="3648">
        <v>38.027031700288184</v>
      </c>
      <c r="DL6" s="3648">
        <v>39.978213256484153</v>
      </c>
      <c r="DM6" s="3648">
        <v>38.884070294784578</v>
      </c>
      <c r="DN6" s="3649">
        <v>32.895186862967158</v>
      </c>
      <c r="DO6" s="3650">
        <v>32.587499999999991</v>
      </c>
      <c r="DP6" s="3651">
        <v>32.297169811320749</v>
      </c>
      <c r="DQ6" s="3651">
        <v>34.522169811320751</v>
      </c>
      <c r="DR6" s="3651">
        <v>33.908667452830187</v>
      </c>
      <c r="DS6" s="3651">
        <v>31.496639150943402</v>
      </c>
      <c r="DT6" s="3651">
        <v>37.479716981132079</v>
      </c>
      <c r="DU6" s="3651">
        <v>35.56462264150943</v>
      </c>
      <c r="DV6" s="3651">
        <v>37.299587264150937</v>
      </c>
      <c r="DW6" s="3651">
        <v>35.481132075471699</v>
      </c>
      <c r="DX6" s="3651">
        <v>51.774028268551241</v>
      </c>
      <c r="DY6" s="3651">
        <v>33.110377358490567</v>
      </c>
      <c r="DZ6" s="3651">
        <v>29.660318396226419</v>
      </c>
      <c r="EA6" s="3673">
        <v>30.897818396226413</v>
      </c>
      <c r="EB6" s="3652">
        <v>34.832783018867921</v>
      </c>
      <c r="EC6" s="3653"/>
      <c r="ED6" s="3663">
        <v>34.11</v>
      </c>
      <c r="EE6" s="3663">
        <v>33.049999999999997</v>
      </c>
      <c r="EF6" s="3663">
        <v>38.020000000000003</v>
      </c>
      <c r="EG6" s="3663">
        <v>36.71</v>
      </c>
      <c r="EH6" s="3663">
        <v>33.229999999999997</v>
      </c>
      <c r="EI6" s="3663">
        <v>38.450000000000003</v>
      </c>
      <c r="EJ6" s="3663">
        <v>37.479999999999997</v>
      </c>
      <c r="EK6" s="3663">
        <v>40.43</v>
      </c>
      <c r="EL6" s="3663">
        <v>27.79</v>
      </c>
      <c r="EM6" s="3665">
        <v>30.39</v>
      </c>
      <c r="EN6" s="3663"/>
      <c r="EO6" s="3663"/>
      <c r="EP6" s="3663">
        <v>36.53</v>
      </c>
      <c r="EQ6" s="3663">
        <v>36.31</v>
      </c>
      <c r="ER6" s="3663">
        <v>36.71</v>
      </c>
      <c r="ES6" s="3663">
        <v>37.4</v>
      </c>
      <c r="ET6" s="3663">
        <v>32.36</v>
      </c>
      <c r="EU6" s="3663">
        <v>37.44</v>
      </c>
      <c r="EV6" s="3663">
        <v>36.869999999999997</v>
      </c>
      <c r="EW6" s="3663">
        <v>38.24</v>
      </c>
      <c r="EX6" s="3663">
        <v>25.5</v>
      </c>
      <c r="EY6" s="3665">
        <v>29.9</v>
      </c>
      <c r="EZ6" s="3655"/>
      <c r="FA6" s="3660">
        <v>17.688690556855139</v>
      </c>
      <c r="FB6" s="3661">
        <v>19.549551906671834</v>
      </c>
      <c r="FC6" s="3661">
        <v>22.68956026182321</v>
      </c>
      <c r="FD6" s="3661">
        <v>21.973248989387827</v>
      </c>
      <c r="FE6" s="3661">
        <v>27.413134128704503</v>
      </c>
      <c r="FF6" s="3661">
        <v>29.209036934005614</v>
      </c>
      <c r="FG6" s="3661">
        <v>33.689439094335256</v>
      </c>
      <c r="FH6" s="3661">
        <v>40.46763159931325</v>
      </c>
      <c r="FI6" s="3660">
        <v>43.520285590367223</v>
      </c>
      <c r="FJ6" s="3660">
        <v>39.249211161470001</v>
      </c>
      <c r="FK6" s="3660">
        <v>35.431827434328959</v>
      </c>
      <c r="FL6" s="3662">
        <v>35.502321734643424</v>
      </c>
      <c r="FM6" s="3659">
        <f>AVERAGE(EM6:EX6)</f>
        <v>34.774999999999999</v>
      </c>
      <c r="FN6" s="3659">
        <f>AVERAGE(EN6:EY6)</f>
        <v>34.725999999999999</v>
      </c>
      <c r="FO6" s="3613"/>
      <c r="FP6" s="3613"/>
      <c r="FQ6" s="3613"/>
      <c r="FR6" s="3613"/>
      <c r="FS6" s="3613"/>
      <c r="FT6" s="3613"/>
      <c r="FU6" s="3613"/>
      <c r="FV6" s="3613"/>
      <c r="FW6" s="3613"/>
      <c r="FX6" s="3614"/>
      <c r="FY6" s="3614"/>
      <c r="FZ6" s="3614"/>
      <c r="GA6" s="3614"/>
      <c r="GB6" s="3614"/>
      <c r="GC6" s="3614"/>
      <c r="GD6" s="3614"/>
      <c r="GE6" s="3614"/>
      <c r="GF6" s="3614"/>
      <c r="GG6" s="3614"/>
      <c r="GH6" s="3614"/>
      <c r="GI6" s="189"/>
      <c r="GJ6" s="189"/>
      <c r="GK6" s="189"/>
      <c r="GL6" s="3613"/>
      <c r="GM6" s="3614"/>
      <c r="GN6" s="3614"/>
      <c r="GO6" s="3614"/>
      <c r="GP6" s="3614"/>
      <c r="GQ6" s="3614"/>
      <c r="GR6" s="3614"/>
      <c r="GS6" s="3614"/>
      <c r="GT6" s="3614"/>
      <c r="GU6" s="3614"/>
      <c r="GV6" s="3614"/>
      <c r="GW6" s="3614"/>
      <c r="GX6" s="3614"/>
      <c r="GY6" s="3614"/>
      <c r="GZ6" s="3614"/>
      <c r="HA6" s="3614"/>
      <c r="HB6" s="3614"/>
      <c r="HC6" s="3614"/>
      <c r="HD6" s="3614"/>
      <c r="HE6" s="3614"/>
      <c r="HF6" s="3614"/>
      <c r="HG6" s="3614"/>
      <c r="HH6" s="3614"/>
      <c r="HI6" s="3614"/>
      <c r="HJ6" s="3614"/>
      <c r="HK6" s="3614"/>
      <c r="HL6" s="3614"/>
      <c r="HM6" s="3614"/>
      <c r="HN6" s="3614"/>
      <c r="HO6" s="3614"/>
      <c r="HP6" s="3614"/>
      <c r="HQ6" s="3614"/>
      <c r="HR6" s="3614"/>
      <c r="HS6" s="3614"/>
      <c r="HT6" s="3614"/>
      <c r="HU6" s="3614"/>
      <c r="HV6" s="3614"/>
      <c r="HW6" s="3614"/>
      <c r="HX6" s="3614"/>
      <c r="HY6" s="3614"/>
      <c r="HZ6" s="3614"/>
      <c r="IA6" s="3614"/>
      <c r="IB6" s="3614"/>
      <c r="IC6" s="3614"/>
      <c r="ID6" s="3614"/>
      <c r="IE6" s="3614"/>
      <c r="IF6" s="3614"/>
      <c r="IG6" s="3614"/>
      <c r="IH6" s="3614"/>
      <c r="II6" s="3614"/>
      <c r="IJ6" s="3614"/>
      <c r="IK6" s="3614"/>
    </row>
    <row r="7" spans="1:245">
      <c r="A7" s="188"/>
      <c r="B7" s="3350" t="s">
        <v>1425</v>
      </c>
      <c r="C7" s="3624"/>
      <c r="D7" s="3625">
        <v>6.7731461258450336</v>
      </c>
      <c r="E7" s="3625">
        <v>5.2588134614459188</v>
      </c>
      <c r="F7" s="3625">
        <v>5.4800206845604533</v>
      </c>
      <c r="G7" s="3625">
        <v>4.7550421614159353</v>
      </c>
      <c r="H7" s="3625">
        <v>5.3146800743395728</v>
      </c>
      <c r="I7" s="3625">
        <v>5.9421168135476066</v>
      </c>
      <c r="J7" s="3626">
        <v>5.659672481895984</v>
      </c>
      <c r="K7" s="3627">
        <v>6.541374407582941</v>
      </c>
      <c r="L7" s="3628">
        <v>6.7119222903885483</v>
      </c>
      <c r="M7" s="3628">
        <v>6.1075000000000017</v>
      </c>
      <c r="N7" s="3628">
        <v>6.4243462343096249</v>
      </c>
      <c r="O7" s="3628">
        <v>6.949121338912132</v>
      </c>
      <c r="P7" s="3628">
        <v>6.4536558577405856</v>
      </c>
      <c r="Q7" s="3628">
        <v>7.056842105263156</v>
      </c>
      <c r="R7" s="3628">
        <v>7.2251120375195406</v>
      </c>
      <c r="S7" s="3628">
        <v>6.9571800208116565</v>
      </c>
      <c r="T7" s="3628">
        <v>6.8355567117585849</v>
      </c>
      <c r="U7" s="3628">
        <v>7.6468486739469581</v>
      </c>
      <c r="V7" s="3629">
        <v>6.9448491155046819</v>
      </c>
      <c r="W7" s="3630">
        <v>6.5441398963730579</v>
      </c>
      <c r="X7" s="3625">
        <v>6.8726062176165792</v>
      </c>
      <c r="Y7" s="3625">
        <v>7.363331606217618</v>
      </c>
      <c r="Z7" s="3625">
        <v>7.6233212435233169</v>
      </c>
      <c r="AA7" s="3625">
        <v>7.6478808290155431</v>
      </c>
      <c r="AB7" s="3625">
        <v>7.4000725388601039</v>
      </c>
      <c r="AC7" s="3625">
        <v>8.1855906735751294</v>
      </c>
      <c r="AD7" s="3625">
        <v>8.2202020725388607</v>
      </c>
      <c r="AE7" s="3625">
        <v>8.1749740932642503</v>
      </c>
      <c r="AF7" s="3625">
        <v>7.3861709844559602</v>
      </c>
      <c r="AG7" s="3625">
        <v>8.1407505175983434</v>
      </c>
      <c r="AH7" s="3626">
        <v>7.2130392156862762</v>
      </c>
      <c r="AI7" s="3631">
        <v>7.7947744945567683</v>
      </c>
      <c r="AJ7" s="3631">
        <v>7.6063402061855685</v>
      </c>
      <c r="AK7" s="3631">
        <v>7.8286704604242079</v>
      </c>
      <c r="AL7" s="3631">
        <v>7.2351577858251428</v>
      </c>
      <c r="AM7" s="3631">
        <v>7.5425142265907921</v>
      </c>
      <c r="AN7" s="3631">
        <v>7.6174702534919811</v>
      </c>
      <c r="AO7" s="3631">
        <v>8.547178294573639</v>
      </c>
      <c r="AP7" s="3631">
        <v>8.1945007759958592</v>
      </c>
      <c r="AQ7" s="3631">
        <v>7.4877547853078052</v>
      </c>
      <c r="AR7" s="3631">
        <v>7.143005690636314</v>
      </c>
      <c r="AS7" s="3631">
        <v>7.6846663217796172</v>
      </c>
      <c r="AT7" s="3631">
        <v>8.1903514211886321</v>
      </c>
      <c r="AU7" s="3632">
        <v>8.0879896640826843</v>
      </c>
      <c r="AV7" s="3633">
        <v>8.4473928571428551</v>
      </c>
      <c r="AW7" s="3633">
        <v>7.6814336734693924</v>
      </c>
      <c r="AX7" s="3633">
        <v>7.7815910249872502</v>
      </c>
      <c r="AY7" s="3633">
        <v>8.3463233044365133</v>
      </c>
      <c r="AZ7" s="3633">
        <v>7.9255226925038222</v>
      </c>
      <c r="BA7" s="3633">
        <v>8.13011728709842</v>
      </c>
      <c r="BB7" s="3633">
        <v>8.0062774094849569</v>
      </c>
      <c r="BC7" s="3633">
        <v>7.7548240693523711</v>
      </c>
      <c r="BD7" s="3633">
        <v>8.0050892401835796</v>
      </c>
      <c r="BE7" s="3633">
        <v>7.492238653748089</v>
      </c>
      <c r="BF7" s="3634">
        <v>7.8648597654258019</v>
      </c>
      <c r="BG7" s="3635">
        <v>7.441422743498217</v>
      </c>
      <c r="BH7" s="3636">
        <v>8.1446404895461502</v>
      </c>
      <c r="BI7" s="3636">
        <v>7.2048546659867441</v>
      </c>
      <c r="BJ7" s="3636">
        <v>7.5493115757266711</v>
      </c>
      <c r="BK7" s="3636">
        <v>7.3164966853646094</v>
      </c>
      <c r="BL7" s="3636">
        <v>8.2027944926058112</v>
      </c>
      <c r="BM7" s="3636">
        <v>8.5212136664966867</v>
      </c>
      <c r="BN7" s="3636">
        <v>8.5001223865374786</v>
      </c>
      <c r="BO7" s="3636">
        <v>8.2735288118306993</v>
      </c>
      <c r="BP7" s="3636">
        <v>8.9197552269250391</v>
      </c>
      <c r="BQ7" s="3636">
        <v>9.2642274349821534</v>
      </c>
      <c r="BR7" s="3637">
        <v>9.0611575726670068</v>
      </c>
      <c r="BS7" s="3638">
        <v>9.14709841917389</v>
      </c>
      <c r="BT7" s="3639">
        <v>9.1806833248342681</v>
      </c>
      <c r="BU7" s="3639">
        <v>9.7800560938296801</v>
      </c>
      <c r="BV7" s="3639">
        <v>9.6047322794492604</v>
      </c>
      <c r="BW7" s="3639">
        <v>11.042970580492304</v>
      </c>
      <c r="BX7" s="3639">
        <v>11.143661397246305</v>
      </c>
      <c r="BY7" s="3639">
        <v>12.41824721377913</v>
      </c>
      <c r="BZ7" s="3639">
        <v>11.52078014184397</v>
      </c>
      <c r="CA7" s="3639">
        <v>11.391757852077003</v>
      </c>
      <c r="CB7" s="3639">
        <v>11.448774062816613</v>
      </c>
      <c r="CC7" s="3639">
        <v>10.893799392097264</v>
      </c>
      <c r="CD7" s="3640">
        <v>9.5254407294832841</v>
      </c>
      <c r="CE7" s="3641">
        <v>9.9673556231003033</v>
      </c>
      <c r="CF7" s="3642">
        <v>10.24838905775076</v>
      </c>
      <c r="CG7" s="3642">
        <v>11.237092198581561</v>
      </c>
      <c r="CH7" s="3642">
        <v>10.772750759878416</v>
      </c>
      <c r="CI7" s="3642">
        <v>10.732659574468085</v>
      </c>
      <c r="CJ7" s="3642">
        <v>10.33507092198581</v>
      </c>
      <c r="CK7" s="3642">
        <v>10.615764944275583</v>
      </c>
      <c r="CL7" s="3642">
        <v>10.773171225937185</v>
      </c>
      <c r="CM7" s="3642">
        <v>10.995197568389059</v>
      </c>
      <c r="CN7" s="3642">
        <v>11.907431610942247</v>
      </c>
      <c r="CO7" s="3642">
        <v>12.371170212765959</v>
      </c>
      <c r="CP7" s="3643">
        <v>10.98850557244174</v>
      </c>
      <c r="CQ7" s="3644">
        <v>12.435699088145896</v>
      </c>
      <c r="CR7" s="3645">
        <v>12.645283687943262</v>
      </c>
      <c r="CS7" s="3645">
        <v>12.419386189258315</v>
      </c>
      <c r="CT7" s="3645">
        <v>11.029836233367451</v>
      </c>
      <c r="CU7" s="3645">
        <v>10.683213920163771</v>
      </c>
      <c r="CV7" s="3645">
        <v>11.24114636642784</v>
      </c>
      <c r="CW7" s="3645">
        <v>11.97</v>
      </c>
      <c r="CX7" s="3645">
        <v>11.78915601023018</v>
      </c>
      <c r="CY7" s="3645">
        <v>12.605303416624171</v>
      </c>
      <c r="CZ7" s="3645">
        <v>14.010249872514024</v>
      </c>
      <c r="DA7" s="3645">
        <v>14.429694033656302</v>
      </c>
      <c r="DB7" s="3646">
        <v>12.314186639469661</v>
      </c>
      <c r="DC7" s="3647">
        <v>12.965849056603773</v>
      </c>
      <c r="DD7" s="3648">
        <v>12.136766955634878</v>
      </c>
      <c r="DE7" s="3648">
        <v>13.856807751147375</v>
      </c>
      <c r="DF7" s="3648">
        <v>12.555884752677205</v>
      </c>
      <c r="DG7" s="3648">
        <v>12.634778174400813</v>
      </c>
      <c r="DH7" s="3648">
        <v>12.975064004096263</v>
      </c>
      <c r="DI7" s="3648">
        <v>11.570711725550435</v>
      </c>
      <c r="DJ7" s="3648">
        <v>10.316345653305568</v>
      </c>
      <c r="DK7" s="3648">
        <v>10.725819885476314</v>
      </c>
      <c r="DL7" s="3648">
        <v>11.244612181155649</v>
      </c>
      <c r="DM7" s="3648">
        <v>11.260908610670892</v>
      </c>
      <c r="DN7" s="3649">
        <v>11.194105263157896</v>
      </c>
      <c r="DO7" s="3650">
        <v>11.044010152284264</v>
      </c>
      <c r="DP7" s="3651">
        <v>10.579949238578678</v>
      </c>
      <c r="DQ7" s="3651">
        <v>11.19751269035533</v>
      </c>
      <c r="DR7" s="3651">
        <v>9.7067005076142134</v>
      </c>
      <c r="DS7" s="3651">
        <v>8.8536040609137068</v>
      </c>
      <c r="DT7" s="3651">
        <v>10.36243654822335</v>
      </c>
      <c r="DU7" s="3651">
        <v>9.8602538071065986</v>
      </c>
      <c r="DV7" s="3651">
        <v>10.713096446700508</v>
      </c>
      <c r="DW7" s="3651">
        <v>11.126598984771574</v>
      </c>
      <c r="DX7" s="3651">
        <v>14.751725888324875</v>
      </c>
      <c r="DY7" s="3651">
        <v>10.468477157360406</v>
      </c>
      <c r="DZ7" s="3651">
        <v>10.115076142131979</v>
      </c>
      <c r="EA7" s="3673">
        <v>11.302385786802025</v>
      </c>
      <c r="EB7" s="3652">
        <v>11.810913705583761</v>
      </c>
      <c r="EC7" s="3653"/>
      <c r="ED7" s="3653"/>
      <c r="EE7" s="3653"/>
      <c r="EF7" s="3653"/>
      <c r="EG7" s="3653"/>
      <c r="EH7" s="3653"/>
      <c r="EI7" s="3653"/>
      <c r="EJ7" s="3653"/>
      <c r="EK7" s="3653"/>
      <c r="EL7" s="3653"/>
      <c r="EM7" s="3669"/>
      <c r="EN7" s="3670"/>
      <c r="EO7" s="3670"/>
      <c r="EP7" s="3670"/>
      <c r="EQ7" s="3670"/>
      <c r="ER7" s="3670"/>
      <c r="ES7" s="3670"/>
      <c r="ET7" s="3670"/>
      <c r="EU7" s="3670"/>
      <c r="EV7" s="3670"/>
      <c r="EW7" s="3670"/>
      <c r="EX7" s="3670"/>
      <c r="EY7" s="3654"/>
      <c r="EZ7" s="3655"/>
      <c r="FA7" s="3660">
        <v>5.5909781792077515</v>
      </c>
      <c r="FB7" s="3660">
        <v>6.8222240941871259</v>
      </c>
      <c r="FC7" s="3660">
        <v>7.5650896293696857</v>
      </c>
      <c r="FD7" s="3660">
        <v>7.7430761993422497</v>
      </c>
      <c r="FE7" s="3660">
        <v>7.9585789201286943</v>
      </c>
      <c r="FF7" s="3660">
        <v>8.1990726425572582</v>
      </c>
      <c r="FG7" s="3660">
        <v>10.599378352818976</v>
      </c>
      <c r="FH7" s="3660">
        <v>10.915238303423971</v>
      </c>
      <c r="FI7" s="3660">
        <v>12.297762954816738</v>
      </c>
      <c r="FJ7" s="3660">
        <v>11.962430341432258</v>
      </c>
      <c r="FK7" s="3660">
        <v>10.731620135363791</v>
      </c>
      <c r="FL7" s="3662">
        <v>10.855731810490694</v>
      </c>
      <c r="FM7" s="3659"/>
      <c r="FN7" s="3659"/>
      <c r="FO7" s="3613"/>
      <c r="FP7" s="3613"/>
      <c r="FQ7" s="3613"/>
      <c r="FR7" s="3613"/>
      <c r="FS7" s="3613"/>
      <c r="FT7" s="3613"/>
      <c r="FU7" s="3613"/>
      <c r="FV7" s="3613"/>
      <c r="FW7" s="3613"/>
      <c r="FX7" s="3614"/>
      <c r="FY7" s="3614"/>
      <c r="FZ7" s="3614"/>
      <c r="GA7" s="3614"/>
      <c r="GB7" s="3614"/>
      <c r="GC7" s="3614"/>
      <c r="GD7" s="3614"/>
      <c r="GE7" s="3614"/>
      <c r="GF7" s="3614"/>
      <c r="GG7" s="3614"/>
      <c r="GH7" s="3614"/>
      <c r="GI7" s="189"/>
      <c r="GJ7" s="189"/>
      <c r="GK7" s="189"/>
      <c r="GL7" s="3613"/>
      <c r="GM7" s="3614"/>
      <c r="GN7" s="3614"/>
      <c r="GO7" s="3614"/>
      <c r="GP7" s="3614"/>
      <c r="GQ7" s="3614"/>
      <c r="GR7" s="3614"/>
      <c r="GS7" s="3614"/>
      <c r="GT7" s="3614"/>
      <c r="GU7" s="3614"/>
      <c r="GV7" s="3614"/>
      <c r="GW7" s="3614"/>
      <c r="GX7" s="3614"/>
      <c r="GY7" s="3614"/>
      <c r="GZ7" s="3614"/>
      <c r="HA7" s="3614"/>
      <c r="HB7" s="3614"/>
      <c r="HC7" s="3614"/>
      <c r="HD7" s="3614"/>
      <c r="HE7" s="3614"/>
      <c r="HF7" s="3614"/>
      <c r="HG7" s="3614"/>
      <c r="HH7" s="3614"/>
      <c r="HI7" s="3614"/>
      <c r="HJ7" s="3614"/>
      <c r="HK7" s="3614"/>
      <c r="HL7" s="3614"/>
      <c r="HM7" s="3614"/>
      <c r="HN7" s="3614"/>
      <c r="HO7" s="3614"/>
      <c r="HP7" s="3614"/>
      <c r="HQ7" s="3614"/>
      <c r="HR7" s="3614"/>
      <c r="HS7" s="3614"/>
      <c r="HT7" s="3614"/>
      <c r="HU7" s="3614"/>
      <c r="HV7" s="3614"/>
      <c r="HW7" s="3614"/>
      <c r="HX7" s="3614"/>
      <c r="HY7" s="3614"/>
      <c r="HZ7" s="3614"/>
      <c r="IA7" s="3614"/>
      <c r="IB7" s="3614"/>
      <c r="IC7" s="3614"/>
      <c r="ID7" s="3614"/>
      <c r="IE7" s="3614"/>
      <c r="IF7" s="3614"/>
      <c r="IG7" s="3614"/>
      <c r="IH7" s="3614"/>
      <c r="II7" s="3614"/>
      <c r="IJ7" s="3614"/>
      <c r="IK7" s="3614"/>
    </row>
    <row r="8" spans="1:245" ht="25.5">
      <c r="EA8" s="2131"/>
      <c r="ED8" s="3664" t="s">
        <v>1436</v>
      </c>
      <c r="EE8" s="3664" t="s">
        <v>1436</v>
      </c>
      <c r="EF8" s="3664" t="s">
        <v>1437</v>
      </c>
      <c r="EG8" s="3664" t="s">
        <v>1437</v>
      </c>
      <c r="EH8" s="3664" t="s">
        <v>1438</v>
      </c>
      <c r="EI8" s="3664" t="s">
        <v>1439</v>
      </c>
      <c r="EJ8" s="3664" t="s">
        <v>1440</v>
      </c>
      <c r="EK8" s="3664" t="s">
        <v>1440</v>
      </c>
      <c r="EL8" s="3664" t="s">
        <v>1435</v>
      </c>
      <c r="EM8" s="3666" t="s">
        <v>1435</v>
      </c>
      <c r="EN8" s="3664"/>
      <c r="EO8" s="3664"/>
      <c r="EP8" s="3664" t="s">
        <v>1436</v>
      </c>
      <c r="EQ8" s="3664" t="s">
        <v>1436</v>
      </c>
      <c r="ER8" s="3664" t="s">
        <v>1437</v>
      </c>
      <c r="ES8" s="3664" t="s">
        <v>1437</v>
      </c>
      <c r="ET8" s="3664" t="s">
        <v>1438</v>
      </c>
      <c r="EU8" s="3664" t="s">
        <v>1439</v>
      </c>
      <c r="EV8" s="3664" t="s">
        <v>1440</v>
      </c>
      <c r="EW8" s="3664" t="s">
        <v>1440</v>
      </c>
      <c r="EX8" s="3664" t="s">
        <v>1435</v>
      </c>
      <c r="EY8" s="3666" t="s">
        <v>1435</v>
      </c>
      <c r="FA8" s="3959" t="s">
        <v>613</v>
      </c>
      <c r="FB8" s="3959"/>
      <c r="FC8" s="3959"/>
      <c r="FD8" s="3959"/>
      <c r="FE8" s="3959"/>
      <c r="FF8" s="3959"/>
      <c r="FG8" s="3959"/>
      <c r="FH8" s="3959"/>
      <c r="FI8" s="3959"/>
      <c r="FJ8" s="3959"/>
      <c r="FK8" s="3959"/>
      <c r="FL8" s="3960"/>
      <c r="FM8" s="3615"/>
      <c r="FN8" s="3615"/>
    </row>
    <row r="9" spans="1:245">
      <c r="FA9" s="2" t="s">
        <v>1426</v>
      </c>
    </row>
  </sheetData>
  <mergeCells count="1">
    <mergeCell ref="FA8:FL8"/>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511"/>
  <sheetViews>
    <sheetView showGridLines="0" zoomScaleNormal="100" workbookViewId="0">
      <pane xSplit="3" ySplit="5" topLeftCell="EL6" activePane="bottomRight" state="frozen"/>
      <selection pane="topRight" activeCell="D1" sqref="D1"/>
      <selection pane="bottomLeft" activeCell="A6" sqref="A6"/>
      <selection pane="bottomRight" activeCell="EN7" sqref="EN7"/>
    </sheetView>
  </sheetViews>
  <sheetFormatPr baseColWidth="10" defaultColWidth="11.42578125" defaultRowHeight="15" zeroHeight="1"/>
  <cols>
    <col min="1" max="1" width="3.7109375" style="1005" customWidth="1"/>
    <col min="2" max="2" width="26.7109375" style="1005" customWidth="1"/>
    <col min="3" max="3" width="14.5703125" style="1005" customWidth="1"/>
    <col min="4" max="69" width="7.7109375" style="1005" customWidth="1"/>
    <col min="70" max="70" width="6.140625" style="1005" customWidth="1"/>
    <col min="71" max="130" width="7.7109375" style="1005" customWidth="1"/>
    <col min="131" max="131" width="3.7109375" style="1005" customWidth="1"/>
    <col min="132" max="140" width="8.7109375" style="1005" customWidth="1"/>
    <col min="141" max="142" width="10.7109375" style="1290" customWidth="1"/>
    <col min="143" max="143" width="17.140625" style="1313" bestFit="1" customWidth="1"/>
    <col min="144" max="144" width="11.42578125" style="1005" customWidth="1"/>
    <col min="146" max="173" width="11.42578125" style="1005" customWidth="1"/>
    <col min="174" max="16383" width="11.42578125" style="1005"/>
    <col min="16384" max="16384" width="14.28515625" style="1005" customWidth="1"/>
  </cols>
  <sheetData>
    <row r="1" spans="1:143" ht="27">
      <c r="A1" s="998"/>
      <c r="B1" s="999"/>
      <c r="C1" s="1000"/>
      <c r="D1" s="1001"/>
      <c r="E1" s="1001"/>
      <c r="F1" s="1002"/>
      <c r="G1" s="1003"/>
      <c r="H1" s="1003"/>
      <c r="I1" s="1002"/>
      <c r="J1" s="1002"/>
      <c r="K1" s="1002"/>
      <c r="L1" s="1002"/>
      <c r="M1" s="1002"/>
      <c r="N1" s="1002"/>
      <c r="O1" s="1002"/>
      <c r="P1" s="1002"/>
      <c r="Q1" s="1002"/>
      <c r="R1" s="1002"/>
      <c r="S1" s="1002"/>
      <c r="T1" s="1002"/>
      <c r="U1" s="1002"/>
      <c r="V1" s="1002"/>
      <c r="W1" s="1002"/>
      <c r="X1" s="1002"/>
      <c r="Y1" s="1002"/>
      <c r="Z1" s="1002"/>
      <c r="AA1" s="1002"/>
      <c r="AB1" s="1002"/>
      <c r="AC1" s="1002"/>
      <c r="AD1" s="1002"/>
      <c r="AE1" s="1002"/>
      <c r="AF1" s="1002"/>
      <c r="AG1" s="1002"/>
      <c r="AH1" s="1002"/>
      <c r="AI1" s="1002"/>
      <c r="AJ1" s="1002"/>
      <c r="AK1" s="1002"/>
      <c r="AL1" s="1002"/>
      <c r="AM1" s="1002"/>
      <c r="AN1" s="1002"/>
      <c r="AO1" s="1002"/>
      <c r="AP1" s="1002"/>
      <c r="AQ1" s="1002"/>
      <c r="AR1" s="1002"/>
      <c r="AS1" s="1002"/>
      <c r="AT1" s="1002"/>
      <c r="AU1" s="1002"/>
      <c r="AV1" s="1002"/>
      <c r="AW1" s="1002"/>
      <c r="AX1" s="1002"/>
      <c r="AY1" s="1002"/>
      <c r="AZ1" s="1002"/>
      <c r="BA1" s="1002"/>
      <c r="BB1" s="1002"/>
      <c r="BC1" s="1002"/>
      <c r="BD1" s="1002"/>
      <c r="BE1" s="1002"/>
      <c r="BF1" s="1002"/>
      <c r="BG1" s="1002"/>
      <c r="BH1" s="1002"/>
      <c r="BI1" s="1002"/>
      <c r="BJ1" s="1002"/>
      <c r="BK1" s="1002"/>
      <c r="BL1" s="1002"/>
      <c r="BM1" s="1002"/>
      <c r="BN1" s="1002"/>
      <c r="BO1" s="1002"/>
      <c r="BP1" s="1002"/>
      <c r="BQ1" s="1002"/>
      <c r="BR1" s="1002"/>
      <c r="BS1" s="1002"/>
      <c r="BT1" s="1002" t="s">
        <v>704</v>
      </c>
      <c r="BU1" s="1002"/>
      <c r="BV1" s="1002"/>
      <c r="BW1" s="1002"/>
      <c r="BX1" s="1002"/>
      <c r="BY1" s="1002"/>
      <c r="BZ1" s="1002"/>
      <c r="CA1" s="1002"/>
      <c r="CB1" s="1002"/>
      <c r="CC1" s="1002"/>
      <c r="CD1" s="1002"/>
      <c r="CE1" s="1002"/>
      <c r="CF1" s="1002"/>
      <c r="CG1" s="1002"/>
      <c r="CH1" s="1002"/>
      <c r="CI1" s="1002"/>
      <c r="CJ1" s="1002"/>
      <c r="CK1" s="1002"/>
      <c r="CL1" s="1002"/>
      <c r="CM1" s="1002"/>
      <c r="CN1" s="1002"/>
      <c r="CO1" s="1002"/>
      <c r="CP1" s="1002"/>
      <c r="CQ1" s="1002"/>
      <c r="CR1" s="1002"/>
      <c r="CS1" s="1002"/>
      <c r="CT1" s="1002"/>
      <c r="CU1" s="1002"/>
      <c r="CV1" s="1002"/>
      <c r="CW1" s="1002"/>
      <c r="CX1" s="1002"/>
      <c r="CY1" s="1002"/>
      <c r="CZ1" s="1002"/>
      <c r="DA1" s="1002"/>
      <c r="DB1" s="1002"/>
      <c r="DC1" s="1002"/>
      <c r="DD1" s="1002"/>
      <c r="DE1" s="1002"/>
      <c r="DF1" s="1002"/>
      <c r="DG1" s="1002"/>
      <c r="DH1" s="1002"/>
      <c r="DI1" s="1002"/>
      <c r="DJ1" s="1002"/>
      <c r="DK1" s="1002"/>
      <c r="DL1" s="1002"/>
      <c r="DM1" s="1002"/>
      <c r="DN1" s="1002"/>
      <c r="DO1" s="1002"/>
      <c r="DP1" s="1002"/>
      <c r="DQ1" s="1002"/>
      <c r="DR1" s="1002"/>
      <c r="DS1" s="1002"/>
      <c r="DT1" s="1002"/>
      <c r="DU1" s="1002"/>
      <c r="DV1" s="1002"/>
      <c r="DW1" s="1002"/>
      <c r="DX1" s="1002"/>
      <c r="DY1" s="1002"/>
      <c r="DZ1" s="1002"/>
      <c r="EA1" s="1002"/>
      <c r="EB1" s="1004"/>
      <c r="EC1" s="1004"/>
      <c r="ED1" s="1004"/>
      <c r="EE1" s="1004"/>
      <c r="EF1" s="1004"/>
      <c r="EG1" s="1004"/>
      <c r="EH1" s="1004"/>
      <c r="EI1" s="1004"/>
      <c r="EJ1" s="1004"/>
      <c r="EK1" s="1004"/>
      <c r="EL1" s="1004"/>
    </row>
    <row r="2" spans="1:143" s="1012" customFormat="1" ht="17.25" customHeight="1">
      <c r="A2" s="998"/>
      <c r="B2" s="1006" t="s">
        <v>761</v>
      </c>
      <c r="C2" s="1007"/>
      <c r="D2" s="1008"/>
      <c r="E2" s="1008"/>
      <c r="F2" s="1008"/>
      <c r="G2" s="1008"/>
      <c r="H2" s="1008"/>
      <c r="I2" s="1009"/>
      <c r="J2" s="1009"/>
      <c r="K2" s="1009"/>
      <c r="L2" s="1009"/>
      <c r="M2" s="1009"/>
      <c r="N2" s="1009"/>
      <c r="O2" s="1009"/>
      <c r="P2" s="1009"/>
      <c r="Q2" s="1009"/>
      <c r="R2" s="1009"/>
      <c r="S2" s="1009"/>
      <c r="T2" s="1009"/>
      <c r="U2" s="1009"/>
      <c r="V2" s="1009"/>
      <c r="W2" s="1010"/>
      <c r="X2" s="1010"/>
      <c r="Y2" s="1010"/>
      <c r="Z2" s="1010"/>
      <c r="AA2" s="1010"/>
      <c r="AB2" s="1010"/>
      <c r="AC2" s="1010"/>
      <c r="AD2" s="1010"/>
      <c r="AE2" s="1010"/>
      <c r="AF2" s="1010"/>
      <c r="AG2" s="1010"/>
      <c r="AH2" s="1010"/>
      <c r="AI2" s="1010"/>
      <c r="AJ2" s="1010"/>
      <c r="AK2" s="1010"/>
      <c r="AL2" s="1010"/>
      <c r="AM2" s="1010"/>
      <c r="AN2" s="1010"/>
      <c r="AO2" s="1010"/>
      <c r="AP2" s="1010"/>
      <c r="AQ2" s="1010"/>
      <c r="AR2" s="1010"/>
      <c r="AS2" s="1010"/>
      <c r="AT2" s="1010"/>
      <c r="AU2" s="1010"/>
      <c r="AV2" s="1010"/>
      <c r="AW2" s="1010"/>
      <c r="AX2" s="1010"/>
      <c r="AY2" s="1010"/>
      <c r="AZ2" s="1010"/>
      <c r="BA2" s="1010"/>
      <c r="BB2" s="1010"/>
      <c r="BC2" s="1010"/>
      <c r="BD2" s="1010"/>
      <c r="BE2" s="1010"/>
      <c r="BF2" s="1010"/>
      <c r="BG2" s="1010"/>
      <c r="BH2" s="1010"/>
      <c r="BI2" s="1010"/>
      <c r="BJ2" s="1010"/>
      <c r="BK2" s="1010"/>
      <c r="BL2" s="1010"/>
      <c r="BM2" s="1010"/>
      <c r="BN2" s="1010"/>
      <c r="BO2" s="1010"/>
      <c r="BP2" s="1010"/>
      <c r="BQ2" s="1010"/>
      <c r="BR2" s="1010"/>
      <c r="BS2" s="1010"/>
      <c r="BT2" s="1010"/>
      <c r="BU2" s="1010"/>
      <c r="BV2" s="1010"/>
      <c r="BW2" s="1010"/>
      <c r="BX2" s="1010"/>
      <c r="BY2" s="1010"/>
      <c r="BZ2" s="1010"/>
      <c r="CA2" s="1010"/>
      <c r="CB2" s="1010"/>
      <c r="CC2" s="1010"/>
      <c r="CD2" s="1010"/>
      <c r="CE2" s="1010"/>
      <c r="CF2" s="1010"/>
      <c r="CG2" s="1010"/>
      <c r="CH2" s="1010"/>
      <c r="CI2" s="1010"/>
      <c r="CJ2" s="1010"/>
      <c r="CK2" s="1010"/>
      <c r="CL2" s="1010"/>
      <c r="CM2" s="1010"/>
      <c r="CN2" s="1010"/>
      <c r="CO2" s="1010"/>
      <c r="CP2" s="1010"/>
      <c r="CQ2" s="1010"/>
      <c r="CR2" s="1010"/>
      <c r="CS2" s="1010"/>
      <c r="CT2" s="1010"/>
      <c r="CU2" s="1010"/>
      <c r="CV2" s="1010"/>
      <c r="CW2" s="1010"/>
      <c r="CX2" s="1010"/>
      <c r="CY2" s="1010"/>
      <c r="CZ2" s="1010"/>
      <c r="DA2" s="1010"/>
      <c r="DB2" s="1010"/>
      <c r="DC2" s="1010"/>
      <c r="DD2" s="1010"/>
      <c r="DE2" s="1010"/>
      <c r="DF2" s="1010"/>
      <c r="DG2" s="1010"/>
      <c r="DH2" s="1010"/>
      <c r="DI2" s="1010"/>
      <c r="DJ2" s="1010"/>
      <c r="DK2" s="1010"/>
      <c r="DL2" s="1010"/>
      <c r="DM2" s="1010"/>
      <c r="DN2" s="1010"/>
      <c r="DO2" s="1010"/>
      <c r="DP2" s="1010"/>
      <c r="DQ2" s="1010"/>
      <c r="DR2" s="1010"/>
      <c r="DS2" s="1010"/>
      <c r="DT2" s="1010"/>
      <c r="DU2" s="1010"/>
      <c r="DV2" s="1010"/>
      <c r="DW2" s="1010"/>
      <c r="DX2" s="1010"/>
      <c r="DY2" s="1010"/>
      <c r="DZ2" s="1010"/>
      <c r="EA2" s="1010"/>
      <c r="EB2" s="1011"/>
      <c r="EC2" s="1011"/>
      <c r="ED2" s="1011"/>
      <c r="EE2" s="1011"/>
      <c r="EF2" s="1011"/>
      <c r="EG2" s="1011"/>
      <c r="EH2" s="1011"/>
      <c r="EI2" s="1011"/>
      <c r="EJ2" s="1011"/>
      <c r="EK2" s="1011"/>
      <c r="EL2" s="1011"/>
      <c r="EM2" s="1314"/>
    </row>
    <row r="3" spans="1:143" ht="14.25" customHeight="1">
      <c r="A3" s="1013"/>
      <c r="B3" s="1014" t="s">
        <v>740</v>
      </c>
      <c r="C3" s="1015"/>
      <c r="D3" s="1016"/>
      <c r="E3" s="1016"/>
      <c r="F3" s="1016"/>
      <c r="G3" s="1016"/>
      <c r="H3" s="1016"/>
      <c r="I3" s="1017"/>
      <c r="J3" s="1017"/>
      <c r="K3" s="1017"/>
      <c r="L3" s="1017"/>
      <c r="M3" s="1017"/>
      <c r="N3" s="1017"/>
      <c r="O3" s="1017"/>
      <c r="P3" s="1017"/>
      <c r="Q3" s="1017"/>
      <c r="R3" s="1017"/>
      <c r="S3" s="1017"/>
      <c r="T3" s="1017"/>
      <c r="U3" s="1017"/>
      <c r="V3" s="1017"/>
      <c r="W3" s="1017"/>
      <c r="X3" s="1017"/>
      <c r="Y3" s="1017"/>
      <c r="Z3" s="1017"/>
      <c r="AA3" s="1017"/>
      <c r="AB3" s="1017"/>
      <c r="AC3" s="1017"/>
      <c r="AD3" s="1017"/>
      <c r="AE3" s="1017"/>
      <c r="AF3" s="1017"/>
      <c r="AG3" s="1018"/>
      <c r="AH3" s="1018"/>
      <c r="AI3" s="1018"/>
      <c r="AJ3" s="1018"/>
      <c r="AK3" s="1018"/>
      <c r="AL3" s="1018"/>
      <c r="AM3" s="1018"/>
      <c r="AN3" s="1018"/>
      <c r="AO3" s="1018"/>
      <c r="AP3" s="1018"/>
      <c r="AQ3" s="1018"/>
      <c r="AR3" s="1018"/>
      <c r="AS3" s="1018"/>
      <c r="AT3" s="1018"/>
      <c r="AU3" s="1017"/>
      <c r="AV3" s="1017"/>
      <c r="AW3" s="1017"/>
      <c r="AX3" s="1017"/>
      <c r="AY3" s="1017"/>
      <c r="AZ3" s="1017"/>
      <c r="BA3" s="1017"/>
      <c r="BB3" s="1017"/>
      <c r="BC3" s="1017"/>
      <c r="BD3" s="1017"/>
      <c r="BE3" s="1017"/>
      <c r="BF3" s="1017"/>
      <c r="BG3" s="1017"/>
      <c r="BH3" s="1017"/>
      <c r="BI3" s="1017"/>
      <c r="BJ3" s="1017"/>
      <c r="BK3" s="1017"/>
      <c r="BL3" s="1017"/>
      <c r="BM3" s="1017"/>
      <c r="BN3" s="1017"/>
      <c r="BO3" s="1017"/>
      <c r="BP3" s="1017"/>
      <c r="BQ3" s="1017"/>
      <c r="BR3" s="1017"/>
      <c r="BS3" s="1017"/>
      <c r="BT3" s="1017"/>
      <c r="BU3" s="1017"/>
      <c r="BV3" s="1017"/>
      <c r="BW3" s="1017"/>
      <c r="BX3" s="1017"/>
      <c r="BY3" s="1017"/>
      <c r="BZ3" s="1017"/>
      <c r="CA3" s="1017"/>
      <c r="CB3" s="1017"/>
      <c r="CC3" s="1017"/>
      <c r="CD3" s="1017"/>
      <c r="CE3" s="1017"/>
      <c r="CF3" s="1017"/>
      <c r="CG3" s="1017"/>
      <c r="CH3" s="1017"/>
      <c r="CI3" s="1017"/>
      <c r="CJ3" s="1017"/>
      <c r="CK3" s="1017"/>
      <c r="CL3" s="1017"/>
      <c r="CM3" s="1017"/>
      <c r="CN3" s="1017"/>
      <c r="CO3" s="1017"/>
      <c r="CP3" s="1017"/>
      <c r="CQ3" s="1017"/>
      <c r="CR3" s="1017"/>
      <c r="CS3" s="1017"/>
      <c r="CT3" s="1017"/>
      <c r="CU3" s="1017"/>
      <c r="CV3" s="1017"/>
      <c r="CW3" s="1017"/>
      <c r="CX3" s="1017"/>
      <c r="CY3" s="1017"/>
      <c r="CZ3" s="1017"/>
      <c r="DA3" s="1017"/>
      <c r="DB3" s="1017"/>
      <c r="DC3" s="1017"/>
      <c r="DD3" s="1017"/>
      <c r="DE3" s="1017"/>
      <c r="DF3" s="1017"/>
      <c r="DG3" s="1017"/>
      <c r="DH3" s="1017"/>
      <c r="DI3" s="1017"/>
      <c r="DJ3" s="1017"/>
      <c r="DK3" s="1017"/>
      <c r="DL3" s="1017"/>
      <c r="DM3" s="1017"/>
      <c r="DN3" s="1017"/>
      <c r="DO3" s="1017"/>
      <c r="DP3" s="1017"/>
      <c r="DQ3" s="1017"/>
      <c r="DR3" s="1017"/>
      <c r="DS3" s="1017"/>
      <c r="DT3" s="1017"/>
      <c r="DU3" s="1017"/>
      <c r="DV3" s="1017"/>
      <c r="DW3" s="1017"/>
      <c r="DX3" s="1017"/>
      <c r="DY3" s="1017"/>
      <c r="DZ3" s="1017"/>
      <c r="EA3" s="1019"/>
      <c r="EB3" s="1020"/>
      <c r="EC3" s="1020"/>
      <c r="ED3" s="1020"/>
      <c r="EE3" s="1020" t="s">
        <v>165</v>
      </c>
      <c r="EF3" s="1020"/>
      <c r="EG3" s="1021"/>
      <c r="EH3" s="1021"/>
      <c r="EI3" s="1022"/>
      <c r="EJ3" s="1022"/>
      <c r="EK3" s="1022"/>
      <c r="EL3" s="1022"/>
      <c r="EM3" s="1312" t="s">
        <v>898</v>
      </c>
    </row>
    <row r="4" spans="1:143" ht="15" customHeight="1">
      <c r="A4" s="998"/>
      <c r="B4" s="1023"/>
      <c r="C4" s="1024"/>
      <c r="D4" s="1025"/>
      <c r="E4" s="1026"/>
      <c r="F4" s="1027"/>
      <c r="G4" s="1028">
        <v>2006</v>
      </c>
      <c r="H4" s="1027"/>
      <c r="I4" s="1027"/>
      <c r="J4" s="1029"/>
      <c r="K4" s="1030"/>
      <c r="L4" s="1030"/>
      <c r="M4" s="1030"/>
      <c r="N4" s="1031"/>
      <c r="O4" s="1030"/>
      <c r="P4" s="1030">
        <v>2007</v>
      </c>
      <c r="Q4" s="1030"/>
      <c r="R4" s="1030"/>
      <c r="S4" s="1030"/>
      <c r="T4" s="1030"/>
      <c r="U4" s="1030"/>
      <c r="V4" s="1032"/>
      <c r="W4" s="1027"/>
      <c r="X4" s="1027"/>
      <c r="Y4" s="1027"/>
      <c r="Z4" s="1027"/>
      <c r="AA4" s="1027"/>
      <c r="AB4" s="1027">
        <v>2008</v>
      </c>
      <c r="AC4" s="1027"/>
      <c r="AD4" s="1027"/>
      <c r="AE4" s="1027"/>
      <c r="AF4" s="1027"/>
      <c r="AG4" s="1027"/>
      <c r="AH4" s="1029"/>
      <c r="AI4" s="1033"/>
      <c r="AJ4" s="1034"/>
      <c r="AK4" s="1034"/>
      <c r="AL4" s="1034"/>
      <c r="AM4" s="1034"/>
      <c r="AN4" s="1034">
        <v>2009</v>
      </c>
      <c r="AO4" s="1034"/>
      <c r="AP4" s="1034"/>
      <c r="AQ4" s="1034"/>
      <c r="AR4" s="1034"/>
      <c r="AS4" s="1034"/>
      <c r="AT4" s="1035"/>
      <c r="AU4" s="1036"/>
      <c r="AV4" s="1037"/>
      <c r="AW4" s="1037"/>
      <c r="AX4" s="1037"/>
      <c r="AY4" s="1037"/>
      <c r="AZ4" s="1037">
        <v>2010</v>
      </c>
      <c r="BA4" s="1037"/>
      <c r="BB4" s="1037"/>
      <c r="BC4" s="1037"/>
      <c r="BD4" s="1037"/>
      <c r="BE4" s="1037"/>
      <c r="BF4" s="1037"/>
      <c r="BG4" s="1038"/>
      <c r="BH4" s="1038"/>
      <c r="BI4" s="1038"/>
      <c r="BJ4" s="1038"/>
      <c r="BK4" s="1038"/>
      <c r="BL4" s="1038">
        <v>2011</v>
      </c>
      <c r="BM4" s="1038"/>
      <c r="BN4" s="1038"/>
      <c r="BO4" s="1038"/>
      <c r="BP4" s="1038"/>
      <c r="BQ4" s="1038"/>
      <c r="BR4" s="1038"/>
      <c r="BS4" s="1039"/>
      <c r="BT4" s="1040"/>
      <c r="BU4" s="1040"/>
      <c r="BV4" s="1040"/>
      <c r="BW4" s="1040"/>
      <c r="BX4" s="1040">
        <v>2012</v>
      </c>
      <c r="BY4" s="1040"/>
      <c r="BZ4" s="1040"/>
      <c r="CA4" s="1040"/>
      <c r="CB4" s="1040"/>
      <c r="CC4" s="1040"/>
      <c r="CD4" s="1040"/>
      <c r="CE4" s="1041"/>
      <c r="CF4" s="1042"/>
      <c r="CG4" s="1042"/>
      <c r="CH4" s="1042"/>
      <c r="CI4" s="1042"/>
      <c r="CJ4" s="1042">
        <v>2013</v>
      </c>
      <c r="CK4" s="1042"/>
      <c r="CL4" s="1042"/>
      <c r="CM4" s="1042"/>
      <c r="CN4" s="1042"/>
      <c r="CO4" s="1042"/>
      <c r="CP4" s="1042"/>
      <c r="CQ4" s="1043">
        <v>2014</v>
      </c>
      <c r="CR4" s="1044"/>
      <c r="CS4" s="1044"/>
      <c r="CT4" s="1044"/>
      <c r="CU4" s="1044"/>
      <c r="CV4" s="1044"/>
      <c r="CW4" s="1044"/>
      <c r="CX4" s="1044"/>
      <c r="CY4" s="1044"/>
      <c r="CZ4" s="1044"/>
      <c r="DA4" s="1044"/>
      <c r="DB4" s="1045"/>
      <c r="DC4" s="1046">
        <v>2015</v>
      </c>
      <c r="DD4" s="1046"/>
      <c r="DE4" s="1046"/>
      <c r="DF4" s="1046"/>
      <c r="DG4" s="1046"/>
      <c r="DH4" s="1046"/>
      <c r="DI4" s="1046"/>
      <c r="DJ4" s="1046"/>
      <c r="DK4" s="1046"/>
      <c r="DL4" s="1046"/>
      <c r="DM4" s="1046"/>
      <c r="DN4" s="1047"/>
      <c r="DO4" s="1044">
        <v>2016</v>
      </c>
      <c r="DP4" s="1044"/>
      <c r="DQ4" s="1044"/>
      <c r="DR4" s="1044"/>
      <c r="DS4" s="1044"/>
      <c r="DT4" s="1044"/>
      <c r="DU4" s="1044"/>
      <c r="DV4" s="1044"/>
      <c r="DW4" s="1044"/>
      <c r="DX4" s="1044"/>
      <c r="DY4" s="1044"/>
      <c r="DZ4" s="1044"/>
      <c r="EA4" s="1037"/>
      <c r="EB4" s="1048">
        <v>2006</v>
      </c>
      <c r="EC4" s="1049">
        <v>2007</v>
      </c>
      <c r="ED4" s="1049">
        <v>2008</v>
      </c>
      <c r="EE4" s="1049">
        <v>2009</v>
      </c>
      <c r="EF4" s="1049">
        <v>2010</v>
      </c>
      <c r="EG4" s="1049">
        <v>2011</v>
      </c>
      <c r="EH4" s="1049">
        <v>2012</v>
      </c>
      <c r="EI4" s="1049">
        <v>2013</v>
      </c>
      <c r="EJ4" s="1049">
        <v>2014</v>
      </c>
      <c r="EK4" s="1049">
        <v>2015</v>
      </c>
      <c r="EL4" s="1049">
        <v>2016</v>
      </c>
      <c r="EM4" s="1315" t="s">
        <v>696</v>
      </c>
    </row>
    <row r="5" spans="1:143">
      <c r="A5" s="998"/>
      <c r="B5" s="1052" t="s">
        <v>198</v>
      </c>
      <c r="C5" s="1053" t="s">
        <v>442</v>
      </c>
      <c r="D5" s="1054" t="s">
        <v>42</v>
      </c>
      <c r="E5" s="1055" t="s">
        <v>43</v>
      </c>
      <c r="F5" s="1055" t="s">
        <v>44</v>
      </c>
      <c r="G5" s="1056" t="s">
        <v>45</v>
      </c>
      <c r="H5" s="1056" t="s">
        <v>46</v>
      </c>
      <c r="I5" s="1056" t="s">
        <v>47</v>
      </c>
      <c r="J5" s="1057" t="s">
        <v>48</v>
      </c>
      <c r="K5" s="1058" t="s">
        <v>37</v>
      </c>
      <c r="L5" s="1059" t="s">
        <v>38</v>
      </c>
      <c r="M5" s="1059" t="s">
        <v>39</v>
      </c>
      <c r="N5" s="1059" t="s">
        <v>40</v>
      </c>
      <c r="O5" s="1059" t="s">
        <v>41</v>
      </c>
      <c r="P5" s="1059" t="s">
        <v>42</v>
      </c>
      <c r="Q5" s="1059" t="s">
        <v>43</v>
      </c>
      <c r="R5" s="1059" t="s">
        <v>44</v>
      </c>
      <c r="S5" s="1059" t="s">
        <v>45</v>
      </c>
      <c r="T5" s="1059" t="s">
        <v>46</v>
      </c>
      <c r="U5" s="1059" t="s">
        <v>47</v>
      </c>
      <c r="V5" s="1060" t="s">
        <v>48</v>
      </c>
      <c r="W5" s="1061" t="s">
        <v>37</v>
      </c>
      <c r="X5" s="1056" t="s">
        <v>38</v>
      </c>
      <c r="Y5" s="1056" t="s">
        <v>39</v>
      </c>
      <c r="Z5" s="1056" t="s">
        <v>40</v>
      </c>
      <c r="AA5" s="1056" t="s">
        <v>41</v>
      </c>
      <c r="AB5" s="1056" t="s">
        <v>42</v>
      </c>
      <c r="AC5" s="1056" t="s">
        <v>43</v>
      </c>
      <c r="AD5" s="1056" t="s">
        <v>44</v>
      </c>
      <c r="AE5" s="1056" t="s">
        <v>45</v>
      </c>
      <c r="AF5" s="1056" t="s">
        <v>46</v>
      </c>
      <c r="AG5" s="1056" t="s">
        <v>47</v>
      </c>
      <c r="AH5" s="1057" t="s">
        <v>48</v>
      </c>
      <c r="AI5" s="1062" t="s">
        <v>37</v>
      </c>
      <c r="AJ5" s="1062" t="s">
        <v>38</v>
      </c>
      <c r="AK5" s="1062" t="s">
        <v>39</v>
      </c>
      <c r="AL5" s="1062" t="s">
        <v>40</v>
      </c>
      <c r="AM5" s="1062" t="s">
        <v>41</v>
      </c>
      <c r="AN5" s="1062" t="s">
        <v>42</v>
      </c>
      <c r="AO5" s="1062" t="s">
        <v>43</v>
      </c>
      <c r="AP5" s="1062" t="s">
        <v>44</v>
      </c>
      <c r="AQ5" s="1062" t="s">
        <v>45</v>
      </c>
      <c r="AR5" s="1062" t="s">
        <v>46</v>
      </c>
      <c r="AS5" s="1062" t="s">
        <v>47</v>
      </c>
      <c r="AT5" s="1062" t="s">
        <v>48</v>
      </c>
      <c r="AU5" s="1061" t="s">
        <v>37</v>
      </c>
      <c r="AV5" s="1056" t="s">
        <v>38</v>
      </c>
      <c r="AW5" s="1056" t="s">
        <v>39</v>
      </c>
      <c r="AX5" s="1056" t="s">
        <v>40</v>
      </c>
      <c r="AY5" s="1056" t="s">
        <v>41</v>
      </c>
      <c r="AZ5" s="1056" t="s">
        <v>42</v>
      </c>
      <c r="BA5" s="1056" t="s">
        <v>43</v>
      </c>
      <c r="BB5" s="1056" t="s">
        <v>44</v>
      </c>
      <c r="BC5" s="1056" t="s">
        <v>45</v>
      </c>
      <c r="BD5" s="1056" t="s">
        <v>46</v>
      </c>
      <c r="BE5" s="1056" t="s">
        <v>47</v>
      </c>
      <c r="BF5" s="1056" t="s">
        <v>48</v>
      </c>
      <c r="BG5" s="1063" t="s">
        <v>37</v>
      </c>
      <c r="BH5" s="1063" t="s">
        <v>38</v>
      </c>
      <c r="BI5" s="1063" t="s">
        <v>39</v>
      </c>
      <c r="BJ5" s="1063" t="s">
        <v>40</v>
      </c>
      <c r="BK5" s="1063" t="s">
        <v>41</v>
      </c>
      <c r="BL5" s="1063" t="s">
        <v>42</v>
      </c>
      <c r="BM5" s="1063" t="s">
        <v>43</v>
      </c>
      <c r="BN5" s="1063" t="s">
        <v>44</v>
      </c>
      <c r="BO5" s="1063" t="s">
        <v>45</v>
      </c>
      <c r="BP5" s="1063" t="s">
        <v>46</v>
      </c>
      <c r="BQ5" s="1063" t="s">
        <v>47</v>
      </c>
      <c r="BR5" s="1063" t="s">
        <v>48</v>
      </c>
      <c r="BS5" s="1064" t="s">
        <v>37</v>
      </c>
      <c r="BT5" s="1065" t="s">
        <v>38</v>
      </c>
      <c r="BU5" s="1065" t="s">
        <v>39</v>
      </c>
      <c r="BV5" s="1065" t="s">
        <v>40</v>
      </c>
      <c r="BW5" s="1065" t="s">
        <v>41</v>
      </c>
      <c r="BX5" s="1065" t="s">
        <v>42</v>
      </c>
      <c r="BY5" s="1065" t="s">
        <v>43</v>
      </c>
      <c r="BZ5" s="1065" t="s">
        <v>44</v>
      </c>
      <c r="CA5" s="1065" t="s">
        <v>45</v>
      </c>
      <c r="CB5" s="1065" t="s">
        <v>46</v>
      </c>
      <c r="CC5" s="1065" t="s">
        <v>47</v>
      </c>
      <c r="CD5" s="1065" t="s">
        <v>48</v>
      </c>
      <c r="CE5" s="1066" t="s">
        <v>37</v>
      </c>
      <c r="CF5" s="1067" t="s">
        <v>38</v>
      </c>
      <c r="CG5" s="1067" t="s">
        <v>39</v>
      </c>
      <c r="CH5" s="1067" t="s">
        <v>40</v>
      </c>
      <c r="CI5" s="1067" t="s">
        <v>41</v>
      </c>
      <c r="CJ5" s="1067" t="s">
        <v>42</v>
      </c>
      <c r="CK5" s="1067" t="s">
        <v>43</v>
      </c>
      <c r="CL5" s="1067" t="s">
        <v>44</v>
      </c>
      <c r="CM5" s="1067" t="s">
        <v>45</v>
      </c>
      <c r="CN5" s="1067" t="s">
        <v>46</v>
      </c>
      <c r="CO5" s="1067" t="s">
        <v>47</v>
      </c>
      <c r="CP5" s="1067" t="s">
        <v>48</v>
      </c>
      <c r="CQ5" s="1068" t="s">
        <v>37</v>
      </c>
      <c r="CR5" s="1069" t="s">
        <v>38</v>
      </c>
      <c r="CS5" s="1069" t="s">
        <v>39</v>
      </c>
      <c r="CT5" s="1069" t="s">
        <v>40</v>
      </c>
      <c r="CU5" s="1069" t="s">
        <v>41</v>
      </c>
      <c r="CV5" s="1069" t="s">
        <v>42</v>
      </c>
      <c r="CW5" s="1069" t="s">
        <v>43</v>
      </c>
      <c r="CX5" s="1069" t="s">
        <v>44</v>
      </c>
      <c r="CY5" s="1069" t="s">
        <v>45</v>
      </c>
      <c r="CZ5" s="1069" t="s">
        <v>46</v>
      </c>
      <c r="DA5" s="1069" t="s">
        <v>47</v>
      </c>
      <c r="DB5" s="1070" t="s">
        <v>48</v>
      </c>
      <c r="DC5" s="1071" t="s">
        <v>37</v>
      </c>
      <c r="DD5" s="1071" t="s">
        <v>38</v>
      </c>
      <c r="DE5" s="1071" t="s">
        <v>39</v>
      </c>
      <c r="DF5" s="1071" t="s">
        <v>40</v>
      </c>
      <c r="DG5" s="1071" t="s">
        <v>41</v>
      </c>
      <c r="DH5" s="1071" t="s">
        <v>42</v>
      </c>
      <c r="DI5" s="1071" t="s">
        <v>43</v>
      </c>
      <c r="DJ5" s="1071" t="s">
        <v>44</v>
      </c>
      <c r="DK5" s="1071" t="s">
        <v>45</v>
      </c>
      <c r="DL5" s="1071" t="s">
        <v>46</v>
      </c>
      <c r="DM5" s="1071" t="s">
        <v>47</v>
      </c>
      <c r="DN5" s="1072" t="s">
        <v>48</v>
      </c>
      <c r="DO5" s="1071" t="s">
        <v>37</v>
      </c>
      <c r="DP5" s="1071" t="s">
        <v>38</v>
      </c>
      <c r="DQ5" s="1071" t="s">
        <v>39</v>
      </c>
      <c r="DR5" s="1071" t="s">
        <v>40</v>
      </c>
      <c r="DS5" s="1071" t="s">
        <v>41</v>
      </c>
      <c r="DT5" s="1071" t="s">
        <v>42</v>
      </c>
      <c r="DU5" s="1071" t="s">
        <v>43</v>
      </c>
      <c r="DV5" s="1071" t="s">
        <v>44</v>
      </c>
      <c r="DW5" s="1071" t="s">
        <v>45</v>
      </c>
      <c r="DX5" s="1071" t="s">
        <v>46</v>
      </c>
      <c r="DY5" s="1071" t="s">
        <v>47</v>
      </c>
      <c r="DZ5" s="1071" t="s">
        <v>48</v>
      </c>
      <c r="EA5" s="1071"/>
      <c r="EB5" s="1073" t="s">
        <v>167</v>
      </c>
      <c r="EC5" s="1074" t="s">
        <v>49</v>
      </c>
      <c r="ED5" s="1074" t="s">
        <v>49</v>
      </c>
      <c r="EE5" s="1074" t="s">
        <v>49</v>
      </c>
      <c r="EF5" s="1074" t="s">
        <v>49</v>
      </c>
      <c r="EG5" s="1074" t="s">
        <v>49</v>
      </c>
      <c r="EH5" s="1074" t="s">
        <v>706</v>
      </c>
      <c r="EI5" s="1074" t="s">
        <v>706</v>
      </c>
      <c r="EJ5" s="1074" t="s">
        <v>706</v>
      </c>
      <c r="EK5" s="1074" t="str">
        <f>+'[2]1.TOH'!EK4</f>
        <v>ene - dic</v>
      </c>
      <c r="EL5" s="1074" t="str">
        <f>+'[2]1.TOH'!EL4</f>
        <v>ene - dic</v>
      </c>
      <c r="EM5" s="1316" t="s">
        <v>899</v>
      </c>
    </row>
    <row r="6" spans="1:143">
      <c r="A6" s="998"/>
      <c r="B6" s="1023"/>
      <c r="C6" s="1075"/>
      <c r="D6" s="1076"/>
      <c r="E6" s="1076"/>
      <c r="F6" s="1076"/>
      <c r="G6" s="1077"/>
      <c r="H6" s="1077"/>
      <c r="I6" s="1077"/>
      <c r="J6" s="1077"/>
      <c r="K6" s="1078"/>
      <c r="L6" s="1079"/>
      <c r="M6" s="1079"/>
      <c r="N6" s="1079"/>
      <c r="O6" s="1079"/>
      <c r="P6" s="1079"/>
      <c r="Q6" s="1079"/>
      <c r="R6" s="1079"/>
      <c r="S6" s="1079"/>
      <c r="T6" s="1079"/>
      <c r="U6" s="1079"/>
      <c r="V6" s="1080"/>
      <c r="W6" s="1081"/>
      <c r="X6" s="1077"/>
      <c r="Y6" s="1077"/>
      <c r="Z6" s="1077"/>
      <c r="AA6" s="1077"/>
      <c r="AB6" s="1077"/>
      <c r="AC6" s="1077"/>
      <c r="AD6" s="1077"/>
      <c r="AE6" s="1077"/>
      <c r="AF6" s="1077"/>
      <c r="AG6" s="1077"/>
      <c r="AH6" s="1082"/>
      <c r="AI6" s="1083"/>
      <c r="AJ6" s="1083"/>
      <c r="AK6" s="1083"/>
      <c r="AL6" s="1083"/>
      <c r="AM6" s="1083"/>
      <c r="AN6" s="1083"/>
      <c r="AO6" s="1083"/>
      <c r="AP6" s="1083"/>
      <c r="AQ6" s="1083"/>
      <c r="AR6" s="1083"/>
      <c r="AS6" s="1083"/>
      <c r="AT6" s="1083"/>
      <c r="AU6" s="1081"/>
      <c r="AV6" s="1077"/>
      <c r="AW6" s="1077"/>
      <c r="AX6" s="1077"/>
      <c r="AY6" s="1077"/>
      <c r="AZ6" s="1077"/>
      <c r="BA6" s="1077"/>
      <c r="BB6" s="1077"/>
      <c r="BC6" s="1077"/>
      <c r="BD6" s="1077"/>
      <c r="BE6" s="1077"/>
      <c r="BF6" s="1077"/>
      <c r="BG6" s="1084"/>
      <c r="BH6" s="1084"/>
      <c r="BI6" s="1084"/>
      <c r="BJ6" s="1084"/>
      <c r="BK6" s="1084"/>
      <c r="BL6" s="1084"/>
      <c r="BM6" s="1084"/>
      <c r="BN6" s="1084"/>
      <c r="BO6" s="1084"/>
      <c r="BP6" s="1084"/>
      <c r="BQ6" s="1084"/>
      <c r="BR6" s="1084"/>
      <c r="BS6" s="1085"/>
      <c r="BT6" s="1086"/>
      <c r="BU6" s="1086"/>
      <c r="BV6" s="1086"/>
      <c r="BW6" s="1086"/>
      <c r="BX6" s="1086"/>
      <c r="BY6" s="1086"/>
      <c r="BZ6" s="1086"/>
      <c r="CA6" s="1086"/>
      <c r="CB6" s="1086"/>
      <c r="CC6" s="1086"/>
      <c r="CD6" s="1086"/>
      <c r="CE6" s="1087"/>
      <c r="CF6" s="1088"/>
      <c r="CG6" s="1088"/>
      <c r="CH6" s="1088"/>
      <c r="CI6" s="1088"/>
      <c r="CJ6" s="1088"/>
      <c r="CK6" s="1088"/>
      <c r="CL6" s="1088"/>
      <c r="CM6" s="1088"/>
      <c r="CN6" s="1088"/>
      <c r="CO6" s="1088"/>
      <c r="CP6" s="1088"/>
      <c r="CQ6" s="1089"/>
      <c r="CR6" s="1050"/>
      <c r="CS6" s="1050"/>
      <c r="CT6" s="1050"/>
      <c r="CU6" s="1050"/>
      <c r="CV6" s="1050"/>
      <c r="CW6" s="1050"/>
      <c r="CX6" s="1050"/>
      <c r="CY6" s="1050"/>
      <c r="CZ6" s="1050"/>
      <c r="DA6" s="1050"/>
      <c r="DB6" s="1090"/>
      <c r="DC6" s="1091"/>
      <c r="DD6" s="1091"/>
      <c r="DE6" s="1091"/>
      <c r="DF6" s="1091"/>
      <c r="DG6" s="1091"/>
      <c r="DH6" s="1091"/>
      <c r="DI6" s="1091"/>
      <c r="DJ6" s="1091"/>
      <c r="DK6" s="1091"/>
      <c r="DL6" s="1091"/>
      <c r="DM6" s="1091"/>
      <c r="DN6" s="1092"/>
      <c r="DO6" s="1091"/>
      <c r="DP6" s="1091"/>
      <c r="DQ6" s="1091"/>
      <c r="DR6" s="1091"/>
      <c r="DS6" s="1091"/>
      <c r="DT6" s="1091"/>
      <c r="DU6" s="1091"/>
      <c r="DV6" s="1091"/>
      <c r="DW6" s="1091"/>
      <c r="DX6" s="1091"/>
      <c r="DY6" s="1091"/>
      <c r="DZ6" s="1091"/>
      <c r="EA6" s="1077"/>
      <c r="EB6" s="1093"/>
      <c r="EC6" s="1094"/>
      <c r="ED6" s="1094"/>
      <c r="EE6" s="1094"/>
      <c r="EF6" s="1094"/>
      <c r="EG6" s="1094"/>
      <c r="EH6" s="1094"/>
      <c r="EI6" s="1094"/>
      <c r="EJ6" s="1094"/>
      <c r="EK6" s="1095"/>
      <c r="EL6" s="1094"/>
      <c r="EM6" s="1317"/>
    </row>
    <row r="7" spans="1:143">
      <c r="A7" s="998"/>
      <c r="B7" s="1096" t="s">
        <v>33</v>
      </c>
      <c r="C7" s="1097"/>
      <c r="D7" s="1098">
        <v>50.845060706401767</v>
      </c>
      <c r="E7" s="1099">
        <v>46.981423648154973</v>
      </c>
      <c r="F7" s="1099">
        <v>49.288885986678856</v>
      </c>
      <c r="G7" s="1099">
        <v>47.349454717875773</v>
      </c>
      <c r="H7" s="1099">
        <v>49.325955800596077</v>
      </c>
      <c r="I7" s="1099">
        <v>53.017335517335518</v>
      </c>
      <c r="J7" s="1100">
        <v>42.113676266345223</v>
      </c>
      <c r="K7" s="1101">
        <v>47.239377634055188</v>
      </c>
      <c r="L7" s="1102">
        <v>50.688309019930131</v>
      </c>
      <c r="M7" s="1102">
        <v>51.845590867507219</v>
      </c>
      <c r="N7" s="1102">
        <v>50.847376352925053</v>
      </c>
      <c r="O7" s="1102">
        <v>50.261856462882648</v>
      </c>
      <c r="P7" s="1102">
        <v>55.469242361967417</v>
      </c>
      <c r="Q7" s="1102">
        <v>55.089875335270065</v>
      </c>
      <c r="R7" s="1102">
        <v>53.986819566667101</v>
      </c>
      <c r="S7" s="1102">
        <v>51.968376241637912</v>
      </c>
      <c r="T7" s="1102">
        <v>53.713306696834351</v>
      </c>
      <c r="U7" s="1102">
        <v>58.200243210376946</v>
      </c>
      <c r="V7" s="1103">
        <v>44.258357287341646</v>
      </c>
      <c r="W7" s="1098">
        <v>47.852340968273374</v>
      </c>
      <c r="X7" s="1099">
        <v>51.920638945233264</v>
      </c>
      <c r="Y7" s="1099">
        <v>50.493490406915456</v>
      </c>
      <c r="Z7" s="1099">
        <v>53.271377995642744</v>
      </c>
      <c r="AA7" s="1099">
        <v>53.435094344605346</v>
      </c>
      <c r="AB7" s="1099">
        <v>56.232091690544358</v>
      </c>
      <c r="AC7" s="1099">
        <v>58.864695707287453</v>
      </c>
      <c r="AD7" s="1099">
        <v>55.950510345556104</v>
      </c>
      <c r="AE7" s="1099">
        <v>56.101787419838963</v>
      </c>
      <c r="AF7" s="1099">
        <v>55.655553282879907</v>
      </c>
      <c r="AG7" s="1099">
        <v>59.003612076603332</v>
      </c>
      <c r="AH7" s="1100">
        <v>48.137284627654644</v>
      </c>
      <c r="AI7" s="1104">
        <v>47.276710982995176</v>
      </c>
      <c r="AJ7" s="1104">
        <v>48.627691780430681</v>
      </c>
      <c r="AK7" s="1104">
        <v>50.878535751753418</v>
      </c>
      <c r="AL7" s="1104">
        <v>46.381673143792206</v>
      </c>
      <c r="AM7" s="1104">
        <v>48.216624651980176</v>
      </c>
      <c r="AN7" s="1104">
        <v>49.669792091316758</v>
      </c>
      <c r="AO7" s="1104">
        <v>52.647843983009601</v>
      </c>
      <c r="AP7" s="1104">
        <v>52.179589997150003</v>
      </c>
      <c r="AQ7" s="1104">
        <v>49.544645302656825</v>
      </c>
      <c r="AR7" s="1104">
        <v>52.417375006599478</v>
      </c>
      <c r="AS7" s="1104">
        <v>54.48172394980908</v>
      </c>
      <c r="AT7" s="1104">
        <v>46.643221451711831</v>
      </c>
      <c r="AU7" s="1098">
        <v>46.84417213491929</v>
      </c>
      <c r="AV7" s="1099">
        <v>54.180880272901241</v>
      </c>
      <c r="AW7" s="1099">
        <v>53.044507486801805</v>
      </c>
      <c r="AX7" s="1099">
        <v>50.910729227006549</v>
      </c>
      <c r="AY7" s="1099">
        <v>51.893191486711231</v>
      </c>
      <c r="AZ7" s="1099">
        <v>53.137671365128426</v>
      </c>
      <c r="BA7" s="1099">
        <v>53.52010912556289</v>
      </c>
      <c r="BB7" s="1099">
        <v>52.13237080268329</v>
      </c>
      <c r="BC7" s="1099">
        <v>51.076140825127162</v>
      </c>
      <c r="BD7" s="1099">
        <v>56.118692735551143</v>
      </c>
      <c r="BE7" s="1099">
        <v>55.756581064555633</v>
      </c>
      <c r="BF7" s="1099">
        <v>49.254121794592322</v>
      </c>
      <c r="BG7" s="1105">
        <v>47.079084889971284</v>
      </c>
      <c r="BH7" s="1105">
        <v>54.15965575262738</v>
      </c>
      <c r="BI7" s="1105">
        <v>53.545023637643339</v>
      </c>
      <c r="BJ7" s="1105">
        <v>50.871468108386487</v>
      </c>
      <c r="BK7" s="1105">
        <v>52.230783125400947</v>
      </c>
      <c r="BL7" s="1105">
        <v>53.992405226234176</v>
      </c>
      <c r="BM7" s="1105">
        <v>54.916567527670665</v>
      </c>
      <c r="BN7" s="1105">
        <v>54.486169331481349</v>
      </c>
      <c r="BO7" s="1105">
        <v>55.124541417262051</v>
      </c>
      <c r="BP7" s="1105">
        <v>56.717591761157827</v>
      </c>
      <c r="BQ7" s="1105">
        <v>61.411019389518195</v>
      </c>
      <c r="BR7" s="1105">
        <v>50.684609144223117</v>
      </c>
      <c r="BS7" s="1106">
        <v>53.089875463682546</v>
      </c>
      <c r="BT7" s="1107">
        <v>55.876103031225796</v>
      </c>
      <c r="BU7" s="1107">
        <v>58.579753404467446</v>
      </c>
      <c r="BV7" s="1107">
        <v>53.879183464516601</v>
      </c>
      <c r="BW7" s="1107">
        <v>58.787717385918889</v>
      </c>
      <c r="BX7" s="1107">
        <v>62.016859986055671</v>
      </c>
      <c r="BY7" s="1107">
        <v>59.875153624317065</v>
      </c>
      <c r="BZ7" s="1107">
        <v>59.294727491755985</v>
      </c>
      <c r="CA7" s="1107">
        <v>59.437947944172066</v>
      </c>
      <c r="CB7" s="1107">
        <v>60.024214842846888</v>
      </c>
      <c r="CC7" s="1107">
        <v>64.574374449893128</v>
      </c>
      <c r="CD7" s="1107">
        <v>47.765906961463095</v>
      </c>
      <c r="CE7" s="1087">
        <v>51.517990776456827</v>
      </c>
      <c r="CF7" s="1088">
        <v>58.807323382012186</v>
      </c>
      <c r="CG7" s="1088">
        <v>60.827928596634266</v>
      </c>
      <c r="CH7" s="1088">
        <v>57.74739092166481</v>
      </c>
      <c r="CI7" s="1088">
        <v>56.524014066511711</v>
      </c>
      <c r="CJ7" s="1088">
        <v>59.499559914497745</v>
      </c>
      <c r="CK7" s="1088">
        <v>59.641522979764197</v>
      </c>
      <c r="CL7" s="1088">
        <v>56.017138599105834</v>
      </c>
      <c r="CM7" s="1088">
        <v>62.131768504719297</v>
      </c>
      <c r="CN7" s="1088">
        <v>60.530743714244529</v>
      </c>
      <c r="CO7" s="1088">
        <v>62.385742672627899</v>
      </c>
      <c r="CP7" s="1088">
        <v>50.787822700831718</v>
      </c>
      <c r="CQ7" s="1108">
        <v>51.883923849814963</v>
      </c>
      <c r="CR7" s="1109">
        <v>60.943820523738566</v>
      </c>
      <c r="CS7" s="1109">
        <v>57.533434549336739</v>
      </c>
      <c r="CT7" s="1109">
        <v>54.259814953738463</v>
      </c>
      <c r="CU7" s="1109">
        <v>55.720785034968465</v>
      </c>
      <c r="CV7" s="1109">
        <v>56.167516879219804</v>
      </c>
      <c r="CW7" s="1109">
        <v>57.6</v>
      </c>
      <c r="CX7" s="1109">
        <v>55.727789236827292</v>
      </c>
      <c r="CY7" s="1109">
        <v>60.140119872635324</v>
      </c>
      <c r="CZ7" s="1109">
        <v>58.802678404195518</v>
      </c>
      <c r="DA7" s="1109">
        <v>63.233126169973787</v>
      </c>
      <c r="DB7" s="1110">
        <v>50.994687383002628</v>
      </c>
      <c r="DC7" s="1091">
        <v>51.627660052414825</v>
      </c>
      <c r="DD7" s="1091">
        <v>51.647940846125053</v>
      </c>
      <c r="DE7" s="1091">
        <v>57.482497192062887</v>
      </c>
      <c r="DF7" s="1091">
        <v>53.048152377386764</v>
      </c>
      <c r="DG7" s="1091">
        <v>54.241388992886556</v>
      </c>
      <c r="DH7" s="1091">
        <v>55.588920082350739</v>
      </c>
      <c r="DI7" s="1091">
        <v>54.83994010855325</v>
      </c>
      <c r="DJ7" s="1091">
        <v>48.290715777482454</v>
      </c>
      <c r="DK7" s="1091">
        <v>50.944218720334156</v>
      </c>
      <c r="DL7" s="1091">
        <v>54.332618188722243</v>
      </c>
      <c r="DM7" s="1091">
        <v>55.251518602885348</v>
      </c>
      <c r="DN7" s="1092">
        <v>44.372454976303317</v>
      </c>
      <c r="DO7" s="1091">
        <v>44.140591848129553</v>
      </c>
      <c r="DP7" s="1091">
        <v>45.484031267448337</v>
      </c>
      <c r="DQ7" s="1091">
        <v>46.00247533966126</v>
      </c>
      <c r="DR7" s="1091">
        <v>44.69583100688628</v>
      </c>
      <c r="DS7" s="1091">
        <v>43.528941001302826</v>
      </c>
      <c r="DT7" s="1091">
        <v>47.845151684347663</v>
      </c>
      <c r="DU7" s="1091">
        <v>45.958347292015631</v>
      </c>
      <c r="DV7" s="1091">
        <v>45.12216638749301</v>
      </c>
      <c r="DW7" s="1091">
        <v>47.806756002233392</v>
      </c>
      <c r="DX7" s="1091">
        <v>59.040465116279073</v>
      </c>
      <c r="DY7" s="1091">
        <v>48.430187976921644</v>
      </c>
      <c r="DZ7" s="1091">
        <v>40.097822445561143</v>
      </c>
      <c r="EA7" s="1099"/>
      <c r="EB7" s="1111">
        <v>50.787822701019572</v>
      </c>
      <c r="EC7" s="1112">
        <v>51.96762811537404</v>
      </c>
      <c r="ED7" s="1112">
        <v>53.898085632488183</v>
      </c>
      <c r="EE7" s="1112">
        <v>49.915766115139853</v>
      </c>
      <c r="EF7" s="1112">
        <v>52.30718839587297</v>
      </c>
      <c r="EG7" s="1112">
        <v>53.75129087552407</v>
      </c>
      <c r="EH7" s="1112">
        <v>57.762568107169898</v>
      </c>
      <c r="EI7" s="1112">
        <v>58.003843053716466</v>
      </c>
      <c r="EJ7" s="1112">
        <f>AVERAGE(CQ7:DB7)</f>
        <v>56.917308071454293</v>
      </c>
      <c r="EK7" s="1113">
        <v>52.646506184060037</v>
      </c>
      <c r="EL7" s="1112">
        <f>AVERAGE(DO7:DZ7)</f>
        <v>46.512730614023319</v>
      </c>
      <c r="EM7" s="1318">
        <v>46.967232515400745</v>
      </c>
    </row>
    <row r="8" spans="1:143">
      <c r="A8" s="998"/>
      <c r="B8" s="1114" t="s">
        <v>707</v>
      </c>
      <c r="C8" s="1115" t="s">
        <v>708</v>
      </c>
      <c r="D8" s="1098">
        <v>63.747591522157997</v>
      </c>
      <c r="E8" s="1099">
        <v>34.223514895117226</v>
      </c>
      <c r="F8" s="1099">
        <v>59.133794590708952</v>
      </c>
      <c r="G8" s="1099">
        <v>29.848914069877242</v>
      </c>
      <c r="H8" s="1099">
        <v>34.838709677419352</v>
      </c>
      <c r="I8" s="1099">
        <v>35.792972459639131</v>
      </c>
      <c r="J8" s="1100">
        <v>32.143968468001241</v>
      </c>
      <c r="K8" s="1101">
        <v>33.622828784119115</v>
      </c>
      <c r="L8" s="1102">
        <v>36.183608058608058</v>
      </c>
      <c r="M8" s="1102">
        <v>36.941687344913163</v>
      </c>
      <c r="N8" s="1102">
        <v>36.185897435897431</v>
      </c>
      <c r="O8" s="1102">
        <v>28.598014888337481</v>
      </c>
      <c r="P8" s="1102">
        <v>43.258547008547012</v>
      </c>
      <c r="Q8" s="1102">
        <v>36.228287841191076</v>
      </c>
      <c r="R8" s="1102">
        <v>44.478908188585628</v>
      </c>
      <c r="S8" s="1102">
        <v>34.668803418803414</v>
      </c>
      <c r="T8" s="1102">
        <v>31.689412737799838</v>
      </c>
      <c r="U8" s="1102">
        <v>37.628205128205124</v>
      </c>
      <c r="V8" s="1103">
        <v>26.519851116625315</v>
      </c>
      <c r="W8" s="1098">
        <v>32.154673283705549</v>
      </c>
      <c r="X8" s="1099">
        <v>30.426613616268781</v>
      </c>
      <c r="Y8" s="1099">
        <v>30.562448304383789</v>
      </c>
      <c r="Z8" s="1099">
        <v>34.166666666666671</v>
      </c>
      <c r="AA8" s="1099">
        <v>37.932121466848798</v>
      </c>
      <c r="AB8" s="1099">
        <v>40.206297502714442</v>
      </c>
      <c r="AC8" s="1099">
        <v>42.492382053168015</v>
      </c>
      <c r="AD8" s="1099">
        <v>40.727119890721866</v>
      </c>
      <c r="AE8" s="1099">
        <v>34.951140065146582</v>
      </c>
      <c r="AF8" s="1099">
        <v>33.067143007250181</v>
      </c>
      <c r="AG8" s="1099">
        <v>43.463626492942453</v>
      </c>
      <c r="AH8" s="1100">
        <v>33.056635494378476</v>
      </c>
      <c r="AI8" s="1104">
        <v>36.864853468269025</v>
      </c>
      <c r="AJ8" s="1104">
        <v>38.795518207282917</v>
      </c>
      <c r="AK8" s="1104">
        <v>36.523769100169773</v>
      </c>
      <c r="AL8" s="1104">
        <v>33.71710526315789</v>
      </c>
      <c r="AM8" s="1104">
        <v>40.630305602716462</v>
      </c>
      <c r="AN8" s="1104">
        <v>34.616228070175438</v>
      </c>
      <c r="AO8" s="1104">
        <v>48.176259751212314</v>
      </c>
      <c r="AP8" s="1104">
        <v>52.971137521222389</v>
      </c>
      <c r="AQ8" s="1104">
        <v>31.64473684210526</v>
      </c>
      <c r="AR8" s="1104">
        <v>34.719864176570454</v>
      </c>
      <c r="AS8" s="1104">
        <v>40.504385964912274</v>
      </c>
      <c r="AT8" s="1104">
        <v>39.547962648556869</v>
      </c>
      <c r="AU8" s="1098">
        <v>42.402376910016962</v>
      </c>
      <c r="AV8" s="1099">
        <v>41.224154135338345</v>
      </c>
      <c r="AW8" s="1099">
        <v>46.774193548387075</v>
      </c>
      <c r="AX8" s="1099">
        <v>51.107456140350884</v>
      </c>
      <c r="AY8" s="1099">
        <v>48.429541595925286</v>
      </c>
      <c r="AZ8" s="1099">
        <v>44.66008771929824</v>
      </c>
      <c r="BA8" s="1099">
        <v>46.084465195246175</v>
      </c>
      <c r="BB8" s="1099">
        <v>50.615449915110347</v>
      </c>
      <c r="BC8" s="1099">
        <v>48.98026315789474</v>
      </c>
      <c r="BD8" s="1099">
        <v>47.495755517826801</v>
      </c>
      <c r="BE8" s="1099">
        <v>47.883771929824562</v>
      </c>
      <c r="BF8" s="1099">
        <v>55.751273344651942</v>
      </c>
      <c r="BG8" s="1105">
        <v>48.196095076400667</v>
      </c>
      <c r="BH8" s="1105">
        <v>47.356672932330824</v>
      </c>
      <c r="BI8" s="1105">
        <v>55.17826825127333</v>
      </c>
      <c r="BJ8" s="1105">
        <v>53.749999999999986</v>
      </c>
      <c r="BK8" s="1105">
        <v>58.860356536502536</v>
      </c>
      <c r="BL8" s="1105">
        <v>49.682017543859644</v>
      </c>
      <c r="BM8" s="1105">
        <v>42.752546689303898</v>
      </c>
      <c r="BN8" s="1105">
        <v>43.856112054329373</v>
      </c>
      <c r="BO8" s="1105">
        <v>54.956140350877206</v>
      </c>
      <c r="BP8" s="1105">
        <v>48.779711375212216</v>
      </c>
      <c r="BQ8" s="1105">
        <v>54.517543859649123</v>
      </c>
      <c r="BR8" s="1105">
        <v>56.568336162988096</v>
      </c>
      <c r="BS8" s="1106">
        <v>48.376485568760614</v>
      </c>
      <c r="BT8" s="1107">
        <v>47.776769509981861</v>
      </c>
      <c r="BU8" s="1107">
        <v>48.397707979626475</v>
      </c>
      <c r="BV8" s="1107">
        <v>49.232456140350877</v>
      </c>
      <c r="BW8" s="1107">
        <v>43.665110356536488</v>
      </c>
      <c r="BX8" s="1107">
        <v>50.504385964912281</v>
      </c>
      <c r="BY8" s="1107">
        <v>51.379456706281836</v>
      </c>
      <c r="BZ8" s="1107">
        <v>48.726655348047537</v>
      </c>
      <c r="CA8" s="1107">
        <v>45.548245614035089</v>
      </c>
      <c r="CB8" s="1107">
        <v>47.209252971137502</v>
      </c>
      <c r="CC8" s="1107">
        <v>51.732456140350877</v>
      </c>
      <c r="CD8" s="1107">
        <v>45.51146010186757</v>
      </c>
      <c r="CE8" s="1087">
        <v>47.463921901528003</v>
      </c>
      <c r="CF8" s="1088">
        <v>51.292293233082709</v>
      </c>
      <c r="CG8" s="1088">
        <v>53.045415959252963</v>
      </c>
      <c r="CH8" s="1088">
        <v>53.146929824561404</v>
      </c>
      <c r="CI8" s="1088">
        <v>47.792869269949065</v>
      </c>
      <c r="CJ8" s="1088">
        <v>50.416666666666664</v>
      </c>
      <c r="CK8" s="1088">
        <v>54.849320882852282</v>
      </c>
      <c r="CL8" s="1088">
        <v>46.434634974533097</v>
      </c>
      <c r="CM8" s="1088">
        <v>52.192982456140349</v>
      </c>
      <c r="CN8" s="1088">
        <v>52.355687606112035</v>
      </c>
      <c r="CO8" s="1088">
        <v>50.065789473684205</v>
      </c>
      <c r="CP8" s="1088">
        <v>44.609507640067903</v>
      </c>
      <c r="CQ8" s="1108">
        <v>43.367996604414252</v>
      </c>
      <c r="CR8" s="1109">
        <v>55.697838345864668</v>
      </c>
      <c r="CS8" s="1109">
        <v>49.58616298811544</v>
      </c>
      <c r="CT8" s="1109">
        <v>44.857456140350877</v>
      </c>
      <c r="CU8" s="1109">
        <v>44.577674023769092</v>
      </c>
      <c r="CV8" s="1109">
        <v>44.555921052631582</v>
      </c>
      <c r="CW8" s="1109">
        <v>48.4</v>
      </c>
      <c r="CX8" s="1109">
        <v>47.815460526315789</v>
      </c>
      <c r="CY8" s="1109">
        <v>49.307096774193546</v>
      </c>
      <c r="CZ8" s="1109">
        <v>55.530645161290323</v>
      </c>
      <c r="DA8" s="1109">
        <v>46.225064516129038</v>
      </c>
      <c r="DB8" s="1110">
        <v>48.584967741935479</v>
      </c>
      <c r="DC8" s="1091">
        <v>50.113709677419358</v>
      </c>
      <c r="DD8" s="1091">
        <v>44.931935483870966</v>
      </c>
      <c r="DE8" s="1091">
        <v>49.859032258064516</v>
      </c>
      <c r="DF8" s="1091">
        <v>52.51648387096774</v>
      </c>
      <c r="DG8" s="1091">
        <v>50.107096774193543</v>
      </c>
      <c r="DH8" s="1091">
        <v>51.058709677419358</v>
      </c>
      <c r="DI8" s="1091">
        <v>55.822258064516134</v>
      </c>
      <c r="DJ8" s="1091">
        <v>40.378846153846155</v>
      </c>
      <c r="DK8" s="1091">
        <v>46.008012820512818</v>
      </c>
      <c r="DL8" s="1091">
        <v>53.035897435897432</v>
      </c>
      <c r="DM8" s="1091">
        <v>38.663406940063091</v>
      </c>
      <c r="DN8" s="1092">
        <v>36.706896551724135</v>
      </c>
      <c r="DO8" s="1091">
        <v>37.869527896995706</v>
      </c>
      <c r="DP8" s="1091">
        <v>33.68841201716738</v>
      </c>
      <c r="DQ8" s="1091">
        <v>31.173819742489265</v>
      </c>
      <c r="DR8" s="1091">
        <v>29.068454935622317</v>
      </c>
      <c r="DS8" s="1091">
        <v>27.796137339055797</v>
      </c>
      <c r="DT8" s="1091">
        <v>33.563519313304724</v>
      </c>
      <c r="DU8" s="1091">
        <v>32.408154506437768</v>
      </c>
      <c r="DV8" s="1091">
        <v>32.261802575107296</v>
      </c>
      <c r="DW8" s="1091">
        <v>30.903648068669529</v>
      </c>
      <c r="DX8" s="1091">
        <v>38.406652360515018</v>
      </c>
      <c r="DY8" s="1091">
        <v>34.786051502145924</v>
      </c>
      <c r="DZ8" s="1091">
        <v>30.62660944206009</v>
      </c>
      <c r="EA8" s="1099"/>
      <c r="EB8" s="1111">
        <v>44.609507640460521</v>
      </c>
      <c r="EC8" s="1112">
        <v>35.468036529680361</v>
      </c>
      <c r="ED8" s="1112">
        <v>36.085759558101024</v>
      </c>
      <c r="EE8" s="1112">
        <v>39.108331833723227</v>
      </c>
      <c r="EF8" s="1112">
        <v>47.664023071377031</v>
      </c>
      <c r="EG8" s="1112">
        <v>51.213950973323733</v>
      </c>
      <c r="EH8" s="1112">
        <v>48.162029048029929</v>
      </c>
      <c r="EI8" s="1112">
        <v>50.284787310742608</v>
      </c>
      <c r="EJ8" s="1112">
        <f t="shared" ref="EJ8:EJ14" si="0">AVERAGE(CQ8:DB8)</f>
        <v>48.20885698958417</v>
      </c>
      <c r="EK8" s="1113">
        <v>47.413998488881852</v>
      </c>
      <c r="EL8" s="1112">
        <f t="shared" ref="EL8:EL14" si="1">AVERAGE(DO8:DZ8)</f>
        <v>32.712732474964241</v>
      </c>
      <c r="EM8" s="1318">
        <v>32.548676680972818</v>
      </c>
    </row>
    <row r="9" spans="1:143">
      <c r="A9" s="998"/>
      <c r="B9" s="1114" t="s">
        <v>709</v>
      </c>
      <c r="C9" s="1115" t="s">
        <v>710</v>
      </c>
      <c r="D9" s="1098">
        <v>33.262108262108264</v>
      </c>
      <c r="E9" s="1099">
        <v>27.824137501556855</v>
      </c>
      <c r="F9" s="1099">
        <v>42.533370411568413</v>
      </c>
      <c r="G9" s="1099">
        <v>23.347578347578349</v>
      </c>
      <c r="H9" s="1099">
        <v>34.404103117829663</v>
      </c>
      <c r="I9" s="1099">
        <v>24.949928469241776</v>
      </c>
      <c r="J9" s="1100">
        <v>28.014991299692145</v>
      </c>
      <c r="K9" s="1101">
        <v>36.92663672247177</v>
      </c>
      <c r="L9" s="1102">
        <v>41.515973477998799</v>
      </c>
      <c r="M9" s="1102">
        <v>34.953042057982856</v>
      </c>
      <c r="N9" s="1102">
        <v>38.045007032348806</v>
      </c>
      <c r="O9" s="1102">
        <v>38.7777324077855</v>
      </c>
      <c r="P9" s="1102">
        <v>40.576652601969059</v>
      </c>
      <c r="Q9" s="1102">
        <v>41.649652919559017</v>
      </c>
      <c r="R9" s="1102">
        <v>38.587178440179677</v>
      </c>
      <c r="S9" s="1102">
        <v>37.383966244725734</v>
      </c>
      <c r="T9" s="1102">
        <v>43.963522526201182</v>
      </c>
      <c r="U9" s="1102">
        <v>54.233473980309419</v>
      </c>
      <c r="V9" s="1103">
        <v>43.051585681230449</v>
      </c>
      <c r="W9" s="1098">
        <v>43.080974325213965</v>
      </c>
      <c r="X9" s="1099">
        <v>40.942997888810694</v>
      </c>
      <c r="Y9" s="1099">
        <v>37.564186965108632</v>
      </c>
      <c r="Z9" s="1099">
        <v>39.986394557823132</v>
      </c>
      <c r="AA9" s="1099">
        <v>44.200131665569451</v>
      </c>
      <c r="AB9" s="1099">
        <v>49.115646258503411</v>
      </c>
      <c r="AC9" s="1099">
        <v>53.087557603686641</v>
      </c>
      <c r="AD9" s="1099">
        <v>52.75839368005267</v>
      </c>
      <c r="AE9" s="1099">
        <v>50.095238095238102</v>
      </c>
      <c r="AF9" s="1099">
        <v>41.329822251481232</v>
      </c>
      <c r="AG9" s="1099">
        <v>40.040816326530617</v>
      </c>
      <c r="AH9" s="1100">
        <v>37.050691244239644</v>
      </c>
      <c r="AI9" s="1104">
        <v>48.248053392658505</v>
      </c>
      <c r="AJ9" s="1104">
        <v>46.994047619047613</v>
      </c>
      <c r="AK9" s="1104">
        <v>43.483870967741929</v>
      </c>
      <c r="AL9" s="1104">
        <v>39.786666666666662</v>
      </c>
      <c r="AM9" s="1104">
        <v>43.419354838709666</v>
      </c>
      <c r="AN9" s="1104">
        <v>35.946666666666658</v>
      </c>
      <c r="AO9" s="1104">
        <v>44.116129032258058</v>
      </c>
      <c r="AP9" s="1104">
        <v>39.974193548387092</v>
      </c>
      <c r="AQ9" s="1104">
        <v>36.826666666666661</v>
      </c>
      <c r="AR9" s="1104">
        <v>34.58064516129032</v>
      </c>
      <c r="AS9" s="1104">
        <v>35.879999999999995</v>
      </c>
      <c r="AT9" s="1104">
        <v>40.632258064516122</v>
      </c>
      <c r="AU9" s="1098">
        <v>38.838709677419359</v>
      </c>
      <c r="AV9" s="1099">
        <v>40.240863787375417</v>
      </c>
      <c r="AW9" s="1099">
        <v>36.096524131032766</v>
      </c>
      <c r="AX9" s="1099">
        <v>35.516795865633071</v>
      </c>
      <c r="AY9" s="1099">
        <v>33.59589897474369</v>
      </c>
      <c r="AZ9" s="1099">
        <v>33.669250645994836</v>
      </c>
      <c r="BA9" s="1099">
        <v>34.796199049762436</v>
      </c>
      <c r="BB9" s="1099">
        <v>34.896224056014006</v>
      </c>
      <c r="BC9" s="1099">
        <v>33.759689922480618</v>
      </c>
      <c r="BD9" s="1099">
        <v>36.396599149787448</v>
      </c>
      <c r="BE9" s="1099">
        <v>38.191214470284237</v>
      </c>
      <c r="BF9" s="1099">
        <v>40.522630657664408</v>
      </c>
      <c r="BG9" s="1105">
        <v>40.360090022505631</v>
      </c>
      <c r="BH9" s="1105">
        <v>44.366002214839426</v>
      </c>
      <c r="BI9" s="1105">
        <v>29.894973743435859</v>
      </c>
      <c r="BJ9" s="1105">
        <v>33.643410852713181</v>
      </c>
      <c r="BK9" s="1105">
        <v>34.871217804451113</v>
      </c>
      <c r="BL9" s="1105">
        <v>37.170542635658919</v>
      </c>
      <c r="BM9" s="1105">
        <v>35.97149287321831</v>
      </c>
      <c r="BN9" s="1105">
        <v>37.059264816204063</v>
      </c>
      <c r="BO9" s="1105">
        <v>37.997416020671835</v>
      </c>
      <c r="BP9" s="1105">
        <v>39.397349337334333</v>
      </c>
      <c r="BQ9" s="1105">
        <v>43.204134366925061</v>
      </c>
      <c r="BR9" s="1105">
        <v>36.134033508377101</v>
      </c>
      <c r="BS9" s="1106">
        <v>39.847461865466364</v>
      </c>
      <c r="BT9" s="1107">
        <v>34.429296979417259</v>
      </c>
      <c r="BU9" s="1107">
        <v>34.108527131782949</v>
      </c>
      <c r="BV9" s="1107">
        <v>36.873385012919897</v>
      </c>
      <c r="BW9" s="1107">
        <v>34.883720930232563</v>
      </c>
      <c r="BX9" s="1107">
        <v>34.302325581395351</v>
      </c>
      <c r="BY9" s="1107">
        <v>35.722354713191912</v>
      </c>
      <c r="BZ9" s="1107">
        <v>34.730764403163043</v>
      </c>
      <c r="CA9" s="1107">
        <v>36.09597924773022</v>
      </c>
      <c r="CB9" s="1107">
        <v>36.475461277770798</v>
      </c>
      <c r="CC9" s="1107">
        <v>36.277561608300907</v>
      </c>
      <c r="CD9" s="1107">
        <v>32.923308648173709</v>
      </c>
      <c r="CE9" s="1087">
        <v>34.994351700765655</v>
      </c>
      <c r="CF9" s="1088">
        <v>34.588660366870485</v>
      </c>
      <c r="CG9" s="1088">
        <v>35.810217145726114</v>
      </c>
      <c r="CH9" s="1088">
        <v>35.862516212710766</v>
      </c>
      <c r="CI9" s="1088">
        <v>34.291452240492028</v>
      </c>
      <c r="CJ9" s="1088">
        <v>32.879377431906612</v>
      </c>
      <c r="CK9" s="1088">
        <v>36.764152127526039</v>
      </c>
      <c r="CL9" s="1088">
        <v>35.257938998368267</v>
      </c>
      <c r="CM9" s="1088">
        <v>44.033722438391699</v>
      </c>
      <c r="CN9" s="1088">
        <v>37.391740931341786</v>
      </c>
      <c r="CO9" s="1088">
        <v>39.364461738002596</v>
      </c>
      <c r="CP9" s="1088">
        <v>35.094765909376171</v>
      </c>
      <c r="CQ9" s="1108">
        <v>37.015187649052336</v>
      </c>
      <c r="CR9" s="1109">
        <v>38.896609227348534</v>
      </c>
      <c r="CS9" s="1109">
        <v>39.764026609765281</v>
      </c>
      <c r="CT9" s="1109">
        <v>38.326848249027243</v>
      </c>
      <c r="CU9" s="1109">
        <v>37.542362244257568</v>
      </c>
      <c r="CV9" s="1109">
        <v>36.611673151750971</v>
      </c>
      <c r="CW9" s="1109">
        <v>42</v>
      </c>
      <c r="CX9" s="1109">
        <v>42.742412451361865</v>
      </c>
      <c r="CY9" s="1109">
        <v>36.045914396887163</v>
      </c>
      <c r="CZ9" s="1109">
        <v>39.675097276264594</v>
      </c>
      <c r="DA9" s="1109">
        <v>41.039027237354091</v>
      </c>
      <c r="DB9" s="1110">
        <v>39.238988326848244</v>
      </c>
      <c r="DC9" s="1091">
        <v>36.263073929961088</v>
      </c>
      <c r="DD9" s="1091">
        <v>37.671984435797661</v>
      </c>
      <c r="DE9" s="1091">
        <v>39.822178988326847</v>
      </c>
      <c r="DF9" s="1091">
        <v>38.263190661478603</v>
      </c>
      <c r="DG9" s="1091">
        <v>38.557198443579765</v>
      </c>
      <c r="DH9" s="1091">
        <v>37.603543307086618</v>
      </c>
      <c r="DI9" s="1091">
        <v>36.564173228346455</v>
      </c>
      <c r="DJ9" s="1091">
        <v>38.134599156118149</v>
      </c>
      <c r="DK9" s="1091">
        <v>31.075527426160338</v>
      </c>
      <c r="DL9" s="1091">
        <v>43.801687763713083</v>
      </c>
      <c r="DM9" s="1091">
        <v>48.312236286919834</v>
      </c>
      <c r="DN9" s="1092">
        <v>38.430341880341892</v>
      </c>
      <c r="DO9" s="1091">
        <v>35.629457364341086</v>
      </c>
      <c r="DP9" s="1091">
        <v>34.731266149870798</v>
      </c>
      <c r="DQ9" s="1091">
        <v>37.946511627906972</v>
      </c>
      <c r="DR9" s="1091">
        <v>26.97829457364341</v>
      </c>
      <c r="DS9" s="1091">
        <v>28.501808785529718</v>
      </c>
      <c r="DT9" s="1091">
        <v>34.487855297157623</v>
      </c>
      <c r="DU9" s="1091">
        <v>35.096899224806208</v>
      </c>
      <c r="DV9" s="1091">
        <v>33.78268733850129</v>
      </c>
      <c r="DW9" s="1091">
        <v>34.723514211886304</v>
      </c>
      <c r="DX9" s="1091">
        <v>38.966925064599479</v>
      </c>
      <c r="DY9" s="1091">
        <v>34.374160206718344</v>
      </c>
      <c r="DZ9" s="1091">
        <v>37.785788113695091</v>
      </c>
      <c r="EA9" s="1099"/>
      <c r="EB9" s="1111">
        <v>35.094765910957193</v>
      </c>
      <c r="EC9" s="1112">
        <v>40.780301716663764</v>
      </c>
      <c r="ED9" s="1112">
        <v>44.113973458235698</v>
      </c>
      <c r="EE9" s="1112">
        <v>40.749015617395926</v>
      </c>
      <c r="EF9" s="1112">
        <v>36.350375843785287</v>
      </c>
      <c r="EG9" s="1112">
        <v>37.443984283742196</v>
      </c>
      <c r="EH9" s="1112">
        <v>35.558762361529645</v>
      </c>
      <c r="EI9" s="1112">
        <v>36.357337028943043</v>
      </c>
      <c r="EJ9" s="1112">
        <f t="shared" si="0"/>
        <v>39.074845568326488</v>
      </c>
      <c r="EK9" s="1113">
        <v>38.677393471796968</v>
      </c>
      <c r="EL9" s="1112">
        <f t="shared" si="1"/>
        <v>34.41709732988803</v>
      </c>
      <c r="EM9" s="1318">
        <v>33.928832902670116</v>
      </c>
    </row>
    <row r="10" spans="1:143">
      <c r="A10" s="998"/>
      <c r="B10" s="1114" t="s">
        <v>711</v>
      </c>
      <c r="C10" s="1115" t="s">
        <v>712</v>
      </c>
      <c r="D10" s="1098">
        <v>51.811164961407286</v>
      </c>
      <c r="E10" s="1099">
        <v>52.026864543611936</v>
      </c>
      <c r="F10" s="1099">
        <v>52.530619285837496</v>
      </c>
      <c r="G10" s="1099">
        <v>54.155399314945015</v>
      </c>
      <c r="H10" s="1099">
        <v>56.580857618356298</v>
      </c>
      <c r="I10" s="1099">
        <v>59.424972617743698</v>
      </c>
      <c r="J10" s="1100">
        <v>48.649722687768886</v>
      </c>
      <c r="K10" s="1101">
        <v>52.975677074348802</v>
      </c>
      <c r="L10" s="1102">
        <v>57.580213903743328</v>
      </c>
      <c r="M10" s="1102">
        <v>55.092560613386723</v>
      </c>
      <c r="N10" s="1102">
        <v>54.76980728051393</v>
      </c>
      <c r="O10" s="1102">
        <v>53.270705256613923</v>
      </c>
      <c r="P10" s="1102">
        <v>57.348322626695214</v>
      </c>
      <c r="Q10" s="1102">
        <v>59.28326937039725</v>
      </c>
      <c r="R10" s="1102">
        <v>58.152586861918898</v>
      </c>
      <c r="S10" s="1102">
        <v>52.619175147295152</v>
      </c>
      <c r="T10" s="1102">
        <v>57.17124246246351</v>
      </c>
      <c r="U10" s="1102">
        <v>61.326548830565976</v>
      </c>
      <c r="V10" s="1103">
        <v>50.012671518047867</v>
      </c>
      <c r="W10" s="1098">
        <v>54.295644618225282</v>
      </c>
      <c r="X10" s="1099">
        <v>54.330216889359953</v>
      </c>
      <c r="Y10" s="1099">
        <v>54.28632130590276</v>
      </c>
      <c r="Z10" s="1099">
        <v>58.660812294182229</v>
      </c>
      <c r="AA10" s="1099">
        <v>59.997517246271457</v>
      </c>
      <c r="AB10" s="1099">
        <v>62.812900861279111</v>
      </c>
      <c r="AC10" s="1099">
        <v>64.824699852808195</v>
      </c>
      <c r="AD10" s="1099">
        <v>56.225504974374473</v>
      </c>
      <c r="AE10" s="1099">
        <v>59.879054425508556</v>
      </c>
      <c r="AF10" s="1099">
        <v>60.781358066289549</v>
      </c>
      <c r="AG10" s="1099">
        <v>65.432912319238511</v>
      </c>
      <c r="AH10" s="1100">
        <v>52.310853660696878</v>
      </c>
      <c r="AI10" s="1104">
        <v>51.562182998579843</v>
      </c>
      <c r="AJ10" s="1104">
        <v>50.286388140161719</v>
      </c>
      <c r="AK10" s="1104">
        <v>54.441007512151998</v>
      </c>
      <c r="AL10" s="1104">
        <v>50.717808219178075</v>
      </c>
      <c r="AM10" s="1104">
        <v>51.695978789217854</v>
      </c>
      <c r="AN10" s="1104">
        <v>54.458447488584468</v>
      </c>
      <c r="AO10" s="1104">
        <v>58.520547945205472</v>
      </c>
      <c r="AP10" s="1104">
        <v>55.839151568714087</v>
      </c>
      <c r="AQ10" s="1104">
        <v>52.581234027017167</v>
      </c>
      <c r="AR10" s="1104">
        <v>55.246793626117366</v>
      </c>
      <c r="AS10" s="1104">
        <v>61.24497991967872</v>
      </c>
      <c r="AT10" s="1104">
        <v>53.468580609848672</v>
      </c>
      <c r="AU10" s="1098">
        <v>52.557515405123866</v>
      </c>
      <c r="AV10" s="1099">
        <v>60.512241502258135</v>
      </c>
      <c r="AW10" s="1099">
        <v>60.333136528724516</v>
      </c>
      <c r="AX10" s="1099">
        <v>57.442719881744289</v>
      </c>
      <c r="AY10" s="1099">
        <v>59.469994993205056</v>
      </c>
      <c r="AZ10" s="1099">
        <v>62.490761271249099</v>
      </c>
      <c r="BA10" s="1099">
        <v>61.254559759673832</v>
      </c>
      <c r="BB10" s="1099">
        <v>58.246906515985962</v>
      </c>
      <c r="BC10" s="1099">
        <v>57.490761271249092</v>
      </c>
      <c r="BD10" s="1099">
        <v>63.62205850797509</v>
      </c>
      <c r="BE10" s="1099">
        <v>62.488913525498916</v>
      </c>
      <c r="BF10" s="1099">
        <v>56.959444961018512</v>
      </c>
      <c r="BG10" s="1105">
        <v>54.706387239825474</v>
      </c>
      <c r="BH10" s="1105">
        <v>58.190133037694025</v>
      </c>
      <c r="BI10" s="1105">
        <v>58.277304913811577</v>
      </c>
      <c r="BJ10" s="1105">
        <v>55.406504065040664</v>
      </c>
      <c r="BK10" s="1105">
        <v>58.157499463557684</v>
      </c>
      <c r="BL10" s="1105">
        <v>60.966371027346653</v>
      </c>
      <c r="BM10" s="1105">
        <v>61.258136041770975</v>
      </c>
      <c r="BN10" s="1105">
        <v>60.253200772476909</v>
      </c>
      <c r="BO10" s="1105">
        <v>59.148189209164826</v>
      </c>
      <c r="BP10" s="1105">
        <v>60.160217437951481</v>
      </c>
      <c r="BQ10" s="1105">
        <v>67.865853658536608</v>
      </c>
      <c r="BR10" s="1105">
        <v>59.085544667763386</v>
      </c>
      <c r="BS10" s="1106">
        <v>61.973392461197349</v>
      </c>
      <c r="BT10" s="1107">
        <v>63.242602645462206</v>
      </c>
      <c r="BU10" s="1107">
        <v>62.930047922180108</v>
      </c>
      <c r="BV10" s="1107">
        <v>58.013673318551398</v>
      </c>
      <c r="BW10" s="1107">
        <v>63.217013360997321</v>
      </c>
      <c r="BX10" s="1107">
        <v>68.386917960088724</v>
      </c>
      <c r="BY10" s="1107">
        <v>68.267026061995679</v>
      </c>
      <c r="BZ10" s="1107">
        <v>67.55990408345437</v>
      </c>
      <c r="CA10" s="1107">
        <v>63.886778802676822</v>
      </c>
      <c r="CB10" s="1107">
        <v>65.648574379080358</v>
      </c>
      <c r="CC10" s="1107">
        <v>71.387230964008012</v>
      </c>
      <c r="CD10" s="1107">
        <v>51.779181908879259</v>
      </c>
      <c r="CE10" s="1087">
        <v>57.899987747886506</v>
      </c>
      <c r="CF10" s="1088">
        <v>65.177118052864131</v>
      </c>
      <c r="CG10" s="1088">
        <v>70.474156792046628</v>
      </c>
      <c r="CH10" s="1088">
        <v>64.830891662145078</v>
      </c>
      <c r="CI10" s="1088">
        <v>61.780407120228219</v>
      </c>
      <c r="CJ10" s="1088">
        <v>65.165491047205677</v>
      </c>
      <c r="CK10" s="1088">
        <v>65.499798715278359</v>
      </c>
      <c r="CL10" s="1088">
        <v>62.046453013144756</v>
      </c>
      <c r="CM10" s="1088">
        <v>67.120636643154299</v>
      </c>
      <c r="CN10" s="1088">
        <v>67.447884760121099</v>
      </c>
      <c r="CO10" s="1088">
        <v>71.208175076867434</v>
      </c>
      <c r="CP10" s="1088">
        <v>59.46125706684402</v>
      </c>
      <c r="CQ10" s="1108">
        <v>57.779216914917818</v>
      </c>
      <c r="CR10" s="1109">
        <v>65.620882102162653</v>
      </c>
      <c r="CS10" s="1109">
        <v>62.254738942467554</v>
      </c>
      <c r="CT10" s="1109">
        <v>59.618375836498458</v>
      </c>
      <c r="CU10" s="1109">
        <v>64.015542681112478</v>
      </c>
      <c r="CV10" s="1109">
        <v>65.432989690721655</v>
      </c>
      <c r="CW10" s="1109">
        <v>64.099999999999994</v>
      </c>
      <c r="CX10" s="1109">
        <v>60.158568329718001</v>
      </c>
      <c r="CY10" s="1109">
        <v>64.36133405639913</v>
      </c>
      <c r="CZ10" s="1109">
        <v>65.212255965292854</v>
      </c>
      <c r="DA10" s="1109">
        <v>71.118465292841634</v>
      </c>
      <c r="DB10" s="1110">
        <v>60.735124728850316</v>
      </c>
      <c r="DC10" s="1091">
        <v>58.942315618221237</v>
      </c>
      <c r="DD10" s="1091">
        <v>60.347017353579176</v>
      </c>
      <c r="DE10" s="1091">
        <v>63.119577006507598</v>
      </c>
      <c r="DF10" s="1091">
        <v>59.171507592190885</v>
      </c>
      <c r="DG10" s="1091">
        <v>59.058731019522774</v>
      </c>
      <c r="DH10" s="1091">
        <v>60.182470334412081</v>
      </c>
      <c r="DI10" s="1091">
        <v>58.036461704422869</v>
      </c>
      <c r="DJ10" s="1091">
        <v>47.521992580816111</v>
      </c>
      <c r="DK10" s="1091">
        <v>53.265235824059353</v>
      </c>
      <c r="DL10" s="1091">
        <v>56.360095389507151</v>
      </c>
      <c r="DM10" s="1091">
        <v>57.6588110403397</v>
      </c>
      <c r="DN10" s="1092">
        <v>45.468108974358969</v>
      </c>
      <c r="DO10" s="1091">
        <v>45.420284360189576</v>
      </c>
      <c r="DP10" s="1091">
        <v>45.205402843601895</v>
      </c>
      <c r="DQ10" s="1091">
        <v>45.147061611374404</v>
      </c>
      <c r="DR10" s="1091">
        <v>45.603791469194313</v>
      </c>
      <c r="DS10" s="1091">
        <v>43.573554502369667</v>
      </c>
      <c r="DT10" s="1091">
        <v>49.764691943127964</v>
      </c>
      <c r="DU10" s="1091">
        <v>49.340379146919432</v>
      </c>
      <c r="DV10" s="1091">
        <v>46.259478672985772</v>
      </c>
      <c r="DW10" s="1091">
        <v>52.778672985781988</v>
      </c>
      <c r="DX10" s="1091">
        <v>64.00577651515151</v>
      </c>
      <c r="DY10" s="1091">
        <v>50.269668246445498</v>
      </c>
      <c r="DZ10" s="1091">
        <v>43.319383886255935</v>
      </c>
      <c r="EA10" s="1099"/>
      <c r="EB10" s="1111">
        <v>59.331605754273681</v>
      </c>
      <c r="EC10" s="1112">
        <v>55.799793556063072</v>
      </c>
      <c r="ED10" s="1112">
        <v>58.649862631372429</v>
      </c>
      <c r="EE10" s="1112">
        <v>54.174097664543488</v>
      </c>
      <c r="EF10" s="1112">
        <v>59.382898861198555</v>
      </c>
      <c r="EG10" s="1112">
        <v>59.451447316465753</v>
      </c>
      <c r="EH10" s="1112">
        <v>63.85346668164965</v>
      </c>
      <c r="EI10" s="1112">
        <v>64.815406685050419</v>
      </c>
      <c r="EJ10" s="1112">
        <f t="shared" si="0"/>
        <v>63.367291211748551</v>
      </c>
      <c r="EK10" s="1113">
        <v>56.518577080274319</v>
      </c>
      <c r="EL10" s="1112">
        <f t="shared" si="1"/>
        <v>48.390678848616496</v>
      </c>
      <c r="EM10" s="1318">
        <v>48.915690696957739</v>
      </c>
    </row>
    <row r="11" spans="1:143">
      <c r="A11" s="998"/>
      <c r="B11" s="1114" t="s">
        <v>713</v>
      </c>
      <c r="C11" s="1115" t="s">
        <v>714</v>
      </c>
      <c r="D11" s="1098">
        <v>49.947643979057595</v>
      </c>
      <c r="E11" s="1099">
        <v>38.7434554973822</v>
      </c>
      <c r="F11" s="1099">
        <v>36.530991386590102</v>
      </c>
      <c r="G11" s="1099">
        <v>38.551483420593371</v>
      </c>
      <c r="H11" s="1099">
        <v>39.976355345380846</v>
      </c>
      <c r="I11" s="1099">
        <v>44.480874316939889</v>
      </c>
      <c r="J11" s="1100">
        <v>38.355007600067559</v>
      </c>
      <c r="K11" s="1101">
        <v>42.105263157894733</v>
      </c>
      <c r="L11" s="1102">
        <v>38.178780284043448</v>
      </c>
      <c r="M11" s="1102">
        <v>64.817958875683829</v>
      </c>
      <c r="N11" s="1102">
        <v>60.311890838206629</v>
      </c>
      <c r="O11" s="1102">
        <v>56.347858894548196</v>
      </c>
      <c r="P11" s="1102">
        <v>58.888888888888893</v>
      </c>
      <c r="Q11" s="1102">
        <v>58.51726089417091</v>
      </c>
      <c r="R11" s="1102">
        <v>55.140539520845124</v>
      </c>
      <c r="S11" s="1102">
        <v>37.894736842105267</v>
      </c>
      <c r="T11" s="1102">
        <v>45.576306357291081</v>
      </c>
      <c r="U11" s="1102">
        <v>53.021442495126706</v>
      </c>
      <c r="V11" s="1103">
        <v>36.728919071873236</v>
      </c>
      <c r="W11" s="1098">
        <v>48.500282965478213</v>
      </c>
      <c r="X11" s="1099">
        <v>54.910264166162534</v>
      </c>
      <c r="Y11" s="1099">
        <v>46.745897000565932</v>
      </c>
      <c r="Z11" s="1099">
        <v>55.477582846003905</v>
      </c>
      <c r="AA11" s="1099">
        <v>48.160724391624221</v>
      </c>
      <c r="AB11" s="1099">
        <v>50.311890838206629</v>
      </c>
      <c r="AC11" s="1099">
        <v>56.611960007545747</v>
      </c>
      <c r="AD11" s="1099">
        <v>69.892473118279568</v>
      </c>
      <c r="AE11" s="1099">
        <v>55.399610136452239</v>
      </c>
      <c r="AF11" s="1099">
        <v>61.780796076212027</v>
      </c>
      <c r="AG11" s="1099">
        <v>48.323586744639371</v>
      </c>
      <c r="AH11" s="1100">
        <v>45.25561214865121</v>
      </c>
      <c r="AI11" s="1104">
        <v>59.595407326407866</v>
      </c>
      <c r="AJ11" s="1104">
        <v>55.790960451977398</v>
      </c>
      <c r="AK11" s="1104">
        <v>59.095247184577204</v>
      </c>
      <c r="AL11" s="1104">
        <v>48.481262327416175</v>
      </c>
      <c r="AM11" s="1104">
        <v>50.773048291658718</v>
      </c>
      <c r="AN11" s="1104">
        <v>50.473372781065095</v>
      </c>
      <c r="AO11" s="1104">
        <v>50.925749188776479</v>
      </c>
      <c r="AP11" s="1104">
        <v>48.597060507730482</v>
      </c>
      <c r="AQ11" s="1104">
        <v>53.826429980276139</v>
      </c>
      <c r="AR11" s="1104">
        <v>43.538843290704335</v>
      </c>
      <c r="AS11" s="1104">
        <v>43.116370808678504</v>
      </c>
      <c r="AT11" s="1104">
        <v>43.844245084939878</v>
      </c>
      <c r="AU11" s="1098">
        <v>48.158045428516893</v>
      </c>
      <c r="AV11" s="1099">
        <v>57.797971259509708</v>
      </c>
      <c r="AW11" s="1099">
        <v>61.748425271998478</v>
      </c>
      <c r="AX11" s="1099">
        <v>51.952662721893496</v>
      </c>
      <c r="AY11" s="1099">
        <v>56.632945218553154</v>
      </c>
      <c r="AZ11" s="1099">
        <v>55.897435897435898</v>
      </c>
      <c r="BA11" s="1099">
        <v>55.182286695934337</v>
      </c>
      <c r="BB11" s="1099">
        <v>53.330788318381373</v>
      </c>
      <c r="BC11" s="1099">
        <v>57.100591715976336</v>
      </c>
      <c r="BD11" s="1099">
        <v>60.60316854361519</v>
      </c>
      <c r="BE11" s="1099">
        <v>56.469428007889533</v>
      </c>
      <c r="BF11" s="1099">
        <v>47.680855125023861</v>
      </c>
      <c r="BG11" s="1105">
        <v>46.115670929566711</v>
      </c>
      <c r="BH11" s="1105">
        <v>56.445477599323759</v>
      </c>
      <c r="BI11" s="1105">
        <v>53.330788318381373</v>
      </c>
      <c r="BJ11" s="1105">
        <v>43.017751479289942</v>
      </c>
      <c r="BK11" s="1105">
        <v>46.688299293758341</v>
      </c>
      <c r="BL11" s="1105">
        <v>52.011834319526628</v>
      </c>
      <c r="BM11" s="1105">
        <v>52.338232487115867</v>
      </c>
      <c r="BN11" s="1105">
        <v>50.792135903798432</v>
      </c>
      <c r="BO11" s="1105">
        <v>52.544378698224847</v>
      </c>
      <c r="BP11" s="1105">
        <v>59.591525100209964</v>
      </c>
      <c r="BQ11" s="1105">
        <v>58.145956607495066</v>
      </c>
      <c r="BR11" s="1105">
        <v>56.61385760641344</v>
      </c>
      <c r="BS11" s="1106">
        <v>54.800534453139917</v>
      </c>
      <c r="BT11" s="1107">
        <v>51.642521934299126</v>
      </c>
      <c r="BU11" s="1107">
        <v>51.651078450085897</v>
      </c>
      <c r="BV11" s="1107">
        <v>49.881656804733723</v>
      </c>
      <c r="BW11" s="1107">
        <v>61.156709295667113</v>
      </c>
      <c r="BX11" s="1107">
        <v>62.879684418145956</v>
      </c>
      <c r="BY11" s="1107">
        <v>60.221416300820763</v>
      </c>
      <c r="BZ11" s="1107">
        <v>57.339186867722844</v>
      </c>
      <c r="CA11" s="1107">
        <v>61.913214990138066</v>
      </c>
      <c r="CB11" s="1107">
        <v>55.926703569383477</v>
      </c>
      <c r="CC11" s="1107">
        <v>60.019723865877715</v>
      </c>
      <c r="CD11" s="1107">
        <v>45.161290322580641</v>
      </c>
      <c r="CE11" s="1087">
        <v>47.66176751288414</v>
      </c>
      <c r="CF11" s="1088">
        <v>48.922231614539307</v>
      </c>
      <c r="CG11" s="1088">
        <v>51.307501431570913</v>
      </c>
      <c r="CH11" s="1088">
        <v>50.019723865877722</v>
      </c>
      <c r="CI11" s="1088">
        <v>59.286123305974428</v>
      </c>
      <c r="CJ11" s="1088">
        <v>52.583826429980277</v>
      </c>
      <c r="CK11" s="1088">
        <v>50.601259782401222</v>
      </c>
      <c r="CL11" s="1088">
        <v>48.940637526245467</v>
      </c>
      <c r="CM11" s="1088">
        <v>60.19723865877711</v>
      </c>
      <c r="CN11" s="1088">
        <v>55.258637144493228</v>
      </c>
      <c r="CO11" s="1088">
        <v>52.090729783037467</v>
      </c>
      <c r="CP11" s="1088">
        <v>38.32792517656042</v>
      </c>
      <c r="CQ11" s="1108">
        <v>41.057453712540557</v>
      </c>
      <c r="CR11" s="1109">
        <v>44.759087066779372</v>
      </c>
      <c r="CS11" s="1109">
        <v>49.131513647642677</v>
      </c>
      <c r="CT11" s="1109">
        <v>32.209072978303752</v>
      </c>
      <c r="CU11" s="1109">
        <v>43.615193739263205</v>
      </c>
      <c r="CV11" s="1109">
        <v>44.655621301775149</v>
      </c>
      <c r="CW11" s="1109">
        <v>46.2</v>
      </c>
      <c r="CX11" s="1109">
        <v>41.092899408284026</v>
      </c>
      <c r="CY11" s="1109">
        <v>54.03609467455621</v>
      </c>
      <c r="CZ11" s="1109">
        <v>51.606508875739642</v>
      </c>
      <c r="DA11" s="1109">
        <v>54.496508875739657</v>
      </c>
      <c r="DB11" s="1110">
        <v>44.567455621301775</v>
      </c>
      <c r="DC11" s="1091">
        <v>34.585088757396449</v>
      </c>
      <c r="DD11" s="1091">
        <v>34.879881656804734</v>
      </c>
      <c r="DE11" s="1091">
        <v>38.243195266272188</v>
      </c>
      <c r="DF11" s="1091">
        <v>47.592662721893497</v>
      </c>
      <c r="DG11" s="1091">
        <v>46.236686390532547</v>
      </c>
      <c r="DH11" s="1091">
        <v>45.193491124260355</v>
      </c>
      <c r="DI11" s="1091">
        <v>44.090532544378696</v>
      </c>
      <c r="DJ11" s="1091">
        <v>39.001156069364157</v>
      </c>
      <c r="DK11" s="1091">
        <v>43.517919075144512</v>
      </c>
      <c r="DL11" s="1091">
        <v>39.148554913294802</v>
      </c>
      <c r="DM11" s="1091">
        <v>35.291534391534391</v>
      </c>
      <c r="DN11" s="1092">
        <v>38.748677248677247</v>
      </c>
      <c r="DO11" s="1091">
        <v>35.170512820512819</v>
      </c>
      <c r="DP11" s="1091">
        <v>37.164102564102571</v>
      </c>
      <c r="DQ11" s="1091">
        <v>42.197435897435895</v>
      </c>
      <c r="DR11" s="1091">
        <v>28.766666666666666</v>
      </c>
      <c r="DS11" s="1091">
        <v>31.212820512820514</v>
      </c>
      <c r="DT11" s="1091">
        <v>25.902564102564103</v>
      </c>
      <c r="DU11" s="1091">
        <v>28.146153846153844</v>
      </c>
      <c r="DV11" s="1091">
        <v>31.385897435897437</v>
      </c>
      <c r="DW11" s="1091">
        <v>29.061538461538461</v>
      </c>
      <c r="DX11" s="1091">
        <v>42.852564102564102</v>
      </c>
      <c r="DY11" s="1091">
        <v>36.834615384615383</v>
      </c>
      <c r="DZ11" s="1091">
        <v>52.15</v>
      </c>
      <c r="EA11" s="1099"/>
      <c r="EB11" s="1111">
        <v>38.327925174674554</v>
      </c>
      <c r="EC11" s="1112">
        <v>50.708964191300169</v>
      </c>
      <c r="ED11" s="1112">
        <v>53.451251078515952</v>
      </c>
      <c r="EE11" s="1112">
        <v>50.702253969786206</v>
      </c>
      <c r="EF11" s="1112">
        <v>55.1900786252736</v>
      </c>
      <c r="EG11" s="1112">
        <v>52.27851179379104</v>
      </c>
      <c r="EH11" s="1112">
        <v>56.044879878423401</v>
      </c>
      <c r="EI11" s="1112">
        <v>51.258814946907684</v>
      </c>
      <c r="EJ11" s="1112">
        <f t="shared" si="0"/>
        <v>45.618950825160503</v>
      </c>
      <c r="EK11" s="1113">
        <v>40.496822973464198</v>
      </c>
      <c r="EL11" s="1112">
        <f t="shared" si="1"/>
        <v>35.070405982905982</v>
      </c>
      <c r="EM11" s="1318">
        <v>34.980448717948718</v>
      </c>
    </row>
    <row r="12" spans="1:143">
      <c r="A12" s="998"/>
      <c r="B12" s="1114" t="s">
        <v>715</v>
      </c>
      <c r="C12" s="1115" t="s">
        <v>716</v>
      </c>
      <c r="D12" s="1098">
        <v>58.895348837209305</v>
      </c>
      <c r="E12" s="1099">
        <v>55.767066766691677</v>
      </c>
      <c r="F12" s="1099">
        <v>53.563390847711922</v>
      </c>
      <c r="G12" s="1099">
        <v>68.532555879494652</v>
      </c>
      <c r="H12" s="1099">
        <v>62.813881312893812</v>
      </c>
      <c r="I12" s="1099">
        <v>68.182701652089406</v>
      </c>
      <c r="J12" s="1100">
        <v>48.097241701729779</v>
      </c>
      <c r="K12" s="1101">
        <v>57.057057057057058</v>
      </c>
      <c r="L12" s="1102">
        <v>63.974688974688974</v>
      </c>
      <c r="M12" s="1102">
        <v>63.731473408892768</v>
      </c>
      <c r="N12" s="1102">
        <v>63.723723723723722</v>
      </c>
      <c r="O12" s="1102">
        <v>62.268720333236459</v>
      </c>
      <c r="P12" s="1102">
        <v>75.905905905905897</v>
      </c>
      <c r="Q12" s="1102">
        <v>56.908602150537632</v>
      </c>
      <c r="R12" s="1102">
        <v>56.272401433691755</v>
      </c>
      <c r="S12" s="1102">
        <v>58.833333333333336</v>
      </c>
      <c r="T12" s="1102">
        <v>68.521505376344081</v>
      </c>
      <c r="U12" s="1102">
        <v>76.916666666666671</v>
      </c>
      <c r="V12" s="1103">
        <v>53.15412186379929</v>
      </c>
      <c r="W12" s="1098">
        <v>44.121863799283155</v>
      </c>
      <c r="X12" s="1099">
        <v>66.886973180076623</v>
      </c>
      <c r="Y12" s="1099">
        <v>53.48566308243727</v>
      </c>
      <c r="Z12" s="1099">
        <v>56.925925925925924</v>
      </c>
      <c r="AA12" s="1099">
        <v>56.091187601369619</v>
      </c>
      <c r="AB12" s="1099">
        <v>63.510242085661083</v>
      </c>
      <c r="AC12" s="1099">
        <v>65.795638853847535</v>
      </c>
      <c r="AD12" s="1099">
        <v>66.372319336817441</v>
      </c>
      <c r="AE12" s="1099">
        <v>65.865921787709496</v>
      </c>
      <c r="AF12" s="1099">
        <v>63.930437916741752</v>
      </c>
      <c r="AG12" s="1099">
        <v>69.683426443202976</v>
      </c>
      <c r="AH12" s="1100">
        <v>55.054964858533076</v>
      </c>
      <c r="AI12" s="1104">
        <v>41.818996415770613</v>
      </c>
      <c r="AJ12" s="1104">
        <v>46.99404761904762</v>
      </c>
      <c r="AK12" s="1104">
        <v>67.114695340501797</v>
      </c>
      <c r="AL12" s="1104">
        <v>61.805555555555557</v>
      </c>
      <c r="AM12" s="1104">
        <v>54.982078853046588</v>
      </c>
      <c r="AN12" s="1104">
        <v>56.851851851851855</v>
      </c>
      <c r="AO12" s="1104">
        <v>51.486754370156781</v>
      </c>
      <c r="AP12" s="1104">
        <v>63.741160515354068</v>
      </c>
      <c r="AQ12" s="1104">
        <v>57.047047047047052</v>
      </c>
      <c r="AR12" s="1104">
        <v>64.971423035939168</v>
      </c>
      <c r="AS12" s="1104">
        <v>69.769769769769781</v>
      </c>
      <c r="AT12" s="1104">
        <v>45.364719558267943</v>
      </c>
      <c r="AU12" s="1098">
        <v>57.069618842410271</v>
      </c>
      <c r="AV12" s="1099">
        <v>70.850722311396467</v>
      </c>
      <c r="AW12" s="1099">
        <v>61.283073577383107</v>
      </c>
      <c r="AX12" s="1099">
        <v>58.127340823970044</v>
      </c>
      <c r="AY12" s="1099">
        <v>62.740123233055442</v>
      </c>
      <c r="AZ12" s="1099">
        <v>65.842696629213478</v>
      </c>
      <c r="BA12" s="1099">
        <v>61.399057629575928</v>
      </c>
      <c r="BB12" s="1099">
        <v>59.456324755346138</v>
      </c>
      <c r="BC12" s="1099">
        <v>60.254681647940068</v>
      </c>
      <c r="BD12" s="1099">
        <v>66.473359913011947</v>
      </c>
      <c r="BE12" s="1099">
        <v>59.805243445692881</v>
      </c>
      <c r="BF12" s="1099">
        <v>55.955056179775276</v>
      </c>
      <c r="BG12" s="1105">
        <v>48.220369699166362</v>
      </c>
      <c r="BH12" s="1105">
        <v>61.5569823434992</v>
      </c>
      <c r="BI12" s="1105">
        <v>67.060529177238124</v>
      </c>
      <c r="BJ12" s="1105">
        <v>58.224719101123604</v>
      </c>
      <c r="BK12" s="1105">
        <v>53.925335266400864</v>
      </c>
      <c r="BL12" s="1105">
        <v>63.722846441947567</v>
      </c>
      <c r="BM12" s="1105">
        <v>67.46647335991301</v>
      </c>
      <c r="BN12" s="1105">
        <v>62.950344327654939</v>
      </c>
      <c r="BO12" s="1105">
        <v>68.299625468164791</v>
      </c>
      <c r="BP12" s="1105">
        <v>69.989126495106916</v>
      </c>
      <c r="BQ12" s="1105">
        <v>73.131086142322104</v>
      </c>
      <c r="BR12" s="1105">
        <v>51.772381297571577</v>
      </c>
      <c r="BS12" s="1106">
        <v>62.413918086263131</v>
      </c>
      <c r="BT12" s="1107">
        <v>66.826811313444395</v>
      </c>
      <c r="BU12" s="1107">
        <v>71.489670170351573</v>
      </c>
      <c r="BV12" s="1107">
        <v>63.288389513108612</v>
      </c>
      <c r="BW12" s="1107">
        <v>73.251177963030074</v>
      </c>
      <c r="BX12" s="1107">
        <v>78.966292134831463</v>
      </c>
      <c r="BY12" s="1107">
        <v>76.962667633200425</v>
      </c>
      <c r="BZ12" s="1107">
        <v>72.018847408481321</v>
      </c>
      <c r="CA12" s="1107">
        <v>73.138576779026224</v>
      </c>
      <c r="CB12" s="1107">
        <v>72.446538600942361</v>
      </c>
      <c r="CC12" s="1107">
        <v>79.715355805243448</v>
      </c>
      <c r="CD12" s="1107">
        <v>53.432403044581363</v>
      </c>
      <c r="CE12" s="1087">
        <v>57.455599855019926</v>
      </c>
      <c r="CF12" s="1088">
        <v>74.638844301765644</v>
      </c>
      <c r="CG12" s="1088">
        <v>72.026096411743382</v>
      </c>
      <c r="CH12" s="1088">
        <v>66.958801498127343</v>
      </c>
      <c r="CI12" s="1088">
        <v>65.190286335628841</v>
      </c>
      <c r="CJ12" s="1088">
        <v>69.288389513108612</v>
      </c>
      <c r="CK12" s="1088">
        <v>68.909025009061239</v>
      </c>
      <c r="CL12" s="1088">
        <v>61.993475897064144</v>
      </c>
      <c r="CM12" s="1088">
        <v>73.288389513108612</v>
      </c>
      <c r="CN12" s="1088">
        <v>70.801014860456675</v>
      </c>
      <c r="CO12" s="1088">
        <v>73.82022471910112</v>
      </c>
      <c r="CP12" s="1088">
        <v>53.323667995650595</v>
      </c>
      <c r="CQ12" s="1108">
        <v>56.187024284160927</v>
      </c>
      <c r="CR12" s="1109">
        <v>68.892455858747994</v>
      </c>
      <c r="CS12" s="1109">
        <v>66.168901776005796</v>
      </c>
      <c r="CT12" s="1109">
        <v>65.707865168539328</v>
      </c>
      <c r="CU12" s="1109">
        <v>50.170351576658199</v>
      </c>
      <c r="CV12" s="1109">
        <v>63.909662921348314</v>
      </c>
      <c r="CW12" s="1109">
        <v>67.900000000000006</v>
      </c>
      <c r="CX12" s="1109">
        <v>64.292584269662925</v>
      </c>
      <c r="CY12" s="1109">
        <v>71.285842696629217</v>
      </c>
      <c r="CZ12" s="1109">
        <v>69.892584269662919</v>
      </c>
      <c r="DA12" s="1109">
        <v>72.665056179775277</v>
      </c>
      <c r="DB12" s="1110">
        <v>49.6287191011236</v>
      </c>
      <c r="DC12" s="1091">
        <v>56.764337078651685</v>
      </c>
      <c r="DD12" s="1091">
        <v>61.420898876404493</v>
      </c>
      <c r="DE12" s="1091">
        <v>64.961573033707865</v>
      </c>
      <c r="DF12" s="1091">
        <v>50.901820224719103</v>
      </c>
      <c r="DG12" s="1091">
        <v>58.324943820224718</v>
      </c>
      <c r="DH12" s="1091">
        <v>58.59550561797753</v>
      </c>
      <c r="DI12" s="1091">
        <v>55.813033707865173</v>
      </c>
      <c r="DJ12" s="1091">
        <v>45.874115044247787</v>
      </c>
      <c r="DK12" s="1091">
        <v>61.070796460176993</v>
      </c>
      <c r="DL12" s="1091">
        <v>62.678761061946908</v>
      </c>
      <c r="DM12" s="1091">
        <v>72.195132743362834</v>
      </c>
      <c r="DN12" s="1092">
        <v>44.418818380743986</v>
      </c>
      <c r="DO12" s="1091">
        <v>42.630458970792773</v>
      </c>
      <c r="DP12" s="1091">
        <v>45.865924895688458</v>
      </c>
      <c r="DQ12" s="1091">
        <v>46.201529902642562</v>
      </c>
      <c r="DR12" s="1091">
        <v>47.968150208623086</v>
      </c>
      <c r="DS12" s="1091">
        <v>51.304728789986093</v>
      </c>
      <c r="DT12" s="1091">
        <v>49.23143254520167</v>
      </c>
      <c r="DU12" s="1091">
        <v>48.126564673157162</v>
      </c>
      <c r="DV12" s="1091">
        <v>44.809874826147428</v>
      </c>
      <c r="DW12" s="1091">
        <v>41.23310152990264</v>
      </c>
      <c r="DX12" s="1091">
        <v>59.456606397774678</v>
      </c>
      <c r="DY12" s="1091">
        <v>53.093324061196107</v>
      </c>
      <c r="DZ12" s="1091">
        <v>35.074965229485393</v>
      </c>
      <c r="EA12" s="1099"/>
      <c r="EB12" s="1111">
        <v>54.700460828707151</v>
      </c>
      <c r="EC12" s="1112">
        <v>62.983250733126248</v>
      </c>
      <c r="ED12" s="1112">
        <v>60.562961834387139</v>
      </c>
      <c r="EE12" s="1112">
        <v>56.756310580392579</v>
      </c>
      <c r="EF12" s="1112">
        <v>61.544583531269858</v>
      </c>
      <c r="EG12" s="1112">
        <v>62.158534708326918</v>
      </c>
      <c r="EH12" s="1112">
        <v>70.310677227236468</v>
      </c>
      <c r="EI12" s="1112">
        <v>67.208865630290873</v>
      </c>
      <c r="EJ12" s="1112">
        <f t="shared" si="0"/>
        <v>63.891754008526213</v>
      </c>
      <c r="EK12" s="1113">
        <v>57.673013486015982</v>
      </c>
      <c r="EL12" s="1112">
        <f t="shared" si="1"/>
        <v>47.083055169216514</v>
      </c>
      <c r="EM12" s="1318">
        <v>48.272249890089967</v>
      </c>
    </row>
    <row r="13" spans="1:143">
      <c r="A13" s="998"/>
      <c r="B13" s="1114" t="s">
        <v>717</v>
      </c>
      <c r="C13" s="1115" t="s">
        <v>718</v>
      </c>
      <c r="D13" s="1098">
        <v>51.884805501826783</v>
      </c>
      <c r="E13" s="1099">
        <v>52.884805501826797</v>
      </c>
      <c r="F13" s="1099">
        <v>53.884805501826797</v>
      </c>
      <c r="G13" s="1099">
        <v>54.884805501826797</v>
      </c>
      <c r="H13" s="1099">
        <v>55.884805501826797</v>
      </c>
      <c r="I13" s="1099">
        <v>56.884805501826797</v>
      </c>
      <c r="J13" s="1100">
        <v>57.884805501826797</v>
      </c>
      <c r="K13" s="1101">
        <v>46.283224229040137</v>
      </c>
      <c r="L13" s="1102">
        <v>49.504150283966794</v>
      </c>
      <c r="M13" s="1102">
        <v>53.829166338039272</v>
      </c>
      <c r="N13" s="1102">
        <v>51.762428687856541</v>
      </c>
      <c r="O13" s="1102">
        <v>53.200173515261454</v>
      </c>
      <c r="P13" s="1102">
        <v>57.094539527302359</v>
      </c>
      <c r="Q13" s="1102">
        <v>59.419471645219687</v>
      </c>
      <c r="R13" s="1102">
        <v>56.156074946880437</v>
      </c>
      <c r="S13" s="1102">
        <v>60.127744510978033</v>
      </c>
      <c r="T13" s="1102">
        <v>57.483098319490054</v>
      </c>
      <c r="U13" s="1102">
        <v>61.06722521444248</v>
      </c>
      <c r="V13" s="1103">
        <v>43.200695383426705</v>
      </c>
      <c r="W13" s="1098">
        <v>48.541626424570225</v>
      </c>
      <c r="X13" s="1099">
        <v>54.567416890357222</v>
      </c>
      <c r="Y13" s="1099">
        <v>54.923700985126523</v>
      </c>
      <c r="Z13" s="1099">
        <v>56.257485029940099</v>
      </c>
      <c r="AA13" s="1099">
        <v>55.269461077844319</v>
      </c>
      <c r="AB13" s="1099">
        <v>56.504990019960069</v>
      </c>
      <c r="AC13" s="1099">
        <v>59.406992466679554</v>
      </c>
      <c r="AD13" s="1099">
        <v>59.538342669499713</v>
      </c>
      <c r="AE13" s="1099">
        <v>59.403193612774466</v>
      </c>
      <c r="AF13" s="1099">
        <v>58.438578562751864</v>
      </c>
      <c r="AG13" s="1099">
        <v>61.229328551504267</v>
      </c>
      <c r="AH13" s="1100">
        <v>50.036569404881057</v>
      </c>
      <c r="AI13" s="1104">
        <v>47.283230382063564</v>
      </c>
      <c r="AJ13" s="1104">
        <v>51.323219553308064</v>
      </c>
      <c r="AK13" s="1104">
        <v>50.017468265983482</v>
      </c>
      <c r="AL13" s="1104">
        <v>44.320096269554746</v>
      </c>
      <c r="AM13" s="1104">
        <v>48.020965814930456</v>
      </c>
      <c r="AN13" s="1104">
        <v>50.913242009132418</v>
      </c>
      <c r="AO13" s="1104">
        <v>53.142231358911815</v>
      </c>
      <c r="AP13" s="1104">
        <v>53.548000077403856</v>
      </c>
      <c r="AQ13" s="1104">
        <v>54.937012597480496</v>
      </c>
      <c r="AR13" s="1104">
        <v>59.248140428705277</v>
      </c>
      <c r="AS13" s="1104">
        <v>56.824738194032776</v>
      </c>
      <c r="AT13" s="1104">
        <v>46.94724362774155</v>
      </c>
      <c r="AU13" s="1098">
        <v>44.830651613476768</v>
      </c>
      <c r="AV13" s="1099">
        <v>52.640505743581834</v>
      </c>
      <c r="AW13" s="1099">
        <v>51.553714116602535</v>
      </c>
      <c r="AX13" s="1099">
        <v>50.230496453900706</v>
      </c>
      <c r="AY13" s="1099">
        <v>50.38091969800962</v>
      </c>
      <c r="AZ13" s="1099">
        <v>50.471631205673795</v>
      </c>
      <c r="BA13" s="1099">
        <v>53.548387096774199</v>
      </c>
      <c r="BB13" s="1099">
        <v>52.23575840768703</v>
      </c>
      <c r="BC13" s="1099">
        <v>49.955673758865245</v>
      </c>
      <c r="BD13" s="1099">
        <v>55.842484557309533</v>
      </c>
      <c r="BE13" s="1099">
        <v>57.686170212765973</v>
      </c>
      <c r="BF13" s="1099">
        <v>44.951956074124936</v>
      </c>
      <c r="BG13" s="1105">
        <v>44.591626630061768</v>
      </c>
      <c r="BH13" s="1105">
        <v>55.908054711246194</v>
      </c>
      <c r="BI13" s="1105">
        <v>54.143788606726147</v>
      </c>
      <c r="BJ13" s="1105">
        <v>51.551418439716322</v>
      </c>
      <c r="BK13" s="1105">
        <v>52.450240219629372</v>
      </c>
      <c r="BL13" s="1105">
        <v>53.056737588652489</v>
      </c>
      <c r="BM13" s="1105">
        <v>55.796156485930013</v>
      </c>
      <c r="BN13" s="1105">
        <v>56.671242278654766</v>
      </c>
      <c r="BO13" s="1105">
        <v>55.804964539007095</v>
      </c>
      <c r="BP13" s="1105">
        <v>59.077858469853062</v>
      </c>
      <c r="BQ13" s="1105">
        <v>62.40837696335079</v>
      </c>
      <c r="BR13" s="1105">
        <v>47.600067556156056</v>
      </c>
      <c r="BS13" s="1106">
        <v>50.084445195068405</v>
      </c>
      <c r="BT13" s="1107">
        <v>56.387434554973822</v>
      </c>
      <c r="BU13" s="1107">
        <v>63.207228508697852</v>
      </c>
      <c r="BV13" s="1107">
        <v>56.781849912739979</v>
      </c>
      <c r="BW13" s="1107">
        <v>63.058604965377505</v>
      </c>
      <c r="BX13" s="1107">
        <v>64.414965986394591</v>
      </c>
      <c r="BY13" s="1107">
        <v>58.686437210520268</v>
      </c>
      <c r="BZ13" s="1107">
        <v>59.771525834274399</v>
      </c>
      <c r="CA13" s="1107">
        <v>63.025536952477609</v>
      </c>
      <c r="CB13" s="1107">
        <v>63.452316656028529</v>
      </c>
      <c r="CC13" s="1107">
        <v>67.613732453915119</v>
      </c>
      <c r="CD13" s="1107">
        <v>49.706224120718161</v>
      </c>
      <c r="CE13" s="1087">
        <v>52.228277769594612</v>
      </c>
      <c r="CF13" s="1088">
        <v>60.031166195549744</v>
      </c>
      <c r="CG13" s="1088">
        <v>60.727320338456025</v>
      </c>
      <c r="CH13" s="1088">
        <v>59.061390157280577</v>
      </c>
      <c r="CI13" s="1088">
        <v>59.439289046005783</v>
      </c>
      <c r="CJ13" s="1088">
        <v>63.620835447319479</v>
      </c>
      <c r="CK13" s="1088">
        <v>62.617633099294615</v>
      </c>
      <c r="CL13" s="1088">
        <v>58.804060367079991</v>
      </c>
      <c r="CM13" s="1088">
        <v>64.791359842906218</v>
      </c>
      <c r="CN13" s="1088">
        <v>62.156555339129326</v>
      </c>
      <c r="CO13" s="1088">
        <v>63.644248077237762</v>
      </c>
      <c r="CP13" s="1088">
        <v>50.724499976245909</v>
      </c>
      <c r="CQ13" s="1108">
        <v>54.324037563146312</v>
      </c>
      <c r="CR13" s="1109">
        <v>65.49021670523878</v>
      </c>
      <c r="CS13" s="1109">
        <v>60.818214044020515</v>
      </c>
      <c r="CT13" s="1109">
        <v>56.976511744127919</v>
      </c>
      <c r="CU13" s="1109">
        <v>59.67500120907291</v>
      </c>
      <c r="CV13" s="1109">
        <v>56.619490254872566</v>
      </c>
      <c r="CW13" s="1109">
        <v>59</v>
      </c>
      <c r="CX13" s="1109">
        <v>59.10779610194902</v>
      </c>
      <c r="CY13" s="1109">
        <v>64.941279360319839</v>
      </c>
      <c r="CZ13" s="1109">
        <v>59.865067466266865</v>
      </c>
      <c r="DA13" s="1109">
        <v>65.931002994011976</v>
      </c>
      <c r="DB13" s="1110">
        <v>49.061961077844316</v>
      </c>
      <c r="DC13" s="1091">
        <v>51.938028942115764</v>
      </c>
      <c r="DD13" s="1091">
        <v>49.953742514970074</v>
      </c>
      <c r="DE13" s="1091">
        <v>60.502544910179637</v>
      </c>
      <c r="DF13" s="1091">
        <v>54.472609780439129</v>
      </c>
      <c r="DG13" s="1091">
        <v>55.947504990019958</v>
      </c>
      <c r="DH13" s="1091">
        <v>59.030230230230231</v>
      </c>
      <c r="DI13" s="1091">
        <v>57.460610610610601</v>
      </c>
      <c r="DJ13" s="1091">
        <v>54.924895833333331</v>
      </c>
      <c r="DK13" s="1091">
        <v>52.565572916666667</v>
      </c>
      <c r="DL13" s="1091">
        <v>56.840989583333325</v>
      </c>
      <c r="DM13" s="1091">
        <v>57.862663869952804</v>
      </c>
      <c r="DN13" s="1092">
        <v>46.875808133472383</v>
      </c>
      <c r="DO13" s="1091">
        <v>47.58999332888591</v>
      </c>
      <c r="DP13" s="1091">
        <v>52.800733822548366</v>
      </c>
      <c r="DQ13" s="1091">
        <v>54.325150100066708</v>
      </c>
      <c r="DR13" s="1091">
        <v>52.538825883922613</v>
      </c>
      <c r="DS13" s="1091">
        <v>49.350033355570375</v>
      </c>
      <c r="DT13" s="1091">
        <v>54.006470980653766</v>
      </c>
      <c r="DU13" s="1091">
        <v>48.640627084723143</v>
      </c>
      <c r="DV13" s="1091">
        <v>51.531287525016687</v>
      </c>
      <c r="DW13" s="1091">
        <v>53.767444963308876</v>
      </c>
      <c r="DX13" s="1091">
        <v>65.384923282188126</v>
      </c>
      <c r="DY13" s="1091">
        <v>52.375783855903933</v>
      </c>
      <c r="DZ13" s="1091">
        <v>40.527818545697137</v>
      </c>
      <c r="EA13" s="1099"/>
      <c r="EB13" s="1111">
        <v>56.753185146701675</v>
      </c>
      <c r="EC13" s="1112">
        <v>54.113052347034341</v>
      </c>
      <c r="ED13" s="1112">
        <v>56.160755016849485</v>
      </c>
      <c r="EE13" s="1112">
        <v>51.378780012342808</v>
      </c>
      <c r="EF13" s="1112">
        <v>51.189178577498119</v>
      </c>
      <c r="EG13" s="1112">
        <v>54.064677194612088</v>
      </c>
      <c r="EH13" s="1112">
        <v>59.68510109808588</v>
      </c>
      <c r="EI13" s="1112">
        <v>59.78892768189197</v>
      </c>
      <c r="EJ13" s="1112">
        <f t="shared" si="0"/>
        <v>59.31754821007258</v>
      </c>
      <c r="EK13" s="1113">
        <v>54.909727510831885</v>
      </c>
      <c r="EL13" s="1112">
        <f t="shared" si="1"/>
        <v>51.903257727373806</v>
      </c>
      <c r="EM13" s="1318">
        <v>52.420597064709803</v>
      </c>
    </row>
    <row r="14" spans="1:143">
      <c r="A14" s="998"/>
      <c r="B14" s="1114" t="s">
        <v>719</v>
      </c>
      <c r="C14" s="1115" t="s">
        <v>720</v>
      </c>
      <c r="D14" s="1098">
        <v>30.280474649406685</v>
      </c>
      <c r="E14" s="1099">
        <v>26.297108257646933</v>
      </c>
      <c r="F14" s="1099">
        <v>28.062407758802443</v>
      </c>
      <c r="G14" s="1099">
        <v>28.53290183387271</v>
      </c>
      <c r="H14" s="1099">
        <v>26.951092611862641</v>
      </c>
      <c r="I14" s="1099">
        <v>27.84250269687163</v>
      </c>
      <c r="J14" s="1100">
        <v>31.036642655809583</v>
      </c>
      <c r="K14" s="1101">
        <v>31.506420294393994</v>
      </c>
      <c r="L14" s="1102">
        <v>29.53074433656958</v>
      </c>
      <c r="M14" s="1102">
        <v>29.731704770852907</v>
      </c>
      <c r="N14" s="1102">
        <v>27.79935275080906</v>
      </c>
      <c r="O14" s="1102">
        <v>30.890489612694438</v>
      </c>
      <c r="P14" s="1102">
        <v>35.339805825242721</v>
      </c>
      <c r="Q14" s="1102">
        <v>32.400979991833402</v>
      </c>
      <c r="R14" s="1102">
        <v>35.606369946917113</v>
      </c>
      <c r="S14" s="1102">
        <v>32.816455696202532</v>
      </c>
      <c r="T14" s="1102">
        <v>29.951000408329932</v>
      </c>
      <c r="U14" s="1102">
        <v>29.335443037974684</v>
      </c>
      <c r="V14" s="1103">
        <v>29.75704369130257</v>
      </c>
      <c r="W14" s="1098">
        <v>30.971825234789712</v>
      </c>
      <c r="X14" s="1099">
        <v>35.104757747708426</v>
      </c>
      <c r="Y14" s="1099">
        <v>33.534095549203755</v>
      </c>
      <c r="Z14" s="1099">
        <v>30.221518987341771</v>
      </c>
      <c r="AA14" s="1099">
        <v>28.031849734585553</v>
      </c>
      <c r="AB14" s="1099">
        <v>32.953586497890299</v>
      </c>
      <c r="AC14" s="1099">
        <v>35.443037974683541</v>
      </c>
      <c r="AD14" s="1099">
        <v>33.319722335647207</v>
      </c>
      <c r="AE14" s="1099">
        <v>31.434599156118143</v>
      </c>
      <c r="AF14" s="1099">
        <v>31.778276847692936</v>
      </c>
      <c r="AG14" s="1099">
        <v>33.649789029535867</v>
      </c>
      <c r="AH14" s="1100">
        <v>30.982033483054305</v>
      </c>
      <c r="AI14" s="1104">
        <v>30.053082890975908</v>
      </c>
      <c r="AJ14" s="1104">
        <v>32.764466546112118</v>
      </c>
      <c r="AK14" s="1104">
        <v>31.782788957427442</v>
      </c>
      <c r="AL14" s="1104">
        <v>31.03448275862069</v>
      </c>
      <c r="AM14" s="1104">
        <v>31.337850136515318</v>
      </c>
      <c r="AN14" s="1104">
        <v>32.298850574712645</v>
      </c>
      <c r="AO14" s="1104">
        <v>29.638992820305393</v>
      </c>
      <c r="AP14" s="1104">
        <v>22.732328850237636</v>
      </c>
      <c r="AQ14" s="1104">
        <v>20.909090909090907</v>
      </c>
      <c r="AR14" s="1104">
        <v>22.54019617757104</v>
      </c>
      <c r="AS14" s="1104">
        <v>21.337513061650988</v>
      </c>
      <c r="AT14" s="1104">
        <v>20.234604105571851</v>
      </c>
      <c r="AU14" s="1098">
        <v>21.468298109010011</v>
      </c>
      <c r="AV14" s="1099">
        <v>25.794894760412003</v>
      </c>
      <c r="AW14" s="1099">
        <v>24.087369804833653</v>
      </c>
      <c r="AX14" s="1099">
        <v>19.623824451410659</v>
      </c>
      <c r="AY14" s="1099">
        <v>18.414399838204066</v>
      </c>
      <c r="AZ14" s="1099">
        <v>20.595611285266457</v>
      </c>
      <c r="BA14" s="1099">
        <v>19.971685711396503</v>
      </c>
      <c r="BB14" s="1099">
        <v>21.478410354939832</v>
      </c>
      <c r="BC14" s="1099">
        <v>21.410658307210031</v>
      </c>
      <c r="BD14" s="1099">
        <v>22.661543128728891</v>
      </c>
      <c r="BE14" s="1099">
        <v>21.995820271682341</v>
      </c>
      <c r="BF14" s="1099">
        <v>23.389624835676003</v>
      </c>
      <c r="BG14" s="1105">
        <v>21.893012438062492</v>
      </c>
      <c r="BH14" s="1105">
        <v>23.936408419167048</v>
      </c>
      <c r="BI14" s="1105">
        <v>22.085145110729094</v>
      </c>
      <c r="BJ14" s="1105">
        <v>26.311389759665619</v>
      </c>
      <c r="BK14" s="1105">
        <v>25.715441399534839</v>
      </c>
      <c r="BL14" s="1105">
        <v>25.256008359456633</v>
      </c>
      <c r="BM14" s="1105">
        <v>24.643543330973809</v>
      </c>
      <c r="BN14" s="1105">
        <v>23.369400343816363</v>
      </c>
      <c r="BO14" s="1105">
        <v>25.360501567398121</v>
      </c>
      <c r="BP14" s="1105">
        <v>24.653655576903631</v>
      </c>
      <c r="BQ14" s="1105">
        <v>25.611285266457678</v>
      </c>
      <c r="BR14" s="1105">
        <v>23.146930933360299</v>
      </c>
      <c r="BS14" s="1106">
        <v>22.135706340378196</v>
      </c>
      <c r="BT14" s="1107">
        <v>23.18668252080856</v>
      </c>
      <c r="BU14" s="1107">
        <v>21.427849125290727</v>
      </c>
      <c r="BV14" s="1107">
        <v>20.292580982236156</v>
      </c>
      <c r="BW14" s="1107">
        <v>20.487410253817373</v>
      </c>
      <c r="BX14" s="1107">
        <v>20.543364681295717</v>
      </c>
      <c r="BY14" s="1107">
        <v>21.55003607131815</v>
      </c>
      <c r="BZ14" s="1107">
        <v>21.024425435432338</v>
      </c>
      <c r="CA14" s="1107">
        <v>22.492012779552716</v>
      </c>
      <c r="CB14" s="1107">
        <v>21.653096980315368</v>
      </c>
      <c r="CC14" s="1107">
        <v>21.95953141640042</v>
      </c>
      <c r="CD14" s="1107">
        <v>19.643409254869624</v>
      </c>
      <c r="CE14" s="1087">
        <v>20.612181799443473</v>
      </c>
      <c r="CF14" s="1088">
        <v>23.607941579187585</v>
      </c>
      <c r="CG14" s="1088">
        <v>21.982891889106462</v>
      </c>
      <c r="CH14" s="1088">
        <v>21.277955271565492</v>
      </c>
      <c r="CI14" s="1088">
        <v>20.138101618056272</v>
      </c>
      <c r="CJ14" s="1088">
        <v>20.681576144834928</v>
      </c>
      <c r="CK14" s="1088">
        <v>21.55003607131815</v>
      </c>
      <c r="CL14" s="1088">
        <v>24.054416159950538</v>
      </c>
      <c r="CM14" s="1088">
        <v>25.143769968051117</v>
      </c>
      <c r="CN14" s="1088">
        <v>24.404823250541067</v>
      </c>
      <c r="CO14" s="1088">
        <v>22.417465388711395</v>
      </c>
      <c r="CP14" s="1088">
        <v>22.137483252602287</v>
      </c>
      <c r="CQ14" s="1108">
        <v>21.498505616819536</v>
      </c>
      <c r="CR14" s="1109">
        <v>24.452304883614786</v>
      </c>
      <c r="CS14" s="1109">
        <v>23.291765433371118</v>
      </c>
      <c r="CT14" s="1109">
        <v>23.184238551650694</v>
      </c>
      <c r="CU14" s="1109">
        <v>21.776770071112029</v>
      </c>
      <c r="CV14" s="1109">
        <v>21.264536741214059</v>
      </c>
      <c r="CW14" s="1109">
        <v>24</v>
      </c>
      <c r="CX14" s="1109">
        <v>22.08817891373802</v>
      </c>
      <c r="CY14" s="1109">
        <v>22.539936102236421</v>
      </c>
      <c r="CZ14" s="1109">
        <v>21.314376996805112</v>
      </c>
      <c r="DA14" s="1109">
        <v>25.880255591054315</v>
      </c>
      <c r="DB14" s="1110">
        <v>23.435910543130994</v>
      </c>
      <c r="DC14" s="1091">
        <v>22.561182108626195</v>
      </c>
      <c r="DD14" s="1091">
        <v>24.531948881789141</v>
      </c>
      <c r="DE14" s="1091">
        <v>26.742172523961663</v>
      </c>
      <c r="DF14" s="1091">
        <v>26.516421725239621</v>
      </c>
      <c r="DG14" s="1091">
        <v>30.426198083067089</v>
      </c>
      <c r="DH14" s="1091">
        <v>26.832907348242813</v>
      </c>
      <c r="DI14" s="1091">
        <v>37.455591054313096</v>
      </c>
      <c r="DJ14" s="1091">
        <v>35.311188811188813</v>
      </c>
      <c r="DK14" s="1091">
        <v>35.083216783216784</v>
      </c>
      <c r="DL14" s="1091">
        <v>30.251748251748253</v>
      </c>
      <c r="DM14" s="1091">
        <v>32.209574468085108</v>
      </c>
      <c r="DN14" s="1092">
        <v>37.46678321678322</v>
      </c>
      <c r="DO14" s="1091">
        <v>45.287719298245612</v>
      </c>
      <c r="DP14" s="1091">
        <v>42.436842105263153</v>
      </c>
      <c r="DQ14" s="1091">
        <v>41.710526315789473</v>
      </c>
      <c r="DR14" s="1091">
        <v>39.049122807017547</v>
      </c>
      <c r="DS14" s="1091">
        <v>40.870175438596497</v>
      </c>
      <c r="DT14" s="1091">
        <v>41.294736842105266</v>
      </c>
      <c r="DU14" s="1091">
        <v>38.864912280701759</v>
      </c>
      <c r="DV14" s="1091">
        <v>42.229824561403511</v>
      </c>
      <c r="DW14" s="1091">
        <v>45.2</v>
      </c>
      <c r="DX14" s="1091">
        <v>44.568421052631578</v>
      </c>
      <c r="DY14" s="1091">
        <v>44.515789473684208</v>
      </c>
      <c r="DZ14" s="1091">
        <v>44.814035087719297</v>
      </c>
      <c r="EA14" s="1099"/>
      <c r="EB14" s="1111">
        <v>45.771046420209053</v>
      </c>
      <c r="EC14" s="1112">
        <v>31.239644788863252</v>
      </c>
      <c r="ED14" s="1112">
        <v>32.272428581310088</v>
      </c>
      <c r="EE14" s="1112">
        <v>27.179204871922778</v>
      </c>
      <c r="EF14" s="1112">
        <v>21.716837720616645</v>
      </c>
      <c r="EG14" s="1112">
        <v>24.320865719070735</v>
      </c>
      <c r="EH14" s="1112">
        <v>21.356679636835295</v>
      </c>
      <c r="EI14" s="1112">
        <v>22.323077596393723</v>
      </c>
      <c r="EJ14" s="1112">
        <f t="shared" si="0"/>
        <v>22.893898287062257</v>
      </c>
      <c r="EK14" s="1113">
        <v>30.364966725457744</v>
      </c>
      <c r="EL14" s="1112">
        <f t="shared" si="1"/>
        <v>42.570175438596493</v>
      </c>
      <c r="EM14" s="1318">
        <v>42.923099415204682</v>
      </c>
    </row>
    <row r="15" spans="1:143">
      <c r="A15" s="998"/>
      <c r="B15" s="1114"/>
      <c r="C15" s="1115"/>
      <c r="D15" s="1098"/>
      <c r="E15" s="1099"/>
      <c r="F15" s="1099"/>
      <c r="G15" s="1099"/>
      <c r="H15" s="1099"/>
      <c r="I15" s="1099"/>
      <c r="J15" s="1100"/>
      <c r="K15" s="1101"/>
      <c r="L15" s="1102"/>
      <c r="M15" s="1102"/>
      <c r="N15" s="1102"/>
      <c r="O15" s="1102"/>
      <c r="P15" s="1102"/>
      <c r="Q15" s="1102"/>
      <c r="R15" s="1102"/>
      <c r="S15" s="1102"/>
      <c r="T15" s="1102"/>
      <c r="U15" s="1102"/>
      <c r="V15" s="1103"/>
      <c r="W15" s="1098"/>
      <c r="X15" s="1099"/>
      <c r="Y15" s="1099"/>
      <c r="Z15" s="1099"/>
      <c r="AA15" s="1099"/>
      <c r="AB15" s="1099"/>
      <c r="AC15" s="1099"/>
      <c r="AD15" s="1099"/>
      <c r="AE15" s="1099"/>
      <c r="AF15" s="1099"/>
      <c r="AG15" s="1099"/>
      <c r="AH15" s="1100"/>
      <c r="AI15" s="1104"/>
      <c r="AJ15" s="1104"/>
      <c r="AK15" s="1104"/>
      <c r="AL15" s="1104"/>
      <c r="AM15" s="1104"/>
      <c r="AN15" s="1104"/>
      <c r="AO15" s="1104"/>
      <c r="AP15" s="1104"/>
      <c r="AQ15" s="1104"/>
      <c r="AR15" s="1104"/>
      <c r="AS15" s="1104"/>
      <c r="AT15" s="1104"/>
      <c r="AU15" s="1098"/>
      <c r="AV15" s="1099"/>
      <c r="AW15" s="1099"/>
      <c r="AX15" s="1099"/>
      <c r="AY15" s="1099"/>
      <c r="AZ15" s="1099"/>
      <c r="BA15" s="1099"/>
      <c r="BB15" s="1099"/>
      <c r="BC15" s="1099"/>
      <c r="BD15" s="1099"/>
      <c r="BE15" s="1099"/>
      <c r="BF15" s="1099"/>
      <c r="BG15" s="1105"/>
      <c r="BH15" s="1105"/>
      <c r="BI15" s="1105"/>
      <c r="BJ15" s="1105"/>
      <c r="BK15" s="1105"/>
      <c r="BL15" s="1105"/>
      <c r="BM15" s="1105"/>
      <c r="BN15" s="1105"/>
      <c r="BO15" s="1105"/>
      <c r="BP15" s="1105"/>
      <c r="BQ15" s="1105"/>
      <c r="BR15" s="1105"/>
      <c r="BS15" s="1106"/>
      <c r="BT15" s="1107"/>
      <c r="BU15" s="1107"/>
      <c r="BV15" s="1107"/>
      <c r="BW15" s="1107"/>
      <c r="BX15" s="1107"/>
      <c r="BY15" s="1107"/>
      <c r="BZ15" s="1107"/>
      <c r="CA15" s="1107"/>
      <c r="CB15" s="1107"/>
      <c r="CC15" s="1107"/>
      <c r="CD15" s="1107"/>
      <c r="CE15" s="1087"/>
      <c r="CF15" s="1088"/>
      <c r="CG15" s="1088"/>
      <c r="CH15" s="1088"/>
      <c r="CI15" s="1088"/>
      <c r="CJ15" s="1088"/>
      <c r="CK15" s="1088"/>
      <c r="CL15" s="1088"/>
      <c r="CM15" s="1088"/>
      <c r="CN15" s="1088"/>
      <c r="CO15" s="1088"/>
      <c r="CP15" s="1088"/>
      <c r="CQ15" s="1108"/>
      <c r="CR15" s="1109"/>
      <c r="CS15" s="1109"/>
      <c r="CT15" s="1109"/>
      <c r="CU15" s="1109"/>
      <c r="CV15" s="1109"/>
      <c r="CW15" s="1109"/>
      <c r="CX15" s="1109"/>
      <c r="CY15" s="1109"/>
      <c r="CZ15" s="1109"/>
      <c r="DA15" s="1109"/>
      <c r="DB15" s="1110"/>
      <c r="DC15" s="1091"/>
      <c r="DD15" s="1091"/>
      <c r="DE15" s="1091"/>
      <c r="DF15" s="1091"/>
      <c r="DG15" s="1091"/>
      <c r="DH15" s="1091"/>
      <c r="DI15" s="1091"/>
      <c r="DJ15" s="1091"/>
      <c r="DK15" s="1091"/>
      <c r="DL15" s="1091"/>
      <c r="DM15" s="1091"/>
      <c r="DN15" s="1092"/>
      <c r="DO15" s="1091"/>
      <c r="DP15" s="1091"/>
      <c r="DQ15" s="1091"/>
      <c r="DR15" s="1091"/>
      <c r="DS15" s="1091"/>
      <c r="DT15" s="1091"/>
      <c r="DU15" s="1091"/>
      <c r="DV15" s="1091"/>
      <c r="DW15" s="1091"/>
      <c r="DX15" s="1091"/>
      <c r="DY15" s="1091"/>
      <c r="DZ15" s="1091"/>
      <c r="EA15" s="1099"/>
      <c r="EB15" s="1111"/>
      <c r="EC15" s="1112"/>
      <c r="ED15" s="1112"/>
      <c r="EE15" s="1112"/>
      <c r="EF15" s="1112"/>
      <c r="EG15" s="1112"/>
      <c r="EH15" s="1112"/>
      <c r="EI15" s="1112"/>
      <c r="EJ15" s="1112"/>
      <c r="EK15" s="1113"/>
      <c r="EL15" s="1112"/>
      <c r="EM15" s="1318"/>
    </row>
    <row r="16" spans="1:143">
      <c r="A16" s="998"/>
      <c r="B16" s="1014" t="s">
        <v>763</v>
      </c>
      <c r="C16" s="1115"/>
      <c r="D16" s="1098"/>
      <c r="E16" s="1099"/>
      <c r="F16" s="1099"/>
      <c r="G16" s="1099"/>
      <c r="H16" s="1099"/>
      <c r="I16" s="1099"/>
      <c r="J16" s="1100"/>
      <c r="K16" s="1101"/>
      <c r="L16" s="1102"/>
      <c r="M16" s="1102"/>
      <c r="N16" s="1102"/>
      <c r="O16" s="1102"/>
      <c r="P16" s="1102"/>
      <c r="Q16" s="1102"/>
      <c r="R16" s="1102"/>
      <c r="S16" s="1102"/>
      <c r="T16" s="1102"/>
      <c r="U16" s="1102"/>
      <c r="V16" s="1103"/>
      <c r="W16" s="1098"/>
      <c r="X16" s="1099"/>
      <c r="Y16" s="1099"/>
      <c r="Z16" s="1099"/>
      <c r="AA16" s="1099"/>
      <c r="AB16" s="1099"/>
      <c r="AC16" s="1099"/>
      <c r="AD16" s="1099"/>
      <c r="AE16" s="1099"/>
      <c r="AF16" s="1099"/>
      <c r="AG16" s="1099"/>
      <c r="AH16" s="1100"/>
      <c r="AI16" s="1104"/>
      <c r="AJ16" s="1104"/>
      <c r="AK16" s="1104"/>
      <c r="AL16" s="1104"/>
      <c r="AM16" s="1104"/>
      <c r="AN16" s="1104"/>
      <c r="AO16" s="1104"/>
      <c r="AP16" s="1104"/>
      <c r="AQ16" s="1104"/>
      <c r="AR16" s="1104"/>
      <c r="AS16" s="1104"/>
      <c r="AT16" s="1104"/>
      <c r="AU16" s="1098"/>
      <c r="AV16" s="1099"/>
      <c r="AW16" s="1099"/>
      <c r="AX16" s="1099"/>
      <c r="AY16" s="1099"/>
      <c r="AZ16" s="1099"/>
      <c r="BA16" s="1099"/>
      <c r="BB16" s="1099"/>
      <c r="BC16" s="1099"/>
      <c r="BD16" s="1099"/>
      <c r="BE16" s="1099"/>
      <c r="BF16" s="1099"/>
      <c r="BG16" s="1105"/>
      <c r="BH16" s="1105"/>
      <c r="BI16" s="1105"/>
      <c r="BJ16" s="1105"/>
      <c r="BK16" s="1105"/>
      <c r="BL16" s="1105"/>
      <c r="BM16" s="1105"/>
      <c r="BN16" s="1105"/>
      <c r="BO16" s="1105"/>
      <c r="BP16" s="1105"/>
      <c r="BQ16" s="1105"/>
      <c r="BR16" s="1105"/>
      <c r="BS16" s="1106"/>
      <c r="BT16" s="1107"/>
      <c r="BU16" s="1107"/>
      <c r="BV16" s="1107"/>
      <c r="BW16" s="1107"/>
      <c r="BX16" s="1107"/>
      <c r="BY16" s="1107"/>
      <c r="BZ16" s="1107"/>
      <c r="CA16" s="1107"/>
      <c r="CB16" s="1107"/>
      <c r="CC16" s="1107"/>
      <c r="CD16" s="1107"/>
      <c r="CE16" s="1087"/>
      <c r="CF16" s="1088"/>
      <c r="CG16" s="1088"/>
      <c r="CH16" s="1088"/>
      <c r="CI16" s="1088"/>
      <c r="CJ16" s="1088"/>
      <c r="CK16" s="1088"/>
      <c r="CL16" s="1088"/>
      <c r="CM16" s="1088"/>
      <c r="CN16" s="1088"/>
      <c r="CO16" s="1088"/>
      <c r="CP16" s="1088"/>
      <c r="CQ16" s="1108"/>
      <c r="CR16" s="1109"/>
      <c r="CS16" s="1109"/>
      <c r="CT16" s="1109"/>
      <c r="CU16" s="1109"/>
      <c r="CV16" s="1109"/>
      <c r="CW16" s="1109"/>
      <c r="CX16" s="1109"/>
      <c r="CY16" s="1109"/>
      <c r="CZ16" s="1109"/>
      <c r="DA16" s="1109"/>
      <c r="DB16" s="1110"/>
      <c r="DC16" s="1091"/>
      <c r="DD16" s="1091"/>
      <c r="DE16" s="1091"/>
      <c r="DF16" s="1091"/>
      <c r="DG16" s="1091"/>
      <c r="DH16" s="1091"/>
      <c r="DI16" s="1091"/>
      <c r="DJ16" s="1091"/>
      <c r="DK16" s="1091"/>
      <c r="DL16" s="1091"/>
      <c r="DM16" s="1091"/>
      <c r="DN16" s="1092"/>
      <c r="DO16" s="1091"/>
      <c r="DP16" s="1091"/>
      <c r="DQ16" s="1091"/>
      <c r="DR16" s="1091"/>
      <c r="DS16" s="1091"/>
      <c r="DT16" s="1091"/>
      <c r="DU16" s="1091"/>
      <c r="DV16" s="1091"/>
      <c r="DW16" s="1091"/>
      <c r="DX16" s="1091"/>
      <c r="DY16" s="1091"/>
      <c r="DZ16" s="1091"/>
      <c r="EA16" s="1099"/>
      <c r="EB16" s="1111"/>
      <c r="EC16" s="1112"/>
      <c r="ED16" s="1112"/>
      <c r="EE16" s="1112"/>
      <c r="EF16" s="1112"/>
      <c r="EG16" s="1112"/>
      <c r="EH16" s="1112"/>
      <c r="EI16" s="1112"/>
      <c r="EJ16" s="1112"/>
      <c r="EK16" s="1113"/>
      <c r="EL16" s="1112"/>
      <c r="EM16" s="1318"/>
    </row>
    <row r="17" spans="1:143">
      <c r="A17" s="998"/>
      <c r="B17" s="1096" t="s">
        <v>162</v>
      </c>
      <c r="C17" s="1116"/>
      <c r="D17" s="1098">
        <v>66.837820914214149</v>
      </c>
      <c r="E17" s="1099">
        <v>72.981707317073173</v>
      </c>
      <c r="F17" s="1099">
        <v>68.671497584541058</v>
      </c>
      <c r="G17" s="1099">
        <v>71.515693285657534</v>
      </c>
      <c r="H17" s="1099">
        <v>72.09005778043435</v>
      </c>
      <c r="I17" s="1099">
        <v>75.224148236700543</v>
      </c>
      <c r="J17" s="1100">
        <v>56.356778797145772</v>
      </c>
      <c r="K17" s="1101">
        <v>64.236911686938129</v>
      </c>
      <c r="L17" s="1102">
        <v>70.479148181011524</v>
      </c>
      <c r="M17" s="1102">
        <v>73.89701462632739</v>
      </c>
      <c r="N17" s="1102">
        <v>69.633540372670808</v>
      </c>
      <c r="O17" s="1102">
        <v>67.727910238429175</v>
      </c>
      <c r="P17" s="1102">
        <v>79.476190476190482</v>
      </c>
      <c r="Q17" s="1102">
        <v>73.65397306005201</v>
      </c>
      <c r="R17" s="1102">
        <v>70.488204140587371</v>
      </c>
      <c r="S17" s="1102">
        <v>73.926368159203975</v>
      </c>
      <c r="T17" s="1102">
        <v>74.561386615310553</v>
      </c>
      <c r="U17" s="1102">
        <v>77.562189054726375</v>
      </c>
      <c r="V17" s="1103">
        <v>56.946642320957608</v>
      </c>
      <c r="W17" s="1098">
        <v>62.385879488740116</v>
      </c>
      <c r="X17" s="1099">
        <v>71.988576264015236</v>
      </c>
      <c r="Y17" s="1099">
        <v>68.408866020186039</v>
      </c>
      <c r="Z17" s="1099">
        <v>71.7280163599182</v>
      </c>
      <c r="AA17" s="1099">
        <v>71.994134897360709</v>
      </c>
      <c r="AB17" s="1099">
        <v>75.280507780507776</v>
      </c>
      <c r="AC17" s="1099">
        <v>76.381073155266705</v>
      </c>
      <c r="AD17" s="1099">
        <v>71.647380518348257</v>
      </c>
      <c r="AE17" s="1099">
        <v>74.780917280917279</v>
      </c>
      <c r="AF17" s="1099">
        <v>75.416105254814937</v>
      </c>
      <c r="AG17" s="1099">
        <v>78.599508599508596</v>
      </c>
      <c r="AH17" s="1100">
        <v>59.742807323452482</v>
      </c>
      <c r="AI17" s="1104">
        <v>53.881581441188729</v>
      </c>
      <c r="AJ17" s="1104">
        <v>59.046080241732405</v>
      </c>
      <c r="AK17" s="1104">
        <v>66.724627253467645</v>
      </c>
      <c r="AL17" s="1104">
        <v>56.726559273027668</v>
      </c>
      <c r="AM17" s="1104">
        <v>58.026541951473</v>
      </c>
      <c r="AN17" s="1104">
        <v>62.232548533663781</v>
      </c>
      <c r="AO17" s="1104">
        <v>64.141919474905947</v>
      </c>
      <c r="AP17" s="1104">
        <v>67.869992072687353</v>
      </c>
      <c r="AQ17" s="1104">
        <v>64.950640621718122</v>
      </c>
      <c r="AR17" s="1104">
        <v>72.697522206638624</v>
      </c>
      <c r="AS17" s="1104">
        <v>74.553665196387314</v>
      </c>
      <c r="AT17" s="1104">
        <v>54.354940341890767</v>
      </c>
      <c r="AU17" s="1098">
        <v>58.314897136358937</v>
      </c>
      <c r="AV17" s="1099">
        <v>70.028189506228969</v>
      </c>
      <c r="AW17" s="1099">
        <v>68.85895566826143</v>
      </c>
      <c r="AX17" s="1099">
        <v>63.800127307447497</v>
      </c>
      <c r="AY17" s="1099">
        <v>67.711135294963142</v>
      </c>
      <c r="AZ17" s="1099">
        <v>67.884574580946321</v>
      </c>
      <c r="BA17" s="1099">
        <v>67.616681382312478</v>
      </c>
      <c r="BB17" s="1099">
        <v>66.87337015667029</v>
      </c>
      <c r="BC17" s="1099">
        <v>64.347549331635889</v>
      </c>
      <c r="BD17" s="1099">
        <v>73.536477690396495</v>
      </c>
      <c r="BE17" s="1099">
        <v>73.341820496499039</v>
      </c>
      <c r="BF17" s="1099">
        <v>60.33757007042977</v>
      </c>
      <c r="BG17" s="1105">
        <v>57.20621753146753</v>
      </c>
      <c r="BH17" s="1105">
        <v>70.714740383741031</v>
      </c>
      <c r="BI17" s="1105">
        <v>71.604279172912243</v>
      </c>
      <c r="BJ17" s="1105">
        <v>64.84192658603861</v>
      </c>
      <c r="BK17" s="1105">
        <v>68.477033325804413</v>
      </c>
      <c r="BL17" s="1105">
        <v>70.176108635688522</v>
      </c>
      <c r="BM17" s="1105">
        <v>70.086856532720063</v>
      </c>
      <c r="BN17" s="1105">
        <v>71.08478265333359</v>
      </c>
      <c r="BO17" s="1105">
        <v>72.679821769573522</v>
      </c>
      <c r="BP17" s="1105">
        <v>72.996447711545969</v>
      </c>
      <c r="BQ17" s="1105">
        <v>82.005092297899424</v>
      </c>
      <c r="BR17" s="1105">
        <v>61.070614566436006</v>
      </c>
      <c r="BS17" s="1106">
        <v>68.9513562349849</v>
      </c>
      <c r="BT17" s="1107">
        <v>72.378673807590147</v>
      </c>
      <c r="BU17" s="1107">
        <v>77.877250980472681</v>
      </c>
      <c r="BV17" s="1107">
        <v>67.98217695735201</v>
      </c>
      <c r="BW17" s="1107">
        <v>78.131865875444035</v>
      </c>
      <c r="BX17" s="1107">
        <v>80.292000822537517</v>
      </c>
      <c r="BY17" s="1107">
        <v>74.957712284332629</v>
      </c>
      <c r="BZ17" s="1107">
        <v>76.840261885335607</v>
      </c>
      <c r="CA17" s="1107">
        <v>76.00041126876414</v>
      </c>
      <c r="CB17" s="1107">
        <v>79.490955403872547</v>
      </c>
      <c r="CC17" s="1107">
        <v>85.827678387826438</v>
      </c>
      <c r="CD17" s="1107">
        <v>58.283417245427948</v>
      </c>
      <c r="CE17" s="1087">
        <v>64.504188971363746</v>
      </c>
      <c r="CF17" s="1088">
        <v>79.534238124614433</v>
      </c>
      <c r="CG17" s="1088">
        <v>80.095918489184299</v>
      </c>
      <c r="CH17" s="1088">
        <v>74.861196792103641</v>
      </c>
      <c r="CI17" s="1088">
        <v>71.329923782611289</v>
      </c>
      <c r="CJ17" s="1088">
        <v>75.899650421550476</v>
      </c>
      <c r="CK17" s="1088">
        <v>74.261208732164519</v>
      </c>
      <c r="CL17" s="1088">
        <v>64.583789377325814</v>
      </c>
      <c r="CM17" s="1088">
        <v>76.216327369936252</v>
      </c>
      <c r="CN17" s="1088">
        <v>74.382599351256687</v>
      </c>
      <c r="CO17" s="1088">
        <v>77.56940160394818</v>
      </c>
      <c r="CP17" s="1088">
        <v>63.757935165469334</v>
      </c>
      <c r="CQ17" s="1108">
        <v>63.479333744602087</v>
      </c>
      <c r="CR17" s="1109">
        <v>80.314179959460645</v>
      </c>
      <c r="CS17" s="1109">
        <v>73.383614256432693</v>
      </c>
      <c r="CT17" s="1109">
        <v>71.867160189183636</v>
      </c>
      <c r="CU17" s="1109">
        <v>71.21450319396628</v>
      </c>
      <c r="CV17" s="1109">
        <v>70.879333744602093</v>
      </c>
      <c r="CW17" s="1109">
        <v>73.7</v>
      </c>
      <c r="CX17" s="1109">
        <v>67.403269586674895</v>
      </c>
      <c r="CY17" s="1109">
        <v>79.765638494756317</v>
      </c>
      <c r="CZ17" s="1109">
        <v>74.366440468846392</v>
      </c>
      <c r="DA17" s="1109">
        <v>80.694768661320168</v>
      </c>
      <c r="DB17" s="1110">
        <v>56.046434299814933</v>
      </c>
      <c r="DC17" s="1091">
        <v>63.923164713140032</v>
      </c>
      <c r="DD17" s="1091">
        <v>69.016594694632943</v>
      </c>
      <c r="DE17" s="1091">
        <v>71.136952498457745</v>
      </c>
      <c r="DF17" s="1091">
        <v>64.16826650215917</v>
      </c>
      <c r="DG17" s="1091">
        <v>68.897038864898207</v>
      </c>
      <c r="DH17" s="1091">
        <v>66.700678593460822</v>
      </c>
      <c r="DI17" s="1091">
        <v>65.777606415792718</v>
      </c>
      <c r="DJ17" s="1091">
        <v>57.994040968342652</v>
      </c>
      <c r="DK17" s="1091">
        <v>58.905462445685906</v>
      </c>
      <c r="DL17" s="1091">
        <v>68.051769087523269</v>
      </c>
      <c r="DM17" s="1091">
        <v>72.682805710738677</v>
      </c>
      <c r="DN17" s="1092">
        <v>51.006587942821618</v>
      </c>
      <c r="DO17" s="1091">
        <v>51.558406561218504</v>
      </c>
      <c r="DP17" s="1091">
        <v>55.830990041007617</v>
      </c>
      <c r="DQ17" s="1091">
        <v>54.512829525483305</v>
      </c>
      <c r="DR17" s="1091">
        <v>57.521675454012886</v>
      </c>
      <c r="DS17" s="1091">
        <v>57.359988283538371</v>
      </c>
      <c r="DT17" s="1091">
        <v>60.261921499707086</v>
      </c>
      <c r="DU17" s="1091">
        <v>53.324956063268885</v>
      </c>
      <c r="DV17" s="1091">
        <v>50.747275922671356</v>
      </c>
      <c r="DW17" s="1091">
        <v>57.149326303456355</v>
      </c>
      <c r="DX17" s="1091">
        <v>70.874985354422961</v>
      </c>
      <c r="DY17" s="1091">
        <v>62.512536613942586</v>
      </c>
      <c r="DZ17" s="1091">
        <v>43.413708260105452</v>
      </c>
      <c r="EA17" s="1099"/>
      <c r="EB17" s="1111">
        <v>63.75793516548427</v>
      </c>
      <c r="EC17" s="1112">
        <v>71.102153932151012</v>
      </c>
      <c r="ED17" s="1112">
        <v>71.505757754055594</v>
      </c>
      <c r="EE17" s="1112">
        <v>62.861776383685054</v>
      </c>
      <c r="EF17" s="1112">
        <v>66.861811373301094</v>
      </c>
      <c r="EG17" s="1112">
        <v>69.368258591072802</v>
      </c>
      <c r="EH17" s="1112">
        <v>74.754902797744833</v>
      </c>
      <c r="EI17" s="1112">
        <v>72.996543652235729</v>
      </c>
      <c r="EJ17" s="1112">
        <f>AVERAGE(CQ17:DB17)</f>
        <v>71.926223049971668</v>
      </c>
      <c r="EK17" s="1113">
        <v>64.822142260364402</v>
      </c>
      <c r="EL17" s="1112">
        <f>AVERAGE(DO17:DZ17)</f>
        <v>56.255716656902933</v>
      </c>
      <c r="EM17" s="1318">
        <v>57.193475403025253</v>
      </c>
    </row>
    <row r="18" spans="1:143">
      <c r="A18" s="998"/>
      <c r="B18" s="1114" t="s">
        <v>707</v>
      </c>
      <c r="C18" s="1115" t="s">
        <v>708</v>
      </c>
      <c r="D18" s="1098" t="s">
        <v>443</v>
      </c>
      <c r="E18" s="1099" t="s">
        <v>443</v>
      </c>
      <c r="F18" s="1099" t="s">
        <v>443</v>
      </c>
      <c r="G18" s="1099" t="s">
        <v>443</v>
      </c>
      <c r="H18" s="1099" t="s">
        <v>443</v>
      </c>
      <c r="I18" s="1099" t="s">
        <v>443</v>
      </c>
      <c r="J18" s="1100" t="s">
        <v>443</v>
      </c>
      <c r="K18" s="1101"/>
      <c r="L18" s="1102" t="s">
        <v>443</v>
      </c>
      <c r="M18" s="1102" t="s">
        <v>443</v>
      </c>
      <c r="N18" s="1102" t="s">
        <v>443</v>
      </c>
      <c r="O18" s="1102" t="s">
        <v>443</v>
      </c>
      <c r="P18" s="1102" t="s">
        <v>443</v>
      </c>
      <c r="Q18" s="1102" t="s">
        <v>443</v>
      </c>
      <c r="R18" s="1102" t="s">
        <v>443</v>
      </c>
      <c r="S18" s="1102" t="s">
        <v>443</v>
      </c>
      <c r="T18" s="1102" t="s">
        <v>443</v>
      </c>
      <c r="U18" s="1102" t="s">
        <v>443</v>
      </c>
      <c r="V18" s="1103" t="s">
        <v>443</v>
      </c>
      <c r="W18" s="1098" t="s">
        <v>443</v>
      </c>
      <c r="X18" s="1099" t="s">
        <v>443</v>
      </c>
      <c r="Y18" s="1099" t="s">
        <v>443</v>
      </c>
      <c r="Z18" s="1099" t="s">
        <v>443</v>
      </c>
      <c r="AA18" s="1099" t="s">
        <v>443</v>
      </c>
      <c r="AB18" s="1099" t="s">
        <v>443</v>
      </c>
      <c r="AC18" s="1099" t="s">
        <v>443</v>
      </c>
      <c r="AD18" s="1099" t="s">
        <v>443</v>
      </c>
      <c r="AE18" s="1099" t="s">
        <v>443</v>
      </c>
      <c r="AF18" s="1099" t="s">
        <v>443</v>
      </c>
      <c r="AG18" s="1099" t="s">
        <v>443</v>
      </c>
      <c r="AH18" s="1100" t="s">
        <v>443</v>
      </c>
      <c r="AI18" s="1104" t="s">
        <v>443</v>
      </c>
      <c r="AJ18" s="1104" t="s">
        <v>443</v>
      </c>
      <c r="AK18" s="1104" t="s">
        <v>443</v>
      </c>
      <c r="AL18" s="1104" t="s">
        <v>443</v>
      </c>
      <c r="AM18" s="1104" t="s">
        <v>443</v>
      </c>
      <c r="AN18" s="1104" t="s">
        <v>443</v>
      </c>
      <c r="AO18" s="1104" t="s">
        <v>443</v>
      </c>
      <c r="AP18" s="1104" t="s">
        <v>443</v>
      </c>
      <c r="AQ18" s="1104" t="s">
        <v>443</v>
      </c>
      <c r="AR18" s="1104" t="s">
        <v>443</v>
      </c>
      <c r="AS18" s="1104" t="s">
        <v>443</v>
      </c>
      <c r="AT18" s="1104" t="s">
        <v>443</v>
      </c>
      <c r="AU18" s="1098" t="s">
        <v>443</v>
      </c>
      <c r="AV18" s="1099" t="s">
        <v>443</v>
      </c>
      <c r="AW18" s="1099" t="s">
        <v>443</v>
      </c>
      <c r="AX18" s="1099" t="s">
        <v>443</v>
      </c>
      <c r="AY18" s="1099" t="s">
        <v>443</v>
      </c>
      <c r="AZ18" s="1099" t="s">
        <v>443</v>
      </c>
      <c r="BA18" s="1099" t="s">
        <v>443</v>
      </c>
      <c r="BB18" s="1099" t="s">
        <v>443</v>
      </c>
      <c r="BC18" s="1099" t="s">
        <v>443</v>
      </c>
      <c r="BD18" s="1099" t="s">
        <v>443</v>
      </c>
      <c r="BE18" s="1099" t="s">
        <v>443</v>
      </c>
      <c r="BF18" s="1099" t="s">
        <v>443</v>
      </c>
      <c r="BG18" s="1105" t="s">
        <v>443</v>
      </c>
      <c r="BH18" s="1105" t="s">
        <v>443</v>
      </c>
      <c r="BI18" s="1105" t="s">
        <v>443</v>
      </c>
      <c r="BJ18" s="1105" t="s">
        <v>443</v>
      </c>
      <c r="BK18" s="1105" t="s">
        <v>443</v>
      </c>
      <c r="BL18" s="1105" t="s">
        <v>443</v>
      </c>
      <c r="BM18" s="1105" t="s">
        <v>443</v>
      </c>
      <c r="BN18" s="1105" t="s">
        <v>443</v>
      </c>
      <c r="BO18" s="1105" t="s">
        <v>443</v>
      </c>
      <c r="BP18" s="1105" t="s">
        <v>443</v>
      </c>
      <c r="BQ18" s="1105" t="s">
        <v>443</v>
      </c>
      <c r="BR18" s="1105" t="s">
        <v>443</v>
      </c>
      <c r="BS18" s="1106" t="s">
        <v>443</v>
      </c>
      <c r="BT18" s="1107" t="s">
        <v>443</v>
      </c>
      <c r="BU18" s="1107" t="s">
        <v>443</v>
      </c>
      <c r="BV18" s="1107" t="s">
        <v>443</v>
      </c>
      <c r="BW18" s="1107" t="s">
        <v>443</v>
      </c>
      <c r="BX18" s="1107" t="s">
        <v>443</v>
      </c>
      <c r="BY18" s="1107" t="s">
        <v>443</v>
      </c>
      <c r="BZ18" s="1107" t="s">
        <v>443</v>
      </c>
      <c r="CA18" s="1107" t="s">
        <v>443</v>
      </c>
      <c r="CB18" s="1107" t="s">
        <v>443</v>
      </c>
      <c r="CC18" s="1107" t="s">
        <v>443</v>
      </c>
      <c r="CD18" s="1107" t="s">
        <v>443</v>
      </c>
      <c r="CE18" s="1087" t="s">
        <v>443</v>
      </c>
      <c r="CF18" s="1088" t="s">
        <v>443</v>
      </c>
      <c r="CG18" s="1088" t="s">
        <v>443</v>
      </c>
      <c r="CH18" s="1088" t="s">
        <v>443</v>
      </c>
      <c r="CI18" s="1088" t="s">
        <v>443</v>
      </c>
      <c r="CJ18" s="1088" t="s">
        <v>443</v>
      </c>
      <c r="CK18" s="1088" t="s">
        <v>443</v>
      </c>
      <c r="CL18" s="1088" t="s">
        <v>443</v>
      </c>
      <c r="CM18" s="1088" t="s">
        <v>443</v>
      </c>
      <c r="CN18" s="1088" t="s">
        <v>443</v>
      </c>
      <c r="CO18" s="1088" t="s">
        <v>443</v>
      </c>
      <c r="CP18" s="1088" t="s">
        <v>443</v>
      </c>
      <c r="CQ18" s="1108" t="s">
        <v>443</v>
      </c>
      <c r="CR18" s="1109" t="s">
        <v>443</v>
      </c>
      <c r="CS18" s="1109" t="s">
        <v>443</v>
      </c>
      <c r="CT18" s="1109" t="s">
        <v>443</v>
      </c>
      <c r="CU18" s="1109" t="s">
        <v>443</v>
      </c>
      <c r="CV18" s="1109" t="s">
        <v>443</v>
      </c>
      <c r="CW18" s="1109" t="s">
        <v>443</v>
      </c>
      <c r="CX18" s="1109" t="s">
        <v>443</v>
      </c>
      <c r="CY18" s="1109" t="s">
        <v>443</v>
      </c>
      <c r="CZ18" s="1109" t="s">
        <v>443</v>
      </c>
      <c r="DA18" s="1109" t="s">
        <v>443</v>
      </c>
      <c r="DB18" s="1110" t="s">
        <v>443</v>
      </c>
      <c r="DC18" s="1091" t="s">
        <v>443</v>
      </c>
      <c r="DD18" s="1091" t="s">
        <v>443</v>
      </c>
      <c r="DE18" s="1091" t="s">
        <v>443</v>
      </c>
      <c r="DF18" s="1091" t="s">
        <v>443</v>
      </c>
      <c r="DG18" s="1091" t="s">
        <v>443</v>
      </c>
      <c r="DH18" s="1091" t="s">
        <v>443</v>
      </c>
      <c r="DI18" s="1091" t="s">
        <v>443</v>
      </c>
      <c r="DJ18" s="1091" t="s">
        <v>443</v>
      </c>
      <c r="DK18" s="1091" t="s">
        <v>443</v>
      </c>
      <c r="DL18" s="1091" t="s">
        <v>443</v>
      </c>
      <c r="DM18" s="1091" t="s">
        <v>443</v>
      </c>
      <c r="DN18" s="1092" t="s">
        <v>443</v>
      </c>
      <c r="DO18" s="1091" t="s">
        <v>443</v>
      </c>
      <c r="DP18" s="1091" t="s">
        <v>443</v>
      </c>
      <c r="DQ18" s="1091" t="s">
        <v>443</v>
      </c>
      <c r="DR18" s="1091" t="s">
        <v>443</v>
      </c>
      <c r="DS18" s="1091" t="s">
        <v>443</v>
      </c>
      <c r="DT18" s="1091" t="s">
        <v>443</v>
      </c>
      <c r="DU18" s="1091" t="s">
        <v>443</v>
      </c>
      <c r="DV18" s="1091" t="s">
        <v>443</v>
      </c>
      <c r="DW18" s="1091" t="s">
        <v>443</v>
      </c>
      <c r="DX18" s="1091" t="s">
        <v>443</v>
      </c>
      <c r="DY18" s="1091" t="s">
        <v>443</v>
      </c>
      <c r="DZ18" s="1091" t="s">
        <v>443</v>
      </c>
      <c r="EA18" s="1099"/>
      <c r="EB18" s="1111" t="s">
        <v>443</v>
      </c>
      <c r="EC18" s="1112" t="s">
        <v>443</v>
      </c>
      <c r="ED18" s="1112" t="s">
        <v>443</v>
      </c>
      <c r="EE18" s="1112" t="s">
        <v>443</v>
      </c>
      <c r="EF18" s="1112" t="s">
        <v>443</v>
      </c>
      <c r="EG18" s="1112" t="s">
        <v>443</v>
      </c>
      <c r="EH18" s="1112" t="s">
        <v>443</v>
      </c>
      <c r="EI18" s="1112" t="s">
        <v>443</v>
      </c>
      <c r="EJ18" s="1112" t="s">
        <v>443</v>
      </c>
      <c r="EK18" s="1113" t="s">
        <v>443</v>
      </c>
      <c r="EL18" s="1112"/>
      <c r="EM18" s="1318"/>
    </row>
    <row r="19" spans="1:143">
      <c r="A19" s="998"/>
      <c r="B19" s="1114" t="s">
        <v>709</v>
      </c>
      <c r="C19" s="1115" t="s">
        <v>710</v>
      </c>
      <c r="D19" s="1098" t="s">
        <v>443</v>
      </c>
      <c r="E19" s="1099" t="s">
        <v>443</v>
      </c>
      <c r="F19" s="1099" t="s">
        <v>443</v>
      </c>
      <c r="G19" s="1099" t="s">
        <v>443</v>
      </c>
      <c r="H19" s="1099" t="s">
        <v>443</v>
      </c>
      <c r="I19" s="1099" t="s">
        <v>443</v>
      </c>
      <c r="J19" s="1100" t="s">
        <v>443</v>
      </c>
      <c r="K19" s="1101"/>
      <c r="L19" s="1102" t="s">
        <v>443</v>
      </c>
      <c r="M19" s="1102" t="s">
        <v>443</v>
      </c>
      <c r="N19" s="1102" t="s">
        <v>443</v>
      </c>
      <c r="O19" s="1102" t="s">
        <v>443</v>
      </c>
      <c r="P19" s="1102" t="s">
        <v>443</v>
      </c>
      <c r="Q19" s="1102" t="s">
        <v>443</v>
      </c>
      <c r="R19" s="1102" t="s">
        <v>443</v>
      </c>
      <c r="S19" s="1102" t="s">
        <v>443</v>
      </c>
      <c r="T19" s="1102" t="s">
        <v>443</v>
      </c>
      <c r="U19" s="1102" t="s">
        <v>443</v>
      </c>
      <c r="V19" s="1103" t="s">
        <v>443</v>
      </c>
      <c r="W19" s="1098" t="s">
        <v>443</v>
      </c>
      <c r="X19" s="1099" t="s">
        <v>443</v>
      </c>
      <c r="Y19" s="1099" t="s">
        <v>443</v>
      </c>
      <c r="Z19" s="1099" t="s">
        <v>443</v>
      </c>
      <c r="AA19" s="1099" t="s">
        <v>443</v>
      </c>
      <c r="AB19" s="1099" t="s">
        <v>443</v>
      </c>
      <c r="AC19" s="1099" t="s">
        <v>443</v>
      </c>
      <c r="AD19" s="1099" t="s">
        <v>443</v>
      </c>
      <c r="AE19" s="1099" t="s">
        <v>443</v>
      </c>
      <c r="AF19" s="1099" t="s">
        <v>443</v>
      </c>
      <c r="AG19" s="1099" t="s">
        <v>443</v>
      </c>
      <c r="AH19" s="1100" t="s">
        <v>443</v>
      </c>
      <c r="AI19" s="1104" t="s">
        <v>443</v>
      </c>
      <c r="AJ19" s="1104" t="s">
        <v>443</v>
      </c>
      <c r="AK19" s="1104" t="s">
        <v>443</v>
      </c>
      <c r="AL19" s="1104" t="s">
        <v>443</v>
      </c>
      <c r="AM19" s="1104" t="s">
        <v>443</v>
      </c>
      <c r="AN19" s="1104" t="s">
        <v>443</v>
      </c>
      <c r="AO19" s="1104" t="s">
        <v>443</v>
      </c>
      <c r="AP19" s="1104" t="s">
        <v>443</v>
      </c>
      <c r="AQ19" s="1104" t="s">
        <v>443</v>
      </c>
      <c r="AR19" s="1104" t="s">
        <v>443</v>
      </c>
      <c r="AS19" s="1104" t="s">
        <v>443</v>
      </c>
      <c r="AT19" s="1104" t="s">
        <v>443</v>
      </c>
      <c r="AU19" s="1098" t="s">
        <v>443</v>
      </c>
      <c r="AV19" s="1099" t="s">
        <v>443</v>
      </c>
      <c r="AW19" s="1099" t="s">
        <v>443</v>
      </c>
      <c r="AX19" s="1099" t="s">
        <v>443</v>
      </c>
      <c r="AY19" s="1099" t="s">
        <v>443</v>
      </c>
      <c r="AZ19" s="1099" t="s">
        <v>443</v>
      </c>
      <c r="BA19" s="1099" t="s">
        <v>443</v>
      </c>
      <c r="BB19" s="1099" t="s">
        <v>443</v>
      </c>
      <c r="BC19" s="1099" t="s">
        <v>443</v>
      </c>
      <c r="BD19" s="1099" t="s">
        <v>443</v>
      </c>
      <c r="BE19" s="1099" t="s">
        <v>443</v>
      </c>
      <c r="BF19" s="1099" t="s">
        <v>443</v>
      </c>
      <c r="BG19" s="1105" t="s">
        <v>443</v>
      </c>
      <c r="BH19" s="1105" t="s">
        <v>443</v>
      </c>
      <c r="BI19" s="1105" t="s">
        <v>443</v>
      </c>
      <c r="BJ19" s="1105" t="s">
        <v>443</v>
      </c>
      <c r="BK19" s="1105" t="s">
        <v>443</v>
      </c>
      <c r="BL19" s="1105" t="s">
        <v>443</v>
      </c>
      <c r="BM19" s="1105" t="s">
        <v>443</v>
      </c>
      <c r="BN19" s="1105" t="s">
        <v>443</v>
      </c>
      <c r="BO19" s="1105" t="s">
        <v>443</v>
      </c>
      <c r="BP19" s="1105" t="s">
        <v>443</v>
      </c>
      <c r="BQ19" s="1105" t="s">
        <v>443</v>
      </c>
      <c r="BR19" s="1105" t="s">
        <v>443</v>
      </c>
      <c r="BS19" s="1106" t="s">
        <v>443</v>
      </c>
      <c r="BT19" s="1107" t="s">
        <v>443</v>
      </c>
      <c r="BU19" s="1107" t="s">
        <v>443</v>
      </c>
      <c r="BV19" s="1107" t="s">
        <v>443</v>
      </c>
      <c r="BW19" s="1107" t="s">
        <v>443</v>
      </c>
      <c r="BX19" s="1107" t="s">
        <v>443</v>
      </c>
      <c r="BY19" s="1107" t="s">
        <v>443</v>
      </c>
      <c r="BZ19" s="1107" t="s">
        <v>443</v>
      </c>
      <c r="CA19" s="1107" t="s">
        <v>443</v>
      </c>
      <c r="CB19" s="1107" t="s">
        <v>443</v>
      </c>
      <c r="CC19" s="1107" t="s">
        <v>443</v>
      </c>
      <c r="CD19" s="1107" t="s">
        <v>443</v>
      </c>
      <c r="CE19" s="1087" t="s">
        <v>443</v>
      </c>
      <c r="CF19" s="1088" t="s">
        <v>443</v>
      </c>
      <c r="CG19" s="1088" t="s">
        <v>443</v>
      </c>
      <c r="CH19" s="1088" t="s">
        <v>443</v>
      </c>
      <c r="CI19" s="1088" t="s">
        <v>443</v>
      </c>
      <c r="CJ19" s="1088" t="s">
        <v>443</v>
      </c>
      <c r="CK19" s="1088" t="s">
        <v>443</v>
      </c>
      <c r="CL19" s="1088" t="s">
        <v>443</v>
      </c>
      <c r="CM19" s="1088" t="s">
        <v>443</v>
      </c>
      <c r="CN19" s="1088" t="s">
        <v>443</v>
      </c>
      <c r="CO19" s="1088" t="s">
        <v>443</v>
      </c>
      <c r="CP19" s="1088" t="s">
        <v>443</v>
      </c>
      <c r="CQ19" s="1108" t="s">
        <v>443</v>
      </c>
      <c r="CR19" s="1109" t="s">
        <v>443</v>
      </c>
      <c r="CS19" s="1109" t="s">
        <v>443</v>
      </c>
      <c r="CT19" s="1109" t="s">
        <v>443</v>
      </c>
      <c r="CU19" s="1109" t="s">
        <v>443</v>
      </c>
      <c r="CV19" s="1109" t="s">
        <v>443</v>
      </c>
      <c r="CW19" s="1109" t="s">
        <v>443</v>
      </c>
      <c r="CX19" s="1109" t="s">
        <v>443</v>
      </c>
      <c r="CY19" s="1109" t="s">
        <v>443</v>
      </c>
      <c r="CZ19" s="1109" t="s">
        <v>443</v>
      </c>
      <c r="DA19" s="1109" t="s">
        <v>443</v>
      </c>
      <c r="DB19" s="1110" t="s">
        <v>443</v>
      </c>
      <c r="DC19" s="1091" t="s">
        <v>443</v>
      </c>
      <c r="DD19" s="1091" t="s">
        <v>443</v>
      </c>
      <c r="DE19" s="1091" t="s">
        <v>443</v>
      </c>
      <c r="DF19" s="1091" t="s">
        <v>443</v>
      </c>
      <c r="DG19" s="1091" t="s">
        <v>443</v>
      </c>
      <c r="DH19" s="1091" t="s">
        <v>443</v>
      </c>
      <c r="DI19" s="1091" t="s">
        <v>443</v>
      </c>
      <c r="DJ19" s="1091" t="s">
        <v>443</v>
      </c>
      <c r="DK19" s="1091" t="s">
        <v>443</v>
      </c>
      <c r="DL19" s="1091" t="s">
        <v>443</v>
      </c>
      <c r="DM19" s="1091" t="s">
        <v>443</v>
      </c>
      <c r="DN19" s="1092" t="s">
        <v>443</v>
      </c>
      <c r="DO19" s="1091" t="s">
        <v>443</v>
      </c>
      <c r="DP19" s="1091" t="s">
        <v>443</v>
      </c>
      <c r="DQ19" s="1091" t="s">
        <v>443</v>
      </c>
      <c r="DR19" s="1091" t="s">
        <v>443</v>
      </c>
      <c r="DS19" s="1091" t="s">
        <v>443</v>
      </c>
      <c r="DT19" s="1091" t="s">
        <v>443</v>
      </c>
      <c r="DU19" s="1091" t="s">
        <v>443</v>
      </c>
      <c r="DV19" s="1091" t="s">
        <v>443</v>
      </c>
      <c r="DW19" s="1091" t="s">
        <v>443</v>
      </c>
      <c r="DX19" s="1091" t="s">
        <v>443</v>
      </c>
      <c r="DY19" s="1091" t="s">
        <v>443</v>
      </c>
      <c r="DZ19" s="1091" t="s">
        <v>443</v>
      </c>
      <c r="EA19" s="1099"/>
      <c r="EB19" s="1111" t="s">
        <v>443</v>
      </c>
      <c r="EC19" s="1112" t="s">
        <v>443</v>
      </c>
      <c r="ED19" s="1112" t="s">
        <v>443</v>
      </c>
      <c r="EE19" s="1112" t="s">
        <v>443</v>
      </c>
      <c r="EF19" s="1112" t="s">
        <v>443</v>
      </c>
      <c r="EG19" s="1112" t="s">
        <v>443</v>
      </c>
      <c r="EH19" s="1112" t="s">
        <v>443</v>
      </c>
      <c r="EI19" s="1112" t="s">
        <v>443</v>
      </c>
      <c r="EJ19" s="1112" t="s">
        <v>443</v>
      </c>
      <c r="EK19" s="1113" t="s">
        <v>443</v>
      </c>
      <c r="EL19" s="1112"/>
      <c r="EM19" s="1318"/>
    </row>
    <row r="20" spans="1:143">
      <c r="A20" s="998"/>
      <c r="B20" s="1114" t="s">
        <v>711</v>
      </c>
      <c r="C20" s="1115" t="s">
        <v>712</v>
      </c>
      <c r="D20" s="1098">
        <v>68.248106060606062</v>
      </c>
      <c r="E20" s="1099">
        <v>70.365775204484876</v>
      </c>
      <c r="F20" s="1099">
        <v>72.049120234604104</v>
      </c>
      <c r="G20" s="1099">
        <v>72.288416075650119</v>
      </c>
      <c r="H20" s="1099">
        <v>68.315514155921633</v>
      </c>
      <c r="I20" s="1099">
        <v>73.963963963963963</v>
      </c>
      <c r="J20" s="1100">
        <v>55.237920433166607</v>
      </c>
      <c r="K20" s="1101">
        <v>64.168382521162201</v>
      </c>
      <c r="L20" s="1102">
        <v>67.472137791286727</v>
      </c>
      <c r="M20" s="1102">
        <v>71.82338137725921</v>
      </c>
      <c r="N20" s="1102">
        <v>66.146572104018901</v>
      </c>
      <c r="O20" s="1102">
        <v>66.639212994738045</v>
      </c>
      <c r="P20" s="1102">
        <v>73.375886524822704</v>
      </c>
      <c r="Q20" s="1102">
        <v>69.538123167155433</v>
      </c>
      <c r="R20" s="1102">
        <v>66.941203385952875</v>
      </c>
      <c r="S20" s="1102">
        <v>63.399621212121218</v>
      </c>
      <c r="T20" s="1102">
        <v>71.425953079178882</v>
      </c>
      <c r="U20" s="1102">
        <v>72.447916666666671</v>
      </c>
      <c r="V20" s="1103">
        <v>60.852571785919018</v>
      </c>
      <c r="W20" s="1098">
        <v>65.297826879983319</v>
      </c>
      <c r="X20" s="1099">
        <v>67.960860237559515</v>
      </c>
      <c r="Y20" s="1099">
        <v>64.697244113759851</v>
      </c>
      <c r="Z20" s="1099">
        <v>72.245827010622151</v>
      </c>
      <c r="AA20" s="1099">
        <v>72.064222428900095</v>
      </c>
      <c r="AB20" s="1099">
        <v>74.532119372787051</v>
      </c>
      <c r="AC20" s="1099">
        <v>73.082382887072299</v>
      </c>
      <c r="AD20" s="1099">
        <v>65.965049684272358</v>
      </c>
      <c r="AE20" s="1099">
        <v>71.982802225594327</v>
      </c>
      <c r="AF20" s="1099">
        <v>73.121542904694309</v>
      </c>
      <c r="AG20" s="1099">
        <v>78.421851289833072</v>
      </c>
      <c r="AH20" s="1100">
        <v>54.530324538646049</v>
      </c>
      <c r="AI20" s="1104">
        <v>54.590229400541332</v>
      </c>
      <c r="AJ20" s="1104">
        <v>53.089998034977405</v>
      </c>
      <c r="AK20" s="1104">
        <v>62.518968133535658</v>
      </c>
      <c r="AL20" s="1104">
        <v>57.491148204350026</v>
      </c>
      <c r="AM20" s="1104">
        <v>55.235204855842191</v>
      </c>
      <c r="AN20" s="1104">
        <v>61.021750126454222</v>
      </c>
      <c r="AO20" s="1104">
        <v>62.851828283322732</v>
      </c>
      <c r="AP20" s="1104">
        <v>64.853884184247875</v>
      </c>
      <c r="AQ20" s="1104">
        <v>58.902377339403131</v>
      </c>
      <c r="AR20" s="1104">
        <v>62.293798032209111</v>
      </c>
      <c r="AS20" s="1104">
        <v>68.012139605462821</v>
      </c>
      <c r="AT20" s="1104">
        <v>52.097508443878802</v>
      </c>
      <c r="AU20" s="1098">
        <v>57.051250673062803</v>
      </c>
      <c r="AV20" s="1099">
        <v>65.033600693691739</v>
      </c>
      <c r="AW20" s="1099">
        <v>66.713985021293269</v>
      </c>
      <c r="AX20" s="1099">
        <v>64.673748103186639</v>
      </c>
      <c r="AY20" s="1099">
        <v>66.953840129228055</v>
      </c>
      <c r="AZ20" s="1099">
        <v>69.165402124430955</v>
      </c>
      <c r="BA20" s="1099">
        <v>64.848989182045131</v>
      </c>
      <c r="BB20" s="1099">
        <v>65.265064369278974</v>
      </c>
      <c r="BC20" s="1099">
        <v>60.510875063227111</v>
      </c>
      <c r="BD20" s="1099">
        <v>70.776836849576583</v>
      </c>
      <c r="BE20" s="1099">
        <v>73.333333333333329</v>
      </c>
      <c r="BF20" s="1099">
        <v>65.573449508052278</v>
      </c>
      <c r="BG20" s="1105">
        <v>60.668657300895788</v>
      </c>
      <c r="BH20" s="1105">
        <v>71.081725558205079</v>
      </c>
      <c r="BI20" s="1105">
        <v>68.769885946448667</v>
      </c>
      <c r="BJ20" s="1105">
        <v>63.960546282245822</v>
      </c>
      <c r="BK20" s="1105">
        <v>69.675461353957616</v>
      </c>
      <c r="BL20" s="1105">
        <v>68.62923621648963</v>
      </c>
      <c r="BM20" s="1105">
        <v>69.783151402418127</v>
      </c>
      <c r="BN20" s="1105">
        <v>71.594302217435995</v>
      </c>
      <c r="BO20" s="1105">
        <v>70.713201820940824</v>
      </c>
      <c r="BP20" s="1105">
        <v>68.299965734984582</v>
      </c>
      <c r="BQ20" s="1105">
        <v>82.989377845220019</v>
      </c>
      <c r="BR20" s="1105">
        <v>70.786626853982085</v>
      </c>
      <c r="BS20" s="1106">
        <v>74.673258602966371</v>
      </c>
      <c r="BT20" s="1107">
        <v>73.837057192192972</v>
      </c>
      <c r="BU20" s="1107">
        <v>75.422193939987267</v>
      </c>
      <c r="BV20" s="1107">
        <v>66.611026808295392</v>
      </c>
      <c r="BW20" s="1107">
        <v>75.970434186695385</v>
      </c>
      <c r="BX20" s="1107">
        <v>79.286798179059176</v>
      </c>
      <c r="BY20" s="1107">
        <v>76.807479563365803</v>
      </c>
      <c r="BZ20" s="1107">
        <v>81.986391893876359</v>
      </c>
      <c r="CA20" s="1107">
        <v>74.344967121901874</v>
      </c>
      <c r="CB20" s="1107">
        <v>81.511576680209501</v>
      </c>
      <c r="CC20" s="1107">
        <v>84.936772888214463</v>
      </c>
      <c r="CD20" s="1107">
        <v>63.248323461745557</v>
      </c>
      <c r="CE20" s="1087">
        <v>68.133535660091056</v>
      </c>
      <c r="CF20" s="1088">
        <v>82.614350747886405</v>
      </c>
      <c r="CG20" s="1088">
        <v>85.452053453424057</v>
      </c>
      <c r="CH20" s="1088">
        <v>77.486090035407187</v>
      </c>
      <c r="CI20" s="1088">
        <v>71.946742376034067</v>
      </c>
      <c r="CJ20" s="1088">
        <v>77.152250885179569</v>
      </c>
      <c r="CK20" s="1088">
        <v>75.569044006069802</v>
      </c>
      <c r="CL20" s="1088">
        <v>65.558764501444017</v>
      </c>
      <c r="CM20" s="1088">
        <v>77.268588770864937</v>
      </c>
      <c r="CN20" s="1088">
        <v>75.0305937637672</v>
      </c>
      <c r="CO20" s="1088">
        <v>80.935761254425898</v>
      </c>
      <c r="CP20" s="1088">
        <v>72.333447550051403</v>
      </c>
      <c r="CQ20" s="1108">
        <v>67.281805276812378</v>
      </c>
      <c r="CR20" s="1109">
        <v>82.820290483416443</v>
      </c>
      <c r="CS20" s="1109">
        <v>75.89700915365411</v>
      </c>
      <c r="CT20" s="1109">
        <v>75.634800202326758</v>
      </c>
      <c r="CU20" s="1109">
        <v>84.198932889519796</v>
      </c>
      <c r="CV20" s="1109">
        <v>82.259484066767826</v>
      </c>
      <c r="CW20" s="1109">
        <v>76</v>
      </c>
      <c r="CX20" s="1109">
        <v>69.853262518968123</v>
      </c>
      <c r="CY20" s="1109">
        <v>78.611987860394535</v>
      </c>
      <c r="CZ20" s="1109">
        <v>78.471927162367223</v>
      </c>
      <c r="DA20" s="1109">
        <v>85.735417298937776</v>
      </c>
      <c r="DB20" s="1110">
        <v>69.628846737481027</v>
      </c>
      <c r="DC20" s="1091">
        <v>69.978983308042487</v>
      </c>
      <c r="DD20" s="1091">
        <v>79.230197268588782</v>
      </c>
      <c r="DE20" s="1091">
        <v>77.459787556904402</v>
      </c>
      <c r="DF20" s="1091">
        <v>74.009256449165406</v>
      </c>
      <c r="DG20" s="1091">
        <v>76.867223065250386</v>
      </c>
      <c r="DH20" s="1091">
        <v>70.535356600910475</v>
      </c>
      <c r="DI20" s="1091">
        <v>69.829286798179055</v>
      </c>
      <c r="DJ20" s="1091">
        <v>60.97754172989378</v>
      </c>
      <c r="DK20" s="1091">
        <v>65.563581183611532</v>
      </c>
      <c r="DL20" s="1091">
        <v>73.965705614567526</v>
      </c>
      <c r="DM20" s="1091">
        <v>70.937329286798175</v>
      </c>
      <c r="DN20" s="1092">
        <v>51.461456752655543</v>
      </c>
      <c r="DO20" s="1091">
        <v>51.461456752655543</v>
      </c>
      <c r="DP20" s="1091">
        <v>62.15174506828528</v>
      </c>
      <c r="DQ20" s="1091">
        <v>56.943095599393018</v>
      </c>
      <c r="DR20" s="1091">
        <v>59.589226100151748</v>
      </c>
      <c r="DS20" s="1091">
        <v>59.546737481031869</v>
      </c>
      <c r="DT20" s="1091">
        <v>64.899848254931712</v>
      </c>
      <c r="DU20" s="1091">
        <v>56.597723823975713</v>
      </c>
      <c r="DV20" s="1091">
        <v>52.499544764795139</v>
      </c>
      <c r="DW20" s="1091">
        <v>60.386342943854324</v>
      </c>
      <c r="DX20" s="1091">
        <v>76.214264036418811</v>
      </c>
      <c r="DY20" s="1091">
        <v>68.580121396054622</v>
      </c>
      <c r="DZ20" s="1091">
        <v>52.61411229135053</v>
      </c>
      <c r="EA20" s="1099"/>
      <c r="EB20" s="1111">
        <v>72.333447548998492</v>
      </c>
      <c r="EC20" s="1112">
        <v>67.917434400499715</v>
      </c>
      <c r="ED20" s="1112">
        <v>69.469148253415241</v>
      </c>
      <c r="EE20" s="1112">
        <v>59.352598886921527</v>
      </c>
      <c r="EF20" s="1112">
        <v>65.8195273037188</v>
      </c>
      <c r="EG20" s="1112">
        <v>69.715010289562855</v>
      </c>
      <c r="EH20" s="1112">
        <v>75.723691302437047</v>
      </c>
      <c r="EI20" s="1112">
        <v>75.707485397135528</v>
      </c>
      <c r="EJ20" s="1112">
        <f>AVERAGE(CQ20:DB20)</f>
        <v>77.199480304220501</v>
      </c>
      <c r="EK20" s="1113">
        <v>69.990550023905044</v>
      </c>
      <c r="EL20" s="1112">
        <f>AVERAGE(DO20:DZ20)</f>
        <v>60.123684876074869</v>
      </c>
      <c r="EM20" s="1318">
        <v>60.352440566514936</v>
      </c>
    </row>
    <row r="21" spans="1:143">
      <c r="A21" s="998"/>
      <c r="B21" s="1114" t="s">
        <v>713</v>
      </c>
      <c r="C21" s="1115" t="s">
        <v>714</v>
      </c>
      <c r="D21" s="1098" t="s">
        <v>443</v>
      </c>
      <c r="E21" s="1099" t="s">
        <v>443</v>
      </c>
      <c r="F21" s="1099" t="s">
        <v>443</v>
      </c>
      <c r="G21" s="1099" t="s">
        <v>443</v>
      </c>
      <c r="H21" s="1099" t="s">
        <v>443</v>
      </c>
      <c r="I21" s="1099" t="s">
        <v>443</v>
      </c>
      <c r="J21" s="1100" t="s">
        <v>443</v>
      </c>
      <c r="K21" s="1101" t="s">
        <v>443</v>
      </c>
      <c r="L21" s="1102" t="s">
        <v>443</v>
      </c>
      <c r="M21" s="1102" t="s">
        <v>443</v>
      </c>
      <c r="N21" s="1102" t="s">
        <v>443</v>
      </c>
      <c r="O21" s="1102" t="s">
        <v>443</v>
      </c>
      <c r="P21" s="1102" t="s">
        <v>443</v>
      </c>
      <c r="Q21" s="1102" t="s">
        <v>443</v>
      </c>
      <c r="R21" s="1102" t="s">
        <v>443</v>
      </c>
      <c r="S21" s="1102" t="s">
        <v>443</v>
      </c>
      <c r="T21" s="1102" t="s">
        <v>443</v>
      </c>
      <c r="U21" s="1102" t="s">
        <v>443</v>
      </c>
      <c r="V21" s="1103" t="s">
        <v>443</v>
      </c>
      <c r="W21" s="1098" t="s">
        <v>443</v>
      </c>
      <c r="X21" s="1099" t="s">
        <v>443</v>
      </c>
      <c r="Y21" s="1099" t="s">
        <v>443</v>
      </c>
      <c r="Z21" s="1099" t="s">
        <v>443</v>
      </c>
      <c r="AA21" s="1099" t="s">
        <v>443</v>
      </c>
      <c r="AB21" s="1099" t="s">
        <v>443</v>
      </c>
      <c r="AC21" s="1099" t="s">
        <v>443</v>
      </c>
      <c r="AD21" s="1099" t="s">
        <v>443</v>
      </c>
      <c r="AE21" s="1099" t="s">
        <v>443</v>
      </c>
      <c r="AF21" s="1099" t="s">
        <v>443</v>
      </c>
      <c r="AG21" s="1099" t="s">
        <v>443</v>
      </c>
      <c r="AH21" s="1100" t="s">
        <v>443</v>
      </c>
      <c r="AI21" s="1104" t="s">
        <v>443</v>
      </c>
      <c r="AJ21" s="1104" t="s">
        <v>443</v>
      </c>
      <c r="AK21" s="1104" t="s">
        <v>443</v>
      </c>
      <c r="AL21" s="1104" t="s">
        <v>443</v>
      </c>
      <c r="AM21" s="1104" t="s">
        <v>443</v>
      </c>
      <c r="AN21" s="1104" t="s">
        <v>443</v>
      </c>
      <c r="AO21" s="1104" t="s">
        <v>443</v>
      </c>
      <c r="AP21" s="1104" t="s">
        <v>443</v>
      </c>
      <c r="AQ21" s="1104" t="s">
        <v>443</v>
      </c>
      <c r="AR21" s="1104" t="s">
        <v>443</v>
      </c>
      <c r="AS21" s="1104" t="s">
        <v>443</v>
      </c>
      <c r="AT21" s="1104" t="s">
        <v>443</v>
      </c>
      <c r="AU21" s="1098" t="s">
        <v>443</v>
      </c>
      <c r="AV21" s="1099" t="s">
        <v>443</v>
      </c>
      <c r="AW21" s="1099" t="s">
        <v>443</v>
      </c>
      <c r="AX21" s="1099" t="s">
        <v>443</v>
      </c>
      <c r="AY21" s="1099" t="s">
        <v>443</v>
      </c>
      <c r="AZ21" s="1099" t="s">
        <v>443</v>
      </c>
      <c r="BA21" s="1099" t="s">
        <v>443</v>
      </c>
      <c r="BB21" s="1099" t="s">
        <v>443</v>
      </c>
      <c r="BC21" s="1099" t="s">
        <v>443</v>
      </c>
      <c r="BD21" s="1099" t="s">
        <v>443</v>
      </c>
      <c r="BE21" s="1099" t="s">
        <v>443</v>
      </c>
      <c r="BF21" s="1099" t="s">
        <v>443</v>
      </c>
      <c r="BG21" s="1105" t="s">
        <v>443</v>
      </c>
      <c r="BH21" s="1105" t="s">
        <v>443</v>
      </c>
      <c r="BI21" s="1105" t="s">
        <v>443</v>
      </c>
      <c r="BJ21" s="1105" t="s">
        <v>443</v>
      </c>
      <c r="BK21" s="1105" t="s">
        <v>443</v>
      </c>
      <c r="BL21" s="1105" t="s">
        <v>443</v>
      </c>
      <c r="BM21" s="1105" t="s">
        <v>443</v>
      </c>
      <c r="BN21" s="1105" t="s">
        <v>443</v>
      </c>
      <c r="BO21" s="1105" t="s">
        <v>443</v>
      </c>
      <c r="BP21" s="1105" t="s">
        <v>443</v>
      </c>
      <c r="BQ21" s="1105" t="s">
        <v>443</v>
      </c>
      <c r="BR21" s="1105" t="s">
        <v>443</v>
      </c>
      <c r="BS21" s="1106" t="s">
        <v>443</v>
      </c>
      <c r="BT21" s="1107" t="s">
        <v>443</v>
      </c>
      <c r="BU21" s="1107" t="s">
        <v>443</v>
      </c>
      <c r="BV21" s="1107" t="s">
        <v>443</v>
      </c>
      <c r="BW21" s="1107" t="s">
        <v>443</v>
      </c>
      <c r="BX21" s="1107" t="s">
        <v>443</v>
      </c>
      <c r="BY21" s="1107" t="s">
        <v>443</v>
      </c>
      <c r="BZ21" s="1107" t="s">
        <v>443</v>
      </c>
      <c r="CA21" s="1107" t="s">
        <v>443</v>
      </c>
      <c r="CB21" s="1107" t="s">
        <v>443</v>
      </c>
      <c r="CC21" s="1107" t="s">
        <v>443</v>
      </c>
      <c r="CD21" s="1107" t="s">
        <v>443</v>
      </c>
      <c r="CE21" s="1087" t="s">
        <v>443</v>
      </c>
      <c r="CF21" s="1088" t="s">
        <v>443</v>
      </c>
      <c r="CG21" s="1088" t="s">
        <v>443</v>
      </c>
      <c r="CH21" s="1088" t="s">
        <v>443</v>
      </c>
      <c r="CI21" s="1088" t="s">
        <v>443</v>
      </c>
      <c r="CJ21" s="1088" t="s">
        <v>443</v>
      </c>
      <c r="CK21" s="1088" t="s">
        <v>443</v>
      </c>
      <c r="CL21" s="1088" t="s">
        <v>443</v>
      </c>
      <c r="CM21" s="1088" t="s">
        <v>443</v>
      </c>
      <c r="CN21" s="1088" t="s">
        <v>443</v>
      </c>
      <c r="CO21" s="1088" t="s">
        <v>443</v>
      </c>
      <c r="CP21" s="1088" t="s">
        <v>443</v>
      </c>
      <c r="CQ21" s="1108" t="s">
        <v>443</v>
      </c>
      <c r="CR21" s="1109" t="s">
        <v>443</v>
      </c>
      <c r="CS21" s="1109" t="s">
        <v>443</v>
      </c>
      <c r="CT21" s="1109" t="s">
        <v>443</v>
      </c>
      <c r="CU21" s="1109" t="s">
        <v>443</v>
      </c>
      <c r="CV21" s="1109" t="s">
        <v>443</v>
      </c>
      <c r="CW21" s="1109" t="s">
        <v>443</v>
      </c>
      <c r="CX21" s="1109" t="s">
        <v>443</v>
      </c>
      <c r="CY21" s="1109" t="s">
        <v>443</v>
      </c>
      <c r="CZ21" s="1109" t="s">
        <v>443</v>
      </c>
      <c r="DA21" s="1109" t="s">
        <v>443</v>
      </c>
      <c r="DB21" s="1110" t="s">
        <v>443</v>
      </c>
      <c r="DC21" s="1091" t="s">
        <v>443</v>
      </c>
      <c r="DD21" s="1091" t="s">
        <v>443</v>
      </c>
      <c r="DE21" s="1091" t="s">
        <v>443</v>
      </c>
      <c r="DF21" s="1091" t="s">
        <v>443</v>
      </c>
      <c r="DG21" s="1091" t="s">
        <v>443</v>
      </c>
      <c r="DH21" s="1091" t="s">
        <v>443</v>
      </c>
      <c r="DI21" s="1091" t="s">
        <v>443</v>
      </c>
      <c r="DJ21" s="1091" t="s">
        <v>443</v>
      </c>
      <c r="DK21" s="1091" t="s">
        <v>443</v>
      </c>
      <c r="DL21" s="1091" t="s">
        <v>443</v>
      </c>
      <c r="DM21" s="1091" t="s">
        <v>443</v>
      </c>
      <c r="DN21" s="1092" t="s">
        <v>443</v>
      </c>
      <c r="DO21" s="1091" t="s">
        <v>443</v>
      </c>
      <c r="DP21" s="1091" t="s">
        <v>443</v>
      </c>
      <c r="DQ21" s="1091" t="s">
        <v>443</v>
      </c>
      <c r="DR21" s="1091" t="s">
        <v>443</v>
      </c>
      <c r="DS21" s="1091" t="s">
        <v>443</v>
      </c>
      <c r="DT21" s="1091" t="s">
        <v>443</v>
      </c>
      <c r="DU21" s="1091" t="s">
        <v>443</v>
      </c>
      <c r="DV21" s="1091" t="s">
        <v>443</v>
      </c>
      <c r="DW21" s="1091" t="s">
        <v>443</v>
      </c>
      <c r="DX21" s="1091" t="s">
        <v>443</v>
      </c>
      <c r="DY21" s="1091" t="s">
        <v>443</v>
      </c>
      <c r="DZ21" s="1091" t="s">
        <v>443</v>
      </c>
      <c r="EA21" s="1099"/>
      <c r="EB21" s="1111" t="s">
        <v>443</v>
      </c>
      <c r="EC21" s="1112" t="s">
        <v>443</v>
      </c>
      <c r="ED21" s="1112" t="s">
        <v>443</v>
      </c>
      <c r="EE21" s="1112" t="s">
        <v>443</v>
      </c>
      <c r="EF21" s="1112" t="s">
        <v>443</v>
      </c>
      <c r="EG21" s="1112" t="s">
        <v>443</v>
      </c>
      <c r="EH21" s="1112" t="s">
        <v>443</v>
      </c>
      <c r="EI21" s="1112" t="s">
        <v>443</v>
      </c>
      <c r="EJ21" s="1112" t="s">
        <v>443</v>
      </c>
      <c r="EK21" s="1113" t="s">
        <v>443</v>
      </c>
      <c r="EL21" s="1112"/>
      <c r="EM21" s="1318" t="s">
        <v>443</v>
      </c>
    </row>
    <row r="22" spans="1:143">
      <c r="A22" s="998"/>
      <c r="B22" s="1114" t="s">
        <v>715</v>
      </c>
      <c r="C22" s="1115" t="s">
        <v>716</v>
      </c>
      <c r="D22" s="1098">
        <v>67.496991576413961</v>
      </c>
      <c r="E22" s="1099">
        <v>65.319669267497389</v>
      </c>
      <c r="F22" s="1099">
        <v>59.834633748689882</v>
      </c>
      <c r="G22" s="1099">
        <v>78.49578820697954</v>
      </c>
      <c r="H22" s="1099">
        <v>73.296844066612323</v>
      </c>
      <c r="I22" s="1099">
        <v>76.774969915764132</v>
      </c>
      <c r="J22" s="1100">
        <v>52.521253056946549</v>
      </c>
      <c r="K22" s="1101">
        <v>66.283870967741933</v>
      </c>
      <c r="L22" s="1102">
        <v>70.071428571428569</v>
      </c>
      <c r="M22" s="1102">
        <v>75.354838709677423</v>
      </c>
      <c r="N22" s="1102">
        <v>74.666666666666671</v>
      </c>
      <c r="O22" s="1102">
        <v>73.367741935483863</v>
      </c>
      <c r="P22" s="1102">
        <v>93.8</v>
      </c>
      <c r="Q22" s="1102">
        <v>64.457901478979849</v>
      </c>
      <c r="R22" s="1102">
        <v>62.65284732735531</v>
      </c>
      <c r="S22" s="1102">
        <v>68.122743682310471</v>
      </c>
      <c r="T22" s="1102">
        <v>72.574822405962507</v>
      </c>
      <c r="U22" s="1102">
        <v>79.807460890493388</v>
      </c>
      <c r="V22" s="1103">
        <v>58.600209619191801</v>
      </c>
      <c r="W22" s="1098">
        <v>49.726330499592407</v>
      </c>
      <c r="X22" s="1099">
        <v>75.389020291298394</v>
      </c>
      <c r="Y22" s="1099">
        <v>61.954116688016768</v>
      </c>
      <c r="Z22" s="1099">
        <v>61.997593261131165</v>
      </c>
      <c r="AA22" s="1099">
        <v>68.21114369501467</v>
      </c>
      <c r="AB22" s="1099">
        <v>75.224242424242433</v>
      </c>
      <c r="AC22" s="1099">
        <v>75.073313782991207</v>
      </c>
      <c r="AD22" s="1099">
        <v>72.797653958944281</v>
      </c>
      <c r="AE22" s="1099">
        <v>75.842424242424244</v>
      </c>
      <c r="AF22" s="1099">
        <v>73.583577712609966</v>
      </c>
      <c r="AG22" s="1099">
        <v>76.036363636363632</v>
      </c>
      <c r="AH22" s="1100">
        <v>57.759530791788862</v>
      </c>
      <c r="AI22" s="1104">
        <v>41.923838360312097</v>
      </c>
      <c r="AJ22" s="1104">
        <v>48.904074265085093</v>
      </c>
      <c r="AK22" s="1104">
        <v>75.695819261674629</v>
      </c>
      <c r="AL22" s="1104">
        <v>63.586040914560769</v>
      </c>
      <c r="AM22" s="1104">
        <v>57.447304064283223</v>
      </c>
      <c r="AN22" s="1104">
        <v>61.227436823104696</v>
      </c>
      <c r="AO22" s="1104">
        <v>57.266862170087975</v>
      </c>
      <c r="AP22" s="1104">
        <v>68.954838709677418</v>
      </c>
      <c r="AQ22" s="1104">
        <v>64.400000000000006</v>
      </c>
      <c r="AR22" s="1104">
        <v>74.58064516129032</v>
      </c>
      <c r="AS22" s="1104">
        <v>80.13333333333334</v>
      </c>
      <c r="AT22" s="1104">
        <v>48.916129032258063</v>
      </c>
      <c r="AU22" s="1098">
        <v>64.027190887378282</v>
      </c>
      <c r="AV22" s="1099">
        <v>77.160615627466456</v>
      </c>
      <c r="AW22" s="1099">
        <v>68.793441454286224</v>
      </c>
      <c r="AX22" s="1099">
        <v>64.456721915285456</v>
      </c>
      <c r="AY22" s="1099">
        <v>70.067724113348788</v>
      </c>
      <c r="AZ22" s="1099">
        <v>72.403314917127076</v>
      </c>
      <c r="BA22" s="1099">
        <v>68.615220103368387</v>
      </c>
      <c r="BB22" s="1099">
        <v>66.387453216895381</v>
      </c>
      <c r="BC22" s="1099">
        <v>66.942909760589316</v>
      </c>
      <c r="BD22" s="1099">
        <v>74.763856710033863</v>
      </c>
      <c r="BE22" s="1099">
        <v>65.837937384898709</v>
      </c>
      <c r="BF22" s="1099">
        <v>61.112101229727323</v>
      </c>
      <c r="BG22" s="1105">
        <v>52.192122616289424</v>
      </c>
      <c r="BH22" s="1105">
        <v>69.080505130228886</v>
      </c>
      <c r="BI22" s="1105">
        <v>74.630190696845474</v>
      </c>
      <c r="BJ22" s="1105">
        <v>64.677716390423569</v>
      </c>
      <c r="BK22" s="1105">
        <v>59.178399572268759</v>
      </c>
      <c r="BL22" s="1105">
        <v>69.935543278084708</v>
      </c>
      <c r="BM22" s="1105">
        <v>71.502405988237399</v>
      </c>
      <c r="BN22" s="1105">
        <v>70.638032436285869</v>
      </c>
      <c r="BO22" s="1105">
        <v>76.261510128913443</v>
      </c>
      <c r="BP22" s="1105">
        <v>76.225271787560146</v>
      </c>
      <c r="BQ22" s="1105">
        <v>79.539594843462254</v>
      </c>
      <c r="BR22" s="1105">
        <v>53.537693815719123</v>
      </c>
      <c r="BS22" s="1106">
        <v>70.058813045802893</v>
      </c>
      <c r="BT22" s="1107">
        <v>75.080967803391118</v>
      </c>
      <c r="BU22" s="1107">
        <v>77.78470860809125</v>
      </c>
      <c r="BV22" s="1107">
        <v>69.465930018416216</v>
      </c>
      <c r="BW22" s="1107">
        <v>80.752094100873279</v>
      </c>
      <c r="BX22" s="1107">
        <v>87.136279926335163</v>
      </c>
      <c r="BY22" s="1107">
        <v>85.056139725539111</v>
      </c>
      <c r="BZ22" s="1107">
        <v>81.580823382641242</v>
      </c>
      <c r="CA22" s="1107">
        <v>80.791896869244937</v>
      </c>
      <c r="CB22" s="1107">
        <v>81.616467652824809</v>
      </c>
      <c r="CC22" s="1107">
        <v>88.784530386740329</v>
      </c>
      <c r="CD22" s="1107">
        <v>56.692211726964892</v>
      </c>
      <c r="CE22" s="1087">
        <v>63.936909641775088</v>
      </c>
      <c r="CF22" s="1088">
        <v>86.029992107340163</v>
      </c>
      <c r="CG22" s="1088">
        <v>81.322402423810374</v>
      </c>
      <c r="CH22" s="1088">
        <v>73.96869244935543</v>
      </c>
      <c r="CI22" s="1088">
        <v>73.28461949741579</v>
      </c>
      <c r="CJ22" s="1088">
        <v>77.412523020257822</v>
      </c>
      <c r="CK22" s="1088">
        <v>76.49260381393691</v>
      </c>
      <c r="CL22" s="1088">
        <v>68.677597576189626</v>
      </c>
      <c r="CM22" s="1088">
        <v>80.377532228360963</v>
      </c>
      <c r="CN22" s="1088">
        <v>78.470860809124929</v>
      </c>
      <c r="CO22" s="1088">
        <v>83.139963167587467</v>
      </c>
      <c r="CP22" s="1088">
        <v>58.715024059882367</v>
      </c>
      <c r="CQ22" s="1108">
        <v>63.286401710924963</v>
      </c>
      <c r="CR22" s="1109">
        <v>78.73914759273876</v>
      </c>
      <c r="CS22" s="1109">
        <v>73.837105685261093</v>
      </c>
      <c r="CT22" s="1109">
        <v>74.272559852670355</v>
      </c>
      <c r="CU22" s="1109">
        <v>53.911958652646582</v>
      </c>
      <c r="CV22" s="1109">
        <v>70.497237569060772</v>
      </c>
      <c r="CW22" s="1109">
        <v>74.7</v>
      </c>
      <c r="CX22" s="1109">
        <v>71.135359116022101</v>
      </c>
      <c r="CY22" s="1109">
        <v>79.491712707182316</v>
      </c>
      <c r="CZ22" s="1109">
        <v>77.379558011049724</v>
      </c>
      <c r="DA22" s="1109">
        <v>82.309005524861888</v>
      </c>
      <c r="DB22" s="1110">
        <v>53.540497237569056</v>
      </c>
      <c r="DC22" s="1091">
        <v>61.706353591160216</v>
      </c>
      <c r="DD22" s="1091">
        <v>69.288397790055242</v>
      </c>
      <c r="DE22" s="1091">
        <v>73.143093922651943</v>
      </c>
      <c r="DF22" s="1091">
        <v>55.565469613259665</v>
      </c>
      <c r="DG22" s="1091">
        <v>63.848066298342545</v>
      </c>
      <c r="DH22" s="1091">
        <v>65.722099447513813</v>
      </c>
      <c r="DI22" s="1091">
        <v>61.797790055248626</v>
      </c>
      <c r="DJ22" s="1091">
        <v>47.289460154241645</v>
      </c>
      <c r="DK22" s="1091">
        <v>65.380976863753219</v>
      </c>
      <c r="DL22" s="1091">
        <v>65.488431876606683</v>
      </c>
      <c r="DM22" s="1091">
        <v>78.193059125964012</v>
      </c>
      <c r="DN22" s="1092">
        <v>46.556041131105403</v>
      </c>
      <c r="DO22" s="1091">
        <v>41.139368770764122</v>
      </c>
      <c r="DP22" s="1091">
        <v>47.010797342192689</v>
      </c>
      <c r="DQ22" s="1091">
        <v>45.127740863787373</v>
      </c>
      <c r="DR22" s="1091">
        <v>48.234883720930235</v>
      </c>
      <c r="DS22" s="1091">
        <v>52.815946843853816</v>
      </c>
      <c r="DT22" s="1091">
        <v>50.913122923588041</v>
      </c>
      <c r="DU22" s="1091">
        <v>48.81196013289037</v>
      </c>
      <c r="DV22" s="1091">
        <v>43.45747508305648</v>
      </c>
      <c r="DW22" s="1091">
        <v>40.387541528239204</v>
      </c>
      <c r="DX22" s="1091">
        <v>59.595348837209301</v>
      </c>
      <c r="DY22" s="1091">
        <v>55.430897009966777</v>
      </c>
      <c r="DZ22" s="1091">
        <v>33.354318936877078</v>
      </c>
      <c r="EA22" s="1099"/>
      <c r="EB22" s="1111">
        <v>58.715024058950277</v>
      </c>
      <c r="EC22" s="1112">
        <v>71.374379014321647</v>
      </c>
      <c r="ED22" s="1112">
        <v>68.540617690203391</v>
      </c>
      <c r="EE22" s="1112">
        <v>61.74157999009411</v>
      </c>
      <c r="EF22" s="1112">
        <v>68.330121249829276</v>
      </c>
      <c r="EG22" s="1112">
        <v>68.059486868992664</v>
      </c>
      <c r="EH22" s="1112">
        <v>77.875645321981708</v>
      </c>
      <c r="EI22" s="1112">
        <v>75.023840157420722</v>
      </c>
      <c r="EJ22" s="1112">
        <f>AVERAGE(CQ22:DB22)</f>
        <v>71.091711971665632</v>
      </c>
      <c r="EK22" s="1113">
        <v>62.671530371859873</v>
      </c>
      <c r="EL22" s="1112">
        <f>AVERAGE(DO22:DZ22)</f>
        <v>47.189950166112965</v>
      </c>
      <c r="EM22" s="1318">
        <v>48.733312817390463</v>
      </c>
    </row>
    <row r="23" spans="1:143">
      <c r="A23" s="998"/>
      <c r="B23" s="1114" t="s">
        <v>717</v>
      </c>
      <c r="C23" s="1115" t="s">
        <v>718</v>
      </c>
      <c r="D23" s="1098">
        <v>64.929653679653683</v>
      </c>
      <c r="E23" s="1099">
        <v>73.129666682933973</v>
      </c>
      <c r="F23" s="1099">
        <v>63.340501792114701</v>
      </c>
      <c r="G23" s="1099">
        <v>67.95498084291188</v>
      </c>
      <c r="H23" s="1099">
        <v>69.822650467811755</v>
      </c>
      <c r="I23" s="1099">
        <v>75.882635882635881</v>
      </c>
      <c r="J23" s="1100">
        <v>54.641713863580399</v>
      </c>
      <c r="K23" s="1101">
        <v>63.423882286361064</v>
      </c>
      <c r="L23" s="1102">
        <v>73.871319520174481</v>
      </c>
      <c r="M23" s="1102">
        <v>75.572519083969468</v>
      </c>
      <c r="N23" s="1102">
        <v>71.465648854961827</v>
      </c>
      <c r="O23" s="1102">
        <v>66.747106623984237</v>
      </c>
      <c r="P23" s="1102">
        <v>80.575063613231563</v>
      </c>
      <c r="Q23" s="1102">
        <v>81.64937710198474</v>
      </c>
      <c r="R23" s="1102">
        <v>77.228506260764334</v>
      </c>
      <c r="S23" s="1102">
        <v>86.921229586935638</v>
      </c>
      <c r="T23" s="1102">
        <v>78.53490750209167</v>
      </c>
      <c r="U23" s="1102">
        <v>81.853986551392893</v>
      </c>
      <c r="V23" s="1103">
        <v>52.80282606674723</v>
      </c>
      <c r="W23" s="1098">
        <v>64.84149855907782</v>
      </c>
      <c r="X23" s="1099">
        <v>74.455927655768662</v>
      </c>
      <c r="Y23" s="1099">
        <v>74.509621641721665</v>
      </c>
      <c r="Z23" s="1099">
        <v>75.120076849183476</v>
      </c>
      <c r="AA23" s="1099">
        <v>73.426605931021655</v>
      </c>
      <c r="AB23" s="1099">
        <v>76.013448607108543</v>
      </c>
      <c r="AC23" s="1099">
        <v>80.031607325462488</v>
      </c>
      <c r="AD23" s="1099">
        <v>76.58733847727062</v>
      </c>
      <c r="AE23" s="1099">
        <v>77.017291066282425</v>
      </c>
      <c r="AF23" s="1099">
        <v>78.321093241610114</v>
      </c>
      <c r="AG23" s="1099">
        <v>79.783861671469737</v>
      </c>
      <c r="AH23" s="1100">
        <v>65.478293204425029</v>
      </c>
      <c r="AI23" s="1104">
        <v>57.888899158887142</v>
      </c>
      <c r="AJ23" s="1104">
        <v>69.274457634056489</v>
      </c>
      <c r="AK23" s="1104">
        <v>67.147207155771255</v>
      </c>
      <c r="AL23" s="1104">
        <v>53.180924287118984</v>
      </c>
      <c r="AM23" s="1104">
        <v>60.976306023408512</v>
      </c>
      <c r="AN23" s="1104">
        <v>63.820058997050147</v>
      </c>
      <c r="AO23" s="1104">
        <v>68.184413359977157</v>
      </c>
      <c r="AP23" s="1104">
        <v>70.401560567132933</v>
      </c>
      <c r="AQ23" s="1104">
        <v>71.032448377581119</v>
      </c>
      <c r="AR23" s="1104">
        <v>82.115329717385094</v>
      </c>
      <c r="AS23" s="1104">
        <v>78.85447394296952</v>
      </c>
      <c r="AT23" s="1104">
        <v>58.554572271386427</v>
      </c>
      <c r="AU23" s="1098">
        <v>56.18181818181818</v>
      </c>
      <c r="AV23" s="1099">
        <v>71.318181818181813</v>
      </c>
      <c r="AW23" s="1099">
        <v>71.47214076246334</v>
      </c>
      <c r="AX23" s="1099">
        <v>62.32121212121212</v>
      </c>
      <c r="AY23" s="1099">
        <v>67.067448680351902</v>
      </c>
      <c r="AZ23" s="1099">
        <v>63.375757575757575</v>
      </c>
      <c r="BA23" s="1099">
        <v>70.275659824046926</v>
      </c>
      <c r="BB23" s="1099">
        <v>69.120234604105562</v>
      </c>
      <c r="BC23" s="1099">
        <v>67.236363636363635</v>
      </c>
      <c r="BD23" s="1099">
        <v>76.035190615835774</v>
      </c>
      <c r="BE23" s="1099">
        <v>78.290909090909082</v>
      </c>
      <c r="BF23" s="1099">
        <v>53.55425219941349</v>
      </c>
      <c r="BG23" s="1105">
        <v>56.357771260997069</v>
      </c>
      <c r="BH23" s="1105">
        <v>71.350649350649348</v>
      </c>
      <c r="BI23" s="1105">
        <v>73.00879765395895</v>
      </c>
      <c r="BJ23" s="1105">
        <v>66.006060606060601</v>
      </c>
      <c r="BK23" s="1105">
        <v>73.161290322580641</v>
      </c>
      <c r="BL23" s="1105">
        <v>72.187878787878788</v>
      </c>
      <c r="BM23" s="1105">
        <v>69.519061583577709</v>
      </c>
      <c r="BN23" s="1105">
        <v>70.768328445747798</v>
      </c>
      <c r="BO23" s="1105">
        <v>72.678787878787873</v>
      </c>
      <c r="BP23" s="1105">
        <v>76.498533724340177</v>
      </c>
      <c r="BQ23" s="1105">
        <v>82.448484848484853</v>
      </c>
      <c r="BR23" s="1105">
        <v>54.387096774193544</v>
      </c>
      <c r="BS23" s="1106">
        <v>61.366568914956012</v>
      </c>
      <c r="BT23" s="1107">
        <v>68.852664576802496</v>
      </c>
      <c r="BU23" s="1107">
        <v>80.879765395894438</v>
      </c>
      <c r="BV23" s="1107">
        <v>68.648484848484841</v>
      </c>
      <c r="BW23" s="1107">
        <v>78.99706744868034</v>
      </c>
      <c r="BX23" s="1107">
        <v>77.266666666666666</v>
      </c>
      <c r="BY23" s="1107">
        <v>66.833333333333329</v>
      </c>
      <c r="BZ23" s="1107">
        <v>68.327956989247312</v>
      </c>
      <c r="CA23" s="1107">
        <v>74.927777777777777</v>
      </c>
      <c r="CB23" s="1107">
        <v>75.989247311827953</v>
      </c>
      <c r="CC23" s="1107">
        <v>85.022222222222226</v>
      </c>
      <c r="CD23" s="1107">
        <v>53.790322580645167</v>
      </c>
      <c r="CE23" s="1087">
        <v>60.860215053763447</v>
      </c>
      <c r="CF23" s="1088">
        <v>72.232142857142861</v>
      </c>
      <c r="CG23" s="1088">
        <v>73.473118279569889</v>
      </c>
      <c r="CH23" s="1088">
        <v>72.516666666666666</v>
      </c>
      <c r="CI23" s="1088">
        <v>69.473118279569889</v>
      </c>
      <c r="CJ23" s="1088">
        <v>73.611111111111114</v>
      </c>
      <c r="CK23" s="1088">
        <v>71.478494623655919</v>
      </c>
      <c r="CL23" s="1088">
        <v>61.043010752688176</v>
      </c>
      <c r="CM23" s="1088">
        <v>72.55</v>
      </c>
      <c r="CN23" s="1088">
        <v>71.204301075268816</v>
      </c>
      <c r="CO23" s="1088">
        <v>70.51111111111112</v>
      </c>
      <c r="CP23" s="1088">
        <v>57.381720430107528</v>
      </c>
      <c r="CQ23" s="1108">
        <v>59.41935483870968</v>
      </c>
      <c r="CR23" s="1109">
        <v>78.511904761904759</v>
      </c>
      <c r="CS23" s="1109">
        <v>70.349462365591393</v>
      </c>
      <c r="CT23" s="1109">
        <v>66.277777777777786</v>
      </c>
      <c r="CU23" s="1109">
        <v>67.392473118279568</v>
      </c>
      <c r="CV23" s="1109">
        <v>58.610666666666667</v>
      </c>
      <c r="CW23" s="1109">
        <v>70.400000000000006</v>
      </c>
      <c r="CX23" s="1109">
        <v>62.460666666666661</v>
      </c>
      <c r="CY23" s="1109">
        <v>81.197999999999993</v>
      </c>
      <c r="CZ23" s="1109">
        <v>68.039333333333332</v>
      </c>
      <c r="DA23" s="1109">
        <v>74.184533333333334</v>
      </c>
      <c r="DB23" s="1110">
        <v>42.640333333333331</v>
      </c>
      <c r="DC23" s="1091">
        <v>58.609333333333339</v>
      </c>
      <c r="DD23" s="1091">
        <v>57.634666666666668</v>
      </c>
      <c r="DE23" s="1091">
        <v>62.981999999999999</v>
      </c>
      <c r="DF23" s="1091">
        <v>58.549933333333335</v>
      </c>
      <c r="DG23" s="1091">
        <v>63.189333333333337</v>
      </c>
      <c r="DH23" s="1091">
        <v>63.079333333333331</v>
      </c>
      <c r="DI23" s="1091">
        <v>63.728666666666662</v>
      </c>
      <c r="DJ23" s="1091">
        <v>61.898046181172298</v>
      </c>
      <c r="DK23" s="1091">
        <v>46.637833037300176</v>
      </c>
      <c r="DL23" s="1091">
        <v>62.900532859680283</v>
      </c>
      <c r="DM23" s="1091">
        <v>70.91865008880994</v>
      </c>
      <c r="DN23" s="1092">
        <v>53.558288770053473</v>
      </c>
      <c r="DO23" s="1091">
        <v>65.765022421524662</v>
      </c>
      <c r="DP23" s="1091">
        <v>58.396860986547082</v>
      </c>
      <c r="DQ23" s="1091">
        <v>63.58968609865471</v>
      </c>
      <c r="DR23" s="1091">
        <v>67.001793721973101</v>
      </c>
      <c r="DS23" s="1091">
        <v>60.262331838565025</v>
      </c>
      <c r="DT23" s="1091">
        <v>66.027802690582959</v>
      </c>
      <c r="DU23" s="1091">
        <v>54.58071748878924</v>
      </c>
      <c r="DV23" s="1091">
        <v>57.997757847533634</v>
      </c>
      <c r="DW23" s="1091">
        <v>74.991031390134523</v>
      </c>
      <c r="DX23" s="1091">
        <v>78.210762331838566</v>
      </c>
      <c r="DY23" s="1091">
        <v>63.105829596412555</v>
      </c>
      <c r="DZ23" s="1091">
        <v>43.397309417040354</v>
      </c>
      <c r="EA23" s="1099"/>
      <c r="EB23" s="1111">
        <v>79.325513200000003</v>
      </c>
      <c r="EC23" s="1112">
        <v>74.327869661405842</v>
      </c>
      <c r="ED23" s="1112">
        <v>74.607486496275598</v>
      </c>
      <c r="EE23" s="1112">
        <v>66.749648099738565</v>
      </c>
      <c r="EF23" s="1112">
        <v>67.146699875466993</v>
      </c>
      <c r="EG23" s="1112">
        <v>69.814196762141961</v>
      </c>
      <c r="EH23" s="1112">
        <v>71.702358490566013</v>
      </c>
      <c r="EI23" s="1112">
        <v>68.795890410958876</v>
      </c>
      <c r="EJ23" s="1112">
        <f>AVERAGE(CQ23:DB23)</f>
        <v>66.623708849633033</v>
      </c>
      <c r="EK23" s="1113">
        <v>60.367191961627363</v>
      </c>
      <c r="EL23" s="1112">
        <f>AVERAGE(DO23:DZ23)</f>
        <v>62.777242152466364</v>
      </c>
      <c r="EM23" s="1318">
        <v>63.721487294469362</v>
      </c>
    </row>
    <row r="24" spans="1:143">
      <c r="A24" s="998"/>
      <c r="B24" s="1114" t="s">
        <v>719</v>
      </c>
      <c r="C24" s="1115" t="s">
        <v>720</v>
      </c>
      <c r="D24" s="1098" t="s">
        <v>443</v>
      </c>
      <c r="E24" s="1099" t="s">
        <v>443</v>
      </c>
      <c r="F24" s="1099" t="s">
        <v>443</v>
      </c>
      <c r="G24" s="1099" t="s">
        <v>443</v>
      </c>
      <c r="H24" s="1099" t="s">
        <v>443</v>
      </c>
      <c r="I24" s="1099" t="s">
        <v>443</v>
      </c>
      <c r="J24" s="1100" t="s">
        <v>443</v>
      </c>
      <c r="K24" s="1101"/>
      <c r="L24" s="1102" t="s">
        <v>443</v>
      </c>
      <c r="M24" s="1102" t="s">
        <v>443</v>
      </c>
      <c r="N24" s="1102" t="s">
        <v>443</v>
      </c>
      <c r="O24" s="1102" t="s">
        <v>443</v>
      </c>
      <c r="P24" s="1102" t="s">
        <v>443</v>
      </c>
      <c r="Q24" s="1102" t="s">
        <v>443</v>
      </c>
      <c r="R24" s="1102" t="s">
        <v>443</v>
      </c>
      <c r="S24" s="1102" t="s">
        <v>443</v>
      </c>
      <c r="T24" s="1102" t="s">
        <v>443</v>
      </c>
      <c r="U24" s="1102" t="s">
        <v>443</v>
      </c>
      <c r="V24" s="1103" t="s">
        <v>443</v>
      </c>
      <c r="W24" s="1098" t="s">
        <v>443</v>
      </c>
      <c r="X24" s="1099" t="s">
        <v>443</v>
      </c>
      <c r="Y24" s="1099" t="s">
        <v>443</v>
      </c>
      <c r="Z24" s="1099" t="s">
        <v>443</v>
      </c>
      <c r="AA24" s="1099" t="s">
        <v>443</v>
      </c>
      <c r="AB24" s="1099" t="s">
        <v>443</v>
      </c>
      <c r="AC24" s="1099" t="s">
        <v>443</v>
      </c>
      <c r="AD24" s="1099" t="s">
        <v>443</v>
      </c>
      <c r="AE24" s="1099" t="s">
        <v>443</v>
      </c>
      <c r="AF24" s="1099" t="s">
        <v>443</v>
      </c>
      <c r="AG24" s="1099" t="s">
        <v>443</v>
      </c>
      <c r="AH24" s="1100" t="s">
        <v>443</v>
      </c>
      <c r="AI24" s="1104" t="s">
        <v>443</v>
      </c>
      <c r="AJ24" s="1104" t="s">
        <v>443</v>
      </c>
      <c r="AK24" s="1104" t="s">
        <v>443</v>
      </c>
      <c r="AL24" s="1104" t="s">
        <v>443</v>
      </c>
      <c r="AM24" s="1104" t="s">
        <v>443</v>
      </c>
      <c r="AN24" s="1104" t="s">
        <v>443</v>
      </c>
      <c r="AO24" s="1104" t="s">
        <v>443</v>
      </c>
      <c r="AP24" s="1104" t="s">
        <v>443</v>
      </c>
      <c r="AQ24" s="1104" t="s">
        <v>443</v>
      </c>
      <c r="AR24" s="1104" t="s">
        <v>443</v>
      </c>
      <c r="AS24" s="1104" t="s">
        <v>443</v>
      </c>
      <c r="AT24" s="1104" t="s">
        <v>443</v>
      </c>
      <c r="AU24" s="1098" t="s">
        <v>443</v>
      </c>
      <c r="AV24" s="1099" t="s">
        <v>443</v>
      </c>
      <c r="AW24" s="1099" t="s">
        <v>443</v>
      </c>
      <c r="AX24" s="1099" t="s">
        <v>443</v>
      </c>
      <c r="AY24" s="1099" t="s">
        <v>443</v>
      </c>
      <c r="AZ24" s="1099" t="s">
        <v>443</v>
      </c>
      <c r="BA24" s="1099" t="s">
        <v>443</v>
      </c>
      <c r="BB24" s="1099" t="s">
        <v>443</v>
      </c>
      <c r="BC24" s="1099" t="s">
        <v>443</v>
      </c>
      <c r="BD24" s="1099" t="s">
        <v>443</v>
      </c>
      <c r="BE24" s="1099" t="s">
        <v>443</v>
      </c>
      <c r="BF24" s="1099" t="s">
        <v>443</v>
      </c>
      <c r="BG24" s="1105" t="s">
        <v>443</v>
      </c>
      <c r="BH24" s="1105" t="s">
        <v>443</v>
      </c>
      <c r="BI24" s="1105" t="s">
        <v>443</v>
      </c>
      <c r="BJ24" s="1105" t="s">
        <v>443</v>
      </c>
      <c r="BK24" s="1105" t="s">
        <v>443</v>
      </c>
      <c r="BL24" s="1105" t="s">
        <v>443</v>
      </c>
      <c r="BM24" s="1105" t="s">
        <v>443</v>
      </c>
      <c r="BN24" s="1105" t="s">
        <v>443</v>
      </c>
      <c r="BO24" s="1105" t="s">
        <v>443</v>
      </c>
      <c r="BP24" s="1105" t="s">
        <v>443</v>
      </c>
      <c r="BQ24" s="1105" t="s">
        <v>443</v>
      </c>
      <c r="BR24" s="1105" t="s">
        <v>443</v>
      </c>
      <c r="BS24" s="1106" t="s">
        <v>443</v>
      </c>
      <c r="BT24" s="1107" t="s">
        <v>443</v>
      </c>
      <c r="BU24" s="1107" t="s">
        <v>443</v>
      </c>
      <c r="BV24" s="1107" t="s">
        <v>443</v>
      </c>
      <c r="BW24" s="1107" t="s">
        <v>443</v>
      </c>
      <c r="BX24" s="1107" t="s">
        <v>443</v>
      </c>
      <c r="BY24" s="1107" t="s">
        <v>443</v>
      </c>
      <c r="BZ24" s="1107" t="s">
        <v>443</v>
      </c>
      <c r="CA24" s="1107" t="s">
        <v>443</v>
      </c>
      <c r="CB24" s="1107" t="s">
        <v>443</v>
      </c>
      <c r="CC24" s="1107" t="s">
        <v>443</v>
      </c>
      <c r="CD24" s="1107" t="s">
        <v>443</v>
      </c>
      <c r="CE24" s="1087" t="s">
        <v>443</v>
      </c>
      <c r="CF24" s="1088" t="s">
        <v>443</v>
      </c>
      <c r="CG24" s="1088" t="s">
        <v>443</v>
      </c>
      <c r="CH24" s="1088" t="s">
        <v>443</v>
      </c>
      <c r="CI24" s="1088" t="s">
        <v>443</v>
      </c>
      <c r="CJ24" s="1088" t="s">
        <v>443</v>
      </c>
      <c r="CK24" s="1088" t="s">
        <v>443</v>
      </c>
      <c r="CL24" s="1088" t="s">
        <v>443</v>
      </c>
      <c r="CM24" s="1088" t="s">
        <v>443</v>
      </c>
      <c r="CN24" s="1088" t="s">
        <v>443</v>
      </c>
      <c r="CO24" s="1088" t="s">
        <v>443</v>
      </c>
      <c r="CP24" s="1088" t="s">
        <v>443</v>
      </c>
      <c r="CQ24" s="1108" t="s">
        <v>443</v>
      </c>
      <c r="CR24" s="1109" t="s">
        <v>443</v>
      </c>
      <c r="CS24" s="1109" t="s">
        <v>443</v>
      </c>
      <c r="CT24" s="1109" t="s">
        <v>443</v>
      </c>
      <c r="CU24" s="1109" t="s">
        <v>443</v>
      </c>
      <c r="CV24" s="1109" t="s">
        <v>443</v>
      </c>
      <c r="CW24" s="1109" t="s">
        <v>443</v>
      </c>
      <c r="CX24" s="1109" t="s">
        <v>443</v>
      </c>
      <c r="CY24" s="1109" t="s">
        <v>443</v>
      </c>
      <c r="CZ24" s="1109" t="s">
        <v>443</v>
      </c>
      <c r="DA24" s="1109" t="s">
        <v>443</v>
      </c>
      <c r="DB24" s="1110" t="s">
        <v>443</v>
      </c>
      <c r="DC24" s="1091" t="s">
        <v>443</v>
      </c>
      <c r="DD24" s="1091" t="s">
        <v>443</v>
      </c>
      <c r="DE24" s="1091" t="s">
        <v>443</v>
      </c>
      <c r="DF24" s="1091" t="s">
        <v>443</v>
      </c>
      <c r="DG24" s="1091" t="s">
        <v>443</v>
      </c>
      <c r="DH24" s="1091" t="s">
        <v>443</v>
      </c>
      <c r="DI24" s="1091" t="s">
        <v>443</v>
      </c>
      <c r="DJ24" s="1091" t="s">
        <v>443</v>
      </c>
      <c r="DK24" s="1091" t="s">
        <v>443</v>
      </c>
      <c r="DL24" s="1091" t="s">
        <v>443</v>
      </c>
      <c r="DM24" s="1091" t="s">
        <v>443</v>
      </c>
      <c r="DN24" s="1092" t="s">
        <v>443</v>
      </c>
      <c r="DO24" s="1091" t="s">
        <v>443</v>
      </c>
      <c r="DP24" s="1091" t="s">
        <v>443</v>
      </c>
      <c r="DQ24" s="1091" t="s">
        <v>443</v>
      </c>
      <c r="DR24" s="1091" t="s">
        <v>443</v>
      </c>
      <c r="DS24" s="1091" t="s">
        <v>443</v>
      </c>
      <c r="DT24" s="1091" t="s">
        <v>443</v>
      </c>
      <c r="DU24" s="1091" t="s">
        <v>443</v>
      </c>
      <c r="DV24" s="1091" t="s">
        <v>443</v>
      </c>
      <c r="DW24" s="1091" t="s">
        <v>443</v>
      </c>
      <c r="DX24" s="1091" t="s">
        <v>443</v>
      </c>
      <c r="DY24" s="1091" t="s">
        <v>443</v>
      </c>
      <c r="DZ24" s="1091" t="s">
        <v>443</v>
      </c>
      <c r="EA24" s="1099"/>
      <c r="EB24" s="1111" t="s">
        <v>443</v>
      </c>
      <c r="EC24" s="1112" t="s">
        <v>443</v>
      </c>
      <c r="ED24" s="1112" t="s">
        <v>443</v>
      </c>
      <c r="EE24" s="1112" t="s">
        <v>443</v>
      </c>
      <c r="EF24" s="1112" t="s">
        <v>443</v>
      </c>
      <c r="EG24" s="1112" t="s">
        <v>443</v>
      </c>
      <c r="EH24" s="1112" t="s">
        <v>443</v>
      </c>
      <c r="EI24" s="1112" t="s">
        <v>443</v>
      </c>
      <c r="EJ24" s="1112"/>
      <c r="EK24" s="1113" t="s">
        <v>443</v>
      </c>
      <c r="EL24" s="1112"/>
      <c r="EM24" s="1318"/>
    </row>
    <row r="25" spans="1:143">
      <c r="A25" s="998"/>
      <c r="B25" s="1114"/>
      <c r="C25" s="1115"/>
      <c r="D25" s="1098"/>
      <c r="E25" s="1099"/>
      <c r="F25" s="1099"/>
      <c r="G25" s="1099"/>
      <c r="H25" s="1099"/>
      <c r="I25" s="1099"/>
      <c r="J25" s="1100"/>
      <c r="K25" s="1101"/>
      <c r="L25" s="1102"/>
      <c r="M25" s="1102"/>
      <c r="N25" s="1102"/>
      <c r="O25" s="1102"/>
      <c r="P25" s="1102"/>
      <c r="Q25" s="1102"/>
      <c r="R25" s="1102"/>
      <c r="S25" s="1102"/>
      <c r="T25" s="1102"/>
      <c r="U25" s="1102"/>
      <c r="V25" s="1103"/>
      <c r="W25" s="1098"/>
      <c r="X25" s="1099"/>
      <c r="Y25" s="1099"/>
      <c r="Z25" s="1099"/>
      <c r="AA25" s="1099"/>
      <c r="AB25" s="1099"/>
      <c r="AC25" s="1099"/>
      <c r="AD25" s="1099"/>
      <c r="AE25" s="1099"/>
      <c r="AF25" s="1099"/>
      <c r="AG25" s="1099"/>
      <c r="AH25" s="1100"/>
      <c r="AI25" s="1104"/>
      <c r="AJ25" s="1104"/>
      <c r="AK25" s="1104"/>
      <c r="AL25" s="1104"/>
      <c r="AM25" s="1104"/>
      <c r="AN25" s="1104"/>
      <c r="AO25" s="1104"/>
      <c r="AP25" s="1104"/>
      <c r="AQ25" s="1104"/>
      <c r="AR25" s="1104"/>
      <c r="AS25" s="1104"/>
      <c r="AT25" s="1104"/>
      <c r="AU25" s="1098"/>
      <c r="AV25" s="1099"/>
      <c r="AW25" s="1099"/>
      <c r="AX25" s="1099"/>
      <c r="AY25" s="1099"/>
      <c r="AZ25" s="1099"/>
      <c r="BA25" s="1099"/>
      <c r="BB25" s="1099"/>
      <c r="BC25" s="1099"/>
      <c r="BD25" s="1099"/>
      <c r="BE25" s="1099"/>
      <c r="BF25" s="1099"/>
      <c r="BG25" s="1105"/>
      <c r="BH25" s="1105"/>
      <c r="BI25" s="1105"/>
      <c r="BJ25" s="1105"/>
      <c r="BK25" s="1105"/>
      <c r="BL25" s="1105"/>
      <c r="BM25" s="1105"/>
      <c r="BN25" s="1105"/>
      <c r="BO25" s="1105"/>
      <c r="BP25" s="1105"/>
      <c r="BQ25" s="1105"/>
      <c r="BR25" s="1105"/>
      <c r="BS25" s="1106"/>
      <c r="BT25" s="1107"/>
      <c r="BU25" s="1107"/>
      <c r="BV25" s="1107"/>
      <c r="BW25" s="1107"/>
      <c r="BX25" s="1107"/>
      <c r="BY25" s="1107"/>
      <c r="BZ25" s="1107"/>
      <c r="CA25" s="1107"/>
      <c r="CB25" s="1107"/>
      <c r="CC25" s="1107"/>
      <c r="CD25" s="1107"/>
      <c r="CE25" s="1087"/>
      <c r="CF25" s="1088"/>
      <c r="CG25" s="1088"/>
      <c r="CH25" s="1088"/>
      <c r="CI25" s="1088"/>
      <c r="CJ25" s="1088"/>
      <c r="CK25" s="1088"/>
      <c r="CL25" s="1088"/>
      <c r="CM25" s="1088"/>
      <c r="CN25" s="1088"/>
      <c r="CO25" s="1088"/>
      <c r="CP25" s="1088"/>
      <c r="CQ25" s="1108"/>
      <c r="CR25" s="1109"/>
      <c r="CS25" s="1109"/>
      <c r="CT25" s="1109"/>
      <c r="CU25" s="1109"/>
      <c r="CV25" s="1109"/>
      <c r="CW25" s="1109"/>
      <c r="CX25" s="1109"/>
      <c r="CY25" s="1109"/>
      <c r="CZ25" s="1109"/>
      <c r="DA25" s="1109"/>
      <c r="DB25" s="1110"/>
      <c r="DC25" s="1091"/>
      <c r="DD25" s="1091"/>
      <c r="DE25" s="1091"/>
      <c r="DF25" s="1091"/>
      <c r="DG25" s="1091"/>
      <c r="DH25" s="1091"/>
      <c r="DI25" s="1091"/>
      <c r="DJ25" s="1091"/>
      <c r="DK25" s="1091"/>
      <c r="DL25" s="1091"/>
      <c r="DM25" s="1091"/>
      <c r="DN25" s="1092"/>
      <c r="DO25" s="1091"/>
      <c r="DP25" s="1091"/>
      <c r="DQ25" s="1091"/>
      <c r="DR25" s="1091"/>
      <c r="DS25" s="1091"/>
      <c r="DT25" s="1091"/>
      <c r="DU25" s="1091"/>
      <c r="DV25" s="1091"/>
      <c r="DW25" s="1091"/>
      <c r="DX25" s="1091"/>
      <c r="DY25" s="1091"/>
      <c r="DZ25" s="1091"/>
      <c r="EA25" s="1099"/>
      <c r="EB25" s="1111"/>
      <c r="EC25" s="1112"/>
      <c r="ED25" s="1112"/>
      <c r="EE25" s="1112"/>
      <c r="EF25" s="1112"/>
      <c r="EG25" s="1112"/>
      <c r="EH25" s="1112"/>
      <c r="EI25" s="1112"/>
      <c r="EJ25" s="1112"/>
      <c r="EK25" s="1113"/>
      <c r="EL25" s="1112"/>
      <c r="EM25" s="1318"/>
    </row>
    <row r="26" spans="1:143">
      <c r="A26" s="998"/>
      <c r="B26" s="1014" t="s">
        <v>764</v>
      </c>
      <c r="C26" s="1117"/>
      <c r="D26" s="1098">
        <v>45.746951219512191</v>
      </c>
      <c r="E26" s="1099">
        <v>44.423549833646753</v>
      </c>
      <c r="F26" s="1099">
        <v>46.168896280173151</v>
      </c>
      <c r="G26" s="1099">
        <v>43.744257274119448</v>
      </c>
      <c r="H26" s="1099">
        <v>49.859529423568958</v>
      </c>
      <c r="I26" s="1099">
        <v>49.807592303692147</v>
      </c>
      <c r="J26" s="1100">
        <v>40.646617636350399</v>
      </c>
      <c r="K26" s="1101">
        <v>45.156822446608885</v>
      </c>
      <c r="L26" s="1102">
        <v>48.166245745031304</v>
      </c>
      <c r="M26" s="1102">
        <v>46.574980798771122</v>
      </c>
      <c r="N26" s="1102">
        <v>46.723710317460323</v>
      </c>
      <c r="O26" s="1102">
        <v>48.334293394777248</v>
      </c>
      <c r="P26" s="1102">
        <v>50.376984126984134</v>
      </c>
      <c r="Q26" s="1102">
        <v>54.783258594917804</v>
      </c>
      <c r="R26" s="1102">
        <v>54.364467982667321</v>
      </c>
      <c r="S26" s="1102">
        <v>47.070858283433154</v>
      </c>
      <c r="T26" s="1102">
        <v>55.324029360633567</v>
      </c>
      <c r="U26" s="1102">
        <v>58.405688622754482</v>
      </c>
      <c r="V26" s="1103">
        <v>42.964071856287433</v>
      </c>
      <c r="W26" s="1098">
        <v>48.650280084991309</v>
      </c>
      <c r="X26" s="1099">
        <v>50.988540161057195</v>
      </c>
      <c r="Y26" s="1099">
        <v>48.099768205524448</v>
      </c>
      <c r="Z26" s="1099">
        <v>50.508982035928163</v>
      </c>
      <c r="AA26" s="1099">
        <v>51.209677419354882</v>
      </c>
      <c r="AB26" s="1099">
        <v>55.549698795180745</v>
      </c>
      <c r="AC26" s="1099">
        <v>58.892829382044368</v>
      </c>
      <c r="AD26" s="1099">
        <v>55.591721725612175</v>
      </c>
      <c r="AE26" s="1099">
        <v>52.999497991967878</v>
      </c>
      <c r="AF26" s="1099">
        <v>54.181915125663473</v>
      </c>
      <c r="AG26" s="1099">
        <v>58.066616579013278</v>
      </c>
      <c r="AH26" s="1100">
        <v>49.013797123979764</v>
      </c>
      <c r="AI26" s="1104">
        <v>48.092979127134718</v>
      </c>
      <c r="AJ26" s="1104">
        <v>47.124474789915986</v>
      </c>
      <c r="AK26" s="1104">
        <v>44.800730734099318</v>
      </c>
      <c r="AL26" s="1104">
        <v>46.430700447093891</v>
      </c>
      <c r="AM26" s="1104">
        <v>48.765902701672466</v>
      </c>
      <c r="AN26" s="1104">
        <v>49.590385087073798</v>
      </c>
      <c r="AO26" s="1104">
        <v>52.752260912910387</v>
      </c>
      <c r="AP26" s="1104">
        <v>49.424048662499708</v>
      </c>
      <c r="AQ26" s="1104">
        <v>49.752720079129574</v>
      </c>
      <c r="AR26" s="1104">
        <v>52.259007734389748</v>
      </c>
      <c r="AS26" s="1104">
        <v>53.63060428849905</v>
      </c>
      <c r="AT26" s="1104">
        <v>47.110460863204082</v>
      </c>
      <c r="AU26" s="1098">
        <v>44.80146342433342</v>
      </c>
      <c r="AV26" s="1099">
        <v>52.718253968253983</v>
      </c>
      <c r="AW26" s="1099">
        <v>53.064516129032256</v>
      </c>
      <c r="AX26" s="1099">
        <v>50.985630439182337</v>
      </c>
      <c r="AY26" s="1099">
        <v>51.530642223397372</v>
      </c>
      <c r="AZ26" s="1099">
        <v>55.636510827767651</v>
      </c>
      <c r="BA26" s="1099">
        <v>57.216444366100639</v>
      </c>
      <c r="BB26" s="1099">
        <v>52.717550972442559</v>
      </c>
      <c r="BC26" s="1099">
        <v>52.098765432098745</v>
      </c>
      <c r="BD26" s="1099">
        <v>56.856062831737077</v>
      </c>
      <c r="BE26" s="1099">
        <v>59.321999595223595</v>
      </c>
      <c r="BF26" s="1099">
        <v>49.636680572693258</v>
      </c>
      <c r="BG26" s="1105">
        <v>48.171651291693593</v>
      </c>
      <c r="BH26" s="1105">
        <v>54.85297944314339</v>
      </c>
      <c r="BI26" s="1105">
        <v>55.134457567032925</v>
      </c>
      <c r="BJ26" s="1105">
        <v>52.754503137016783</v>
      </c>
      <c r="BK26" s="1105">
        <v>53.634173570715092</v>
      </c>
      <c r="BL26" s="1105">
        <v>53.978951629224845</v>
      </c>
      <c r="BM26" s="1105">
        <v>58.467986759895815</v>
      </c>
      <c r="BN26" s="1105">
        <v>57.324167107350611</v>
      </c>
      <c r="BO26" s="1105">
        <v>57.051204209674154</v>
      </c>
      <c r="BP26" s="1105">
        <v>58.772385404043291</v>
      </c>
      <c r="BQ26" s="1105">
        <v>63.502285827867212</v>
      </c>
      <c r="BR26" s="1105">
        <v>51.14355511954912</v>
      </c>
      <c r="BS26" s="1106">
        <v>54.153923096158671</v>
      </c>
      <c r="BT26" s="1107">
        <v>58.820142701457875</v>
      </c>
      <c r="BU26" s="1107">
        <v>59.624521514994143</v>
      </c>
      <c r="BV26" s="1107">
        <v>55.01490757304709</v>
      </c>
      <c r="BW26" s="1107">
        <v>57.637486294650571</v>
      </c>
      <c r="BX26" s="1107">
        <v>63.361160803021264</v>
      </c>
      <c r="BY26" s="1107">
        <v>60.693160987962237</v>
      </c>
      <c r="BZ26" s="1107">
        <v>58.66545722546627</v>
      </c>
      <c r="CA26" s="1107">
        <v>60.615114235500876</v>
      </c>
      <c r="CB26" s="1107">
        <v>60.740404784851741</v>
      </c>
      <c r="CC26" s="1107">
        <v>68.14489357547356</v>
      </c>
      <c r="CD26" s="1107">
        <v>49.821418447757786</v>
      </c>
      <c r="CE26" s="1087">
        <v>52.616361471738756</v>
      </c>
      <c r="CF26" s="1088">
        <v>58.640890451083784</v>
      </c>
      <c r="CG26" s="1088">
        <v>62.460078991628386</v>
      </c>
      <c r="CH26" s="1088">
        <v>58.455379808631101</v>
      </c>
      <c r="CI26" s="1088">
        <v>60.124345673413046</v>
      </c>
      <c r="CJ26" s="1088">
        <v>63.739504003124381</v>
      </c>
      <c r="CK26" s="1088">
        <v>65.706672713872635</v>
      </c>
      <c r="CL26" s="1088">
        <v>64.124956789112673</v>
      </c>
      <c r="CM26" s="1088">
        <v>68.309832675314865</v>
      </c>
      <c r="CN26" s="1088">
        <v>64.057638775176031</v>
      </c>
      <c r="CO26" s="1088">
        <v>67.428087986463623</v>
      </c>
      <c r="CP26" s="1088">
        <v>51.269035532994934</v>
      </c>
      <c r="CQ26" s="1108">
        <v>53.392282080672452</v>
      </c>
      <c r="CR26" s="1109">
        <v>64.191040206268639</v>
      </c>
      <c r="CS26" s="1109">
        <v>59.900490205078313</v>
      </c>
      <c r="CT26" s="1109">
        <v>58.376019730601392</v>
      </c>
      <c r="CU26" s="1109">
        <v>61.363761543686998</v>
      </c>
      <c r="CV26" s="1109">
        <v>62.00159362549801</v>
      </c>
      <c r="CW26" s="1109">
        <v>61.7</v>
      </c>
      <c r="CX26" s="1109">
        <v>62.063915765509371</v>
      </c>
      <c r="CY26" s="1109">
        <v>62.227490039840639</v>
      </c>
      <c r="CZ26" s="1109">
        <v>63.025099601593645</v>
      </c>
      <c r="DA26" s="1109">
        <v>66.527903409090911</v>
      </c>
      <c r="DB26" s="1110">
        <v>57.995539772727291</v>
      </c>
      <c r="DC26" s="1091">
        <v>53.596954545454537</v>
      </c>
      <c r="DD26" s="1091">
        <v>50.203693181818188</v>
      </c>
      <c r="DE26" s="1091">
        <v>60.320170454545455</v>
      </c>
      <c r="DF26" s="1091">
        <v>55.937823863636353</v>
      </c>
      <c r="DG26" s="1091">
        <v>55.730965909090912</v>
      </c>
      <c r="DH26" s="1091">
        <v>60.893838326738269</v>
      </c>
      <c r="DI26" s="1091">
        <v>62.101921989824746</v>
      </c>
      <c r="DJ26" s="1091">
        <v>52.804610951008648</v>
      </c>
      <c r="DK26" s="1091">
        <v>54.020057636887607</v>
      </c>
      <c r="DL26" s="1091">
        <v>56.422363112391928</v>
      </c>
      <c r="DM26" s="1091">
        <v>55.888888888888886</v>
      </c>
      <c r="DN26" s="1092">
        <v>46.219026047565109</v>
      </c>
      <c r="DO26" s="1091">
        <v>43.926650943396218</v>
      </c>
      <c r="DP26" s="1091">
        <v>44.932134433962268</v>
      </c>
      <c r="DQ26" s="1091">
        <v>46.1502358490566</v>
      </c>
      <c r="DR26" s="1091">
        <v>45.307488207547166</v>
      </c>
      <c r="DS26" s="1091">
        <v>43.315271226415092</v>
      </c>
      <c r="DT26" s="1091">
        <v>50.526709905660375</v>
      </c>
      <c r="DU26" s="1091">
        <v>51.207429245283016</v>
      </c>
      <c r="DV26" s="1091">
        <v>51.081014150943389</v>
      </c>
      <c r="DW26" s="1091">
        <v>48.948761792452828</v>
      </c>
      <c r="DX26" s="1091">
        <v>62.996937573616016</v>
      </c>
      <c r="DY26" s="1091">
        <v>48.532783018867924</v>
      </c>
      <c r="DZ26" s="1091">
        <v>42.145990566037732</v>
      </c>
      <c r="EA26" s="1099"/>
      <c r="EB26" s="1111">
        <v>51.26903553373549</v>
      </c>
      <c r="EC26" s="1112">
        <v>49.828368996477792</v>
      </c>
      <c r="ED26" s="1112">
        <v>52.801422006202735</v>
      </c>
      <c r="EE26" s="1112">
        <v>49.163328262595535</v>
      </c>
      <c r="EF26" s="1112">
        <v>53.046269359617057</v>
      </c>
      <c r="EG26" s="1112">
        <v>55.398690213026654</v>
      </c>
      <c r="EH26" s="1112">
        <v>58.917943103687712</v>
      </c>
      <c r="EI26" s="1112">
        <v>61.42527951379838</v>
      </c>
      <c r="EJ26" s="1112">
        <f t="shared" ref="EJ26:EJ32" si="2">AVERAGE(CQ26:DB26)</f>
        <v>61.06376133171397</v>
      </c>
      <c r="EK26" s="1113">
        <v>55.378711204374724</v>
      </c>
      <c r="EL26" s="1112">
        <f t="shared" ref="EL26:EL32" si="3">AVERAGE(DO26:DZ26)</f>
        <v>48.255950576103231</v>
      </c>
      <c r="EM26" s="1318">
        <v>48.825442517927115</v>
      </c>
    </row>
    <row r="27" spans="1:143">
      <c r="A27" s="998"/>
      <c r="B27" s="1114" t="s">
        <v>707</v>
      </c>
      <c r="C27" s="1115" t="s">
        <v>708</v>
      </c>
      <c r="D27" s="1098">
        <v>48.930041152263378</v>
      </c>
      <c r="E27" s="1099">
        <v>47.869374751095187</v>
      </c>
      <c r="F27" s="1099">
        <v>24.850657108721624</v>
      </c>
      <c r="G27" s="1099">
        <v>20.74074074074074</v>
      </c>
      <c r="H27" s="1099">
        <v>29.430505774591797</v>
      </c>
      <c r="I27" s="1099">
        <v>34.567901234567898</v>
      </c>
      <c r="J27" s="1100">
        <v>22.500995619275187</v>
      </c>
      <c r="K27" s="1101">
        <v>48.785344484269217</v>
      </c>
      <c r="L27" s="1102">
        <v>43.077601410934747</v>
      </c>
      <c r="M27" s="1102">
        <v>48.267622461170852</v>
      </c>
      <c r="N27" s="1102">
        <v>38.559670781893004</v>
      </c>
      <c r="O27" s="1102">
        <v>49.502190362405415</v>
      </c>
      <c r="P27" s="1102">
        <v>74.773662551440339</v>
      </c>
      <c r="Q27" s="1102">
        <v>64.277180406212665</v>
      </c>
      <c r="R27" s="1102">
        <v>55.834328952608523</v>
      </c>
      <c r="S27" s="1102">
        <v>45.226337448559676</v>
      </c>
      <c r="T27" s="1102">
        <v>37.913181999203502</v>
      </c>
      <c r="U27" s="1102">
        <v>47.777777777777779</v>
      </c>
      <c r="V27" s="1103">
        <v>31.302270011947432</v>
      </c>
      <c r="W27" s="1098">
        <v>43.01075268817204</v>
      </c>
      <c r="X27" s="1099">
        <v>37.29246487867178</v>
      </c>
      <c r="Y27" s="1099">
        <v>38.630027877339707</v>
      </c>
      <c r="Z27" s="1099">
        <v>27.613168724279834</v>
      </c>
      <c r="AA27" s="1099">
        <v>43.166383701188451</v>
      </c>
      <c r="AB27" s="1099">
        <v>47.850877192982452</v>
      </c>
      <c r="AC27" s="1099">
        <v>52.122241086587437</v>
      </c>
      <c r="AD27" s="1099">
        <v>52.758913412563672</v>
      </c>
      <c r="AE27" s="1099">
        <v>48.070175438596493</v>
      </c>
      <c r="AF27" s="1099">
        <v>43.675721561969439</v>
      </c>
      <c r="AG27" s="1099">
        <v>60.745614035087712</v>
      </c>
      <c r="AH27" s="1100">
        <v>37.860780984719867</v>
      </c>
      <c r="AI27" s="1104">
        <v>44.962166467542815</v>
      </c>
      <c r="AJ27" s="1104">
        <v>32.892416225749557</v>
      </c>
      <c r="AK27" s="1104">
        <v>44.962166467542815</v>
      </c>
      <c r="AL27" s="1104">
        <v>46.872427983539097</v>
      </c>
      <c r="AM27" s="1104">
        <v>52.170450019912387</v>
      </c>
      <c r="AN27" s="1104">
        <v>50.823045267489711</v>
      </c>
      <c r="AO27" s="1104">
        <v>56.431700517722028</v>
      </c>
      <c r="AP27" s="1104">
        <v>108.28355236957388</v>
      </c>
      <c r="AQ27" s="1104">
        <v>46.172839506172842</v>
      </c>
      <c r="AR27" s="1104">
        <v>61.330147351652734</v>
      </c>
      <c r="AS27" s="1104">
        <v>59.259259259259252</v>
      </c>
      <c r="AT27" s="1104">
        <v>39.346873755475912</v>
      </c>
      <c r="AU27" s="1098">
        <v>47.272003185981681</v>
      </c>
      <c r="AV27" s="1099">
        <v>59.171075837742507</v>
      </c>
      <c r="AW27" s="1099">
        <v>59.976105137395464</v>
      </c>
      <c r="AX27" s="1099">
        <v>44.81481481481481</v>
      </c>
      <c r="AY27" s="1099">
        <v>48.904818797291917</v>
      </c>
      <c r="AZ27" s="1099">
        <v>55.761316872427983</v>
      </c>
      <c r="BA27" s="1099">
        <v>53.60414177618479</v>
      </c>
      <c r="BB27" s="1099">
        <v>52.847471127041025</v>
      </c>
      <c r="BC27" s="1099">
        <v>48.271604938271608</v>
      </c>
      <c r="BD27" s="1099">
        <v>52.608522500995626</v>
      </c>
      <c r="BE27" s="1099">
        <v>65.390946502057616</v>
      </c>
      <c r="BF27" s="1099">
        <v>49.143767423337316</v>
      </c>
      <c r="BG27" s="1105">
        <v>33.373158104340902</v>
      </c>
      <c r="BH27" s="1105">
        <v>54.276895943562607</v>
      </c>
      <c r="BI27" s="1105">
        <v>48.86499402628435</v>
      </c>
      <c r="BJ27" s="1105">
        <v>50.411522633744852</v>
      </c>
      <c r="BK27" s="1105">
        <v>59.259259259259252</v>
      </c>
      <c r="BL27" s="1105">
        <v>52.386831275720169</v>
      </c>
      <c r="BM27" s="1105">
        <v>51.652727996814022</v>
      </c>
      <c r="BN27" s="1105">
        <v>47.232178414974115</v>
      </c>
      <c r="BO27" s="1105">
        <v>60.864197530864196</v>
      </c>
      <c r="BP27" s="1105">
        <v>47.232178414974115</v>
      </c>
      <c r="BQ27" s="1105">
        <v>55.267489711934161</v>
      </c>
      <c r="BR27" s="1105">
        <v>54.002389486260448</v>
      </c>
      <c r="BS27" s="1106">
        <v>51.851851851851848</v>
      </c>
      <c r="BT27" s="1107">
        <v>55.853554704129415</v>
      </c>
      <c r="BU27" s="1107">
        <v>51.732377538829155</v>
      </c>
      <c r="BV27" s="1107">
        <v>44.156378600823047</v>
      </c>
      <c r="BW27" s="1107">
        <v>41.577060931899638</v>
      </c>
      <c r="BX27" s="1107">
        <v>63.827160493827165</v>
      </c>
      <c r="BY27" s="1107">
        <v>59.219434488251686</v>
      </c>
      <c r="BZ27" s="1107">
        <v>47.192353643966541</v>
      </c>
      <c r="CA27" s="1107">
        <v>50.370370370370367</v>
      </c>
      <c r="CB27" s="1107">
        <v>49.741138988450814</v>
      </c>
      <c r="CC27" s="1107">
        <v>68.189300411522638</v>
      </c>
      <c r="CD27" s="1107">
        <v>43.090402230187173</v>
      </c>
      <c r="CE27" s="1087">
        <v>45.639187574671446</v>
      </c>
      <c r="CF27" s="1088">
        <v>48.236331569664905</v>
      </c>
      <c r="CG27" s="1088">
        <v>58.343289526085229</v>
      </c>
      <c r="CH27" s="1088">
        <v>50.823045267489711</v>
      </c>
      <c r="CI27" s="1088">
        <v>51.413779370768623</v>
      </c>
      <c r="CJ27" s="1088">
        <v>53.20987654320988</v>
      </c>
      <c r="CK27" s="1088">
        <v>58.064516129032263</v>
      </c>
      <c r="CL27" s="1088">
        <v>38.550378335324567</v>
      </c>
      <c r="CM27" s="1088">
        <v>50.946502057613166</v>
      </c>
      <c r="CN27" s="1088">
        <v>46.63480684986061</v>
      </c>
      <c r="CO27" s="1088">
        <v>51.851851851851848</v>
      </c>
      <c r="CP27" s="1088">
        <v>47.829549980087613</v>
      </c>
      <c r="CQ27" s="1108">
        <v>23.496614894464358</v>
      </c>
      <c r="CR27" s="1109">
        <v>59.259259259259252</v>
      </c>
      <c r="CS27" s="1109">
        <v>30.744723217841496</v>
      </c>
      <c r="CT27" s="1109">
        <v>44.773662551440331</v>
      </c>
      <c r="CU27" s="1109">
        <v>47.590601354042214</v>
      </c>
      <c r="CV27" s="1109">
        <v>44.93333333333333</v>
      </c>
      <c r="CW27" s="1109">
        <v>46.9</v>
      </c>
      <c r="CX27" s="1109">
        <v>54.455555555555556</v>
      </c>
      <c r="CY27" s="1109">
        <v>55.022222222222226</v>
      </c>
      <c r="CZ27" s="1109">
        <v>60.7</v>
      </c>
      <c r="DA27" s="1109">
        <v>42.67444444444444</v>
      </c>
      <c r="DB27" s="1110">
        <v>42.014444444444443</v>
      </c>
      <c r="DC27" s="1091">
        <v>34.962222222222223</v>
      </c>
      <c r="DD27" s="1091">
        <v>32.011111111111113</v>
      </c>
      <c r="DE27" s="1091">
        <v>39.311111111111117</v>
      </c>
      <c r="DF27" s="1091">
        <v>46.67</v>
      </c>
      <c r="DG27" s="1091">
        <v>55.566666666666663</v>
      </c>
      <c r="DH27" s="1091">
        <v>56.56666666666667</v>
      </c>
      <c r="DI27" s="1091">
        <v>81.62222222222222</v>
      </c>
      <c r="DJ27" s="1091">
        <v>45.863157894736844</v>
      </c>
      <c r="DK27" s="1091">
        <v>39.610526315789471</v>
      </c>
      <c r="DL27" s="1091">
        <v>61.526315789473685</v>
      </c>
      <c r="DM27" s="1091">
        <v>31.031578947368416</v>
      </c>
      <c r="DN27" s="1092">
        <v>40.358064516129033</v>
      </c>
      <c r="DO27" s="1091">
        <v>45.572950819672137</v>
      </c>
      <c r="DP27" s="1091">
        <v>42.828688524590163</v>
      </c>
      <c r="DQ27" s="1091">
        <v>33.26311475409836</v>
      </c>
      <c r="DR27" s="1091">
        <v>35.52540983606557</v>
      </c>
      <c r="DS27" s="1091">
        <v>37.59098360655738</v>
      </c>
      <c r="DT27" s="1091">
        <v>49.295081967213115</v>
      </c>
      <c r="DU27" s="1091">
        <v>49.636065573770495</v>
      </c>
      <c r="DV27" s="1091">
        <v>59.587704918032784</v>
      </c>
      <c r="DW27" s="1091">
        <v>29.517213114754099</v>
      </c>
      <c r="DX27" s="1091">
        <v>48.936065573770492</v>
      </c>
      <c r="DY27" s="1091">
        <v>57.82377049180328</v>
      </c>
      <c r="DZ27" s="1091">
        <v>33.181147540983602</v>
      </c>
      <c r="EA27" s="1099"/>
      <c r="EB27" s="1111">
        <v>47.829549983333337</v>
      </c>
      <c r="EC27" s="1112">
        <v>48.790799932352463</v>
      </c>
      <c r="ED27" s="1112">
        <v>44.256007881496082</v>
      </c>
      <c r="EE27" s="1112">
        <v>53.827160493827172</v>
      </c>
      <c r="EF27" s="1112">
        <v>53.093184508709648</v>
      </c>
      <c r="EG27" s="1112">
        <v>51.171993911719959</v>
      </c>
      <c r="EH27" s="1112">
        <v>52.165553531673737</v>
      </c>
      <c r="EI27" s="1112">
        <v>50.126839167935053</v>
      </c>
      <c r="EJ27" s="1112">
        <f t="shared" si="2"/>
        <v>46.047071773087303</v>
      </c>
      <c r="EK27" s="1113">
        <v>47.034041396745138</v>
      </c>
      <c r="EL27" s="1112">
        <f t="shared" si="3"/>
        <v>43.563183060109282</v>
      </c>
      <c r="EM27" s="1318">
        <v>43.537909836065573</v>
      </c>
    </row>
    <row r="28" spans="1:143">
      <c r="A28" s="998"/>
      <c r="B28" s="1114" t="s">
        <v>709</v>
      </c>
      <c r="C28" s="1115" t="s">
        <v>710</v>
      </c>
      <c r="D28" s="1098">
        <v>48.030303030303031</v>
      </c>
      <c r="E28" s="1099">
        <v>50.048875855327466</v>
      </c>
      <c r="F28" s="1099">
        <v>56.060606060606055</v>
      </c>
      <c r="G28" s="1099">
        <v>38.98989898989899</v>
      </c>
      <c r="H28" s="1099">
        <v>62.707722385141743</v>
      </c>
      <c r="I28" s="1099">
        <v>22.727272727272727</v>
      </c>
      <c r="J28" s="1100">
        <v>26.588465298142715</v>
      </c>
      <c r="K28" s="1101">
        <v>41.553480475382003</v>
      </c>
      <c r="L28" s="1102">
        <v>47.321428571428569</v>
      </c>
      <c r="M28" s="1102">
        <v>52.037351443123939</v>
      </c>
      <c r="N28" s="1102">
        <v>51.403508771929829</v>
      </c>
      <c r="O28" s="1102">
        <v>52.97113752122241</v>
      </c>
      <c r="P28" s="1102">
        <v>53.859649122807021</v>
      </c>
      <c r="Q28" s="1102">
        <v>56.451612903225815</v>
      </c>
      <c r="R28" s="1102">
        <v>56.621392190152797</v>
      </c>
      <c r="S28" s="1102">
        <v>45.570175438596486</v>
      </c>
      <c r="T28" s="1102">
        <v>60.950764006791168</v>
      </c>
      <c r="U28" s="1102">
        <v>65.789473684210535</v>
      </c>
      <c r="V28" s="1103">
        <v>60.526315789473685</v>
      </c>
      <c r="W28" s="1098">
        <v>55.475382003395588</v>
      </c>
      <c r="X28" s="1099">
        <v>61.252268602540838</v>
      </c>
      <c r="Y28" s="1099">
        <v>46.986417657045841</v>
      </c>
      <c r="Z28" s="1099">
        <v>50.175438596491226</v>
      </c>
      <c r="AA28" s="1099">
        <v>59.380305602716469</v>
      </c>
      <c r="AB28" s="1099">
        <v>67.456140350877192</v>
      </c>
      <c r="AC28" s="1099">
        <v>68.378607809847196</v>
      </c>
      <c r="AD28" s="1099">
        <v>68.930390492359933</v>
      </c>
      <c r="AE28" s="1099">
        <v>62.456140350877199</v>
      </c>
      <c r="AF28" s="1099">
        <v>61.884550084889646</v>
      </c>
      <c r="AG28" s="1099">
        <v>49.210526315789473</v>
      </c>
      <c r="AH28" s="1100">
        <v>50</v>
      </c>
      <c r="AI28" s="1104">
        <v>48.842018196856905</v>
      </c>
      <c r="AJ28" s="1104">
        <v>66.391941391941387</v>
      </c>
      <c r="AK28" s="1104">
        <v>51.000408329930579</v>
      </c>
      <c r="AL28" s="1104">
        <v>50.210970464135016</v>
      </c>
      <c r="AM28" s="1104">
        <v>55.573703552470398</v>
      </c>
      <c r="AN28" s="1104">
        <v>49.493670886075947</v>
      </c>
      <c r="AO28" s="1104">
        <v>56.145365455287873</v>
      </c>
      <c r="AP28" s="1104">
        <v>34.667211106574115</v>
      </c>
      <c r="AQ28" s="1104">
        <v>48.016877637130797</v>
      </c>
      <c r="AR28" s="1104">
        <v>54.675377705185788</v>
      </c>
      <c r="AS28" s="1104">
        <v>55.063291139240512</v>
      </c>
      <c r="AT28" s="1104">
        <v>58.677011024908118</v>
      </c>
      <c r="AU28" s="1098">
        <v>57.656186198448346</v>
      </c>
      <c r="AV28" s="1099">
        <v>54.385171790235077</v>
      </c>
      <c r="AW28" s="1099">
        <v>47.080440996325031</v>
      </c>
      <c r="AX28" s="1099">
        <v>42.573839662447256</v>
      </c>
      <c r="AY28" s="1099">
        <v>43.977133523887304</v>
      </c>
      <c r="AZ28" s="1099">
        <v>43.459915611814345</v>
      </c>
      <c r="BA28" s="1099">
        <v>46.549612086565944</v>
      </c>
      <c r="BB28" s="1099">
        <v>47.447937933850554</v>
      </c>
      <c r="BC28" s="1099">
        <v>37.299578059071727</v>
      </c>
      <c r="BD28" s="1099">
        <v>50.959575336872199</v>
      </c>
      <c r="BE28" s="1099">
        <v>54.936708860759495</v>
      </c>
      <c r="BF28" s="1099">
        <v>63.127807268272761</v>
      </c>
      <c r="BG28" s="1105">
        <v>68.80359330338915</v>
      </c>
      <c r="BH28" s="1105">
        <v>73.688969258589509</v>
      </c>
      <c r="BI28" s="1105">
        <v>38.464679461004494</v>
      </c>
      <c r="BJ28" s="1105">
        <v>40.210970464135023</v>
      </c>
      <c r="BK28" s="1105">
        <v>51.367905267456102</v>
      </c>
      <c r="BL28" s="1105">
        <v>52.447257383966239</v>
      </c>
      <c r="BM28" s="1105">
        <v>54.512045732952231</v>
      </c>
      <c r="BN28" s="1105">
        <v>56.022866476112696</v>
      </c>
      <c r="BO28" s="1105">
        <v>53.164556962025308</v>
      </c>
      <c r="BP28" s="1105">
        <v>54.552878726010611</v>
      </c>
      <c r="BQ28" s="1105">
        <v>64.219409282700425</v>
      </c>
      <c r="BR28" s="1105">
        <v>55.124540628828086</v>
      </c>
      <c r="BS28" s="1106">
        <v>67.45610453246222</v>
      </c>
      <c r="BT28" s="1107">
        <v>56.91837625491052</v>
      </c>
      <c r="BU28" s="1107">
        <v>46.957942017149854</v>
      </c>
      <c r="BV28" s="1107">
        <v>55.147679324894519</v>
      </c>
      <c r="BW28" s="1107">
        <v>49.897917517354024</v>
      </c>
      <c r="BX28" s="1107">
        <v>47.805907172995781</v>
      </c>
      <c r="BY28" s="1107">
        <v>46.360628618693134</v>
      </c>
      <c r="BZ28" s="1107">
        <v>42.969396195202648</v>
      </c>
      <c r="CA28" s="1107">
        <v>46.239316239316238</v>
      </c>
      <c r="CB28" s="1107">
        <v>46.360628618693134</v>
      </c>
      <c r="CC28" s="1107">
        <v>51.752136752136757</v>
      </c>
      <c r="CD28" s="1107">
        <v>46.319272125723735</v>
      </c>
      <c r="CE28" s="1087">
        <v>46.319272125723735</v>
      </c>
      <c r="CF28" s="1088">
        <v>42.536630036630036</v>
      </c>
      <c r="CG28" s="1088">
        <v>43.300248138957812</v>
      </c>
      <c r="CH28" s="1088">
        <v>45.598290598290596</v>
      </c>
      <c r="CI28" s="1088">
        <v>46.029776674937963</v>
      </c>
      <c r="CJ28" s="1088">
        <v>43.46153846153846</v>
      </c>
      <c r="CK28" s="1088">
        <v>48.511166253101742</v>
      </c>
      <c r="CL28" s="1088">
        <v>48.304383788254754</v>
      </c>
      <c r="CM28" s="1088">
        <v>64.529914529914535</v>
      </c>
      <c r="CN28" s="1088">
        <v>52.729528535980151</v>
      </c>
      <c r="CO28" s="1088">
        <v>54.700854700854705</v>
      </c>
      <c r="CP28" s="1088">
        <v>40.777502067824649</v>
      </c>
      <c r="CQ28" s="1108">
        <v>53.722084367245657</v>
      </c>
      <c r="CR28" s="1109">
        <v>56.364468864468861</v>
      </c>
      <c r="CS28" s="1109">
        <v>59.677419354838712</v>
      </c>
      <c r="CT28" s="1109">
        <v>62.136752136752136</v>
      </c>
      <c r="CU28" s="1109">
        <v>60.504549214226635</v>
      </c>
      <c r="CV28" s="1109">
        <v>59.344871794871793</v>
      </c>
      <c r="CW28" s="1109">
        <v>61</v>
      </c>
      <c r="CX28" s="1109">
        <v>67.328205128205127</v>
      </c>
      <c r="CY28" s="1109">
        <v>63.01794871794872</v>
      </c>
      <c r="CZ28" s="1109">
        <v>59.480769230769234</v>
      </c>
      <c r="DA28" s="1109">
        <v>57.736923076923077</v>
      </c>
      <c r="DB28" s="1110">
        <v>59.01987179487179</v>
      </c>
      <c r="DC28" s="1091">
        <v>50.25</v>
      </c>
      <c r="DD28" s="1091">
        <v>52.874358974358977</v>
      </c>
      <c r="DE28" s="1091">
        <v>55.744871794871798</v>
      </c>
      <c r="DF28" s="1091">
        <v>53.978076923076912</v>
      </c>
      <c r="DG28" s="1091">
        <v>50.096153846153847</v>
      </c>
      <c r="DH28" s="1091">
        <v>51.010666666666665</v>
      </c>
      <c r="DI28" s="1091">
        <v>70.925333333333342</v>
      </c>
      <c r="DJ28" s="1091">
        <v>48.986666666666665</v>
      </c>
      <c r="DK28" s="1091">
        <v>34.292000000000002</v>
      </c>
      <c r="DL28" s="1091">
        <v>44.343999999999994</v>
      </c>
      <c r="DM28" s="1091">
        <v>45.75333333333333</v>
      </c>
      <c r="DN28" s="1092">
        <v>44.938028169014089</v>
      </c>
      <c r="DO28" s="1091">
        <v>40.433333333333337</v>
      </c>
      <c r="DP28" s="1091">
        <v>43.485555555555557</v>
      </c>
      <c r="DQ28" s="1091">
        <v>43.513333333333335</v>
      </c>
      <c r="DR28" s="1091">
        <v>43.607777777777777</v>
      </c>
      <c r="DS28" s="1091">
        <v>40.295555555555559</v>
      </c>
      <c r="DT28" s="1091">
        <v>40.824444444444445</v>
      </c>
      <c r="DU28" s="1091">
        <v>36.592222222222226</v>
      </c>
      <c r="DV28" s="1091">
        <v>43.628888888888888</v>
      </c>
      <c r="DW28" s="1091">
        <v>39.806666666666665</v>
      </c>
      <c r="DX28" s="1091">
        <v>37.347777777777786</v>
      </c>
      <c r="DY28" s="1091">
        <v>39.977777777777774</v>
      </c>
      <c r="DZ28" s="1091">
        <v>47.106666666666669</v>
      </c>
      <c r="EA28" s="1099"/>
      <c r="EB28" s="1111">
        <v>40.777502069051287</v>
      </c>
      <c r="EC28" s="1112">
        <v>53.803172314347528</v>
      </c>
      <c r="ED28" s="1112">
        <v>58.462755248777668</v>
      </c>
      <c r="EE28" s="1112">
        <v>52.290102863497353</v>
      </c>
      <c r="EF28" s="1112">
        <v>49.127796081151374</v>
      </c>
      <c r="EG28" s="1112">
        <v>55.092769204092242</v>
      </c>
      <c r="EH28" s="1112">
        <v>50.337626174730254</v>
      </c>
      <c r="EI28" s="1112">
        <v>48.068141903758367</v>
      </c>
      <c r="EJ28" s="1112">
        <f t="shared" si="2"/>
        <v>59.944488640093482</v>
      </c>
      <c r="EK28" s="1113">
        <v>50.349920589084604</v>
      </c>
      <c r="EL28" s="1112">
        <f t="shared" si="3"/>
        <v>41.384999999999998</v>
      </c>
      <c r="EM28" s="1318">
        <v>41.736481481481484</v>
      </c>
    </row>
    <row r="29" spans="1:143">
      <c r="A29" s="998"/>
      <c r="B29" s="1114" t="s">
        <v>711</v>
      </c>
      <c r="C29" s="1115" t="s">
        <v>712</v>
      </c>
      <c r="D29" s="1098">
        <v>43.374125874125873</v>
      </c>
      <c r="E29" s="1099">
        <v>43.316375020964948</v>
      </c>
      <c r="F29" s="1099">
        <v>47.020806168150116</v>
      </c>
      <c r="G29" s="1099">
        <v>49.899527186761226</v>
      </c>
      <c r="H29" s="1099">
        <v>60.124947437976815</v>
      </c>
      <c r="I29" s="1099">
        <v>54.082876294942103</v>
      </c>
      <c r="J29" s="1100">
        <v>47.819173103134936</v>
      </c>
      <c r="K29" s="1101">
        <v>49.557416978554031</v>
      </c>
      <c r="L29" s="1102">
        <v>53.503811163019421</v>
      </c>
      <c r="M29" s="1102">
        <v>45.605463327966248</v>
      </c>
      <c r="N29" s="1102">
        <v>51.009753298909914</v>
      </c>
      <c r="O29" s="1102">
        <v>47.654211315307307</v>
      </c>
      <c r="P29" s="1102">
        <v>51.353987378083765</v>
      </c>
      <c r="Q29" s="1102">
        <v>57.975528364849836</v>
      </c>
      <c r="R29" s="1102">
        <v>57.736938537560377</v>
      </c>
      <c r="S29" s="1102">
        <v>46.943005181347161</v>
      </c>
      <c r="T29" s="1102">
        <v>56.755250988913041</v>
      </c>
      <c r="U29" s="1102">
        <v>58.733448474381113</v>
      </c>
      <c r="V29" s="1103">
        <v>47.373112708228874</v>
      </c>
      <c r="W29" s="1098">
        <v>55.384701097554192</v>
      </c>
      <c r="X29" s="1099">
        <v>53.546542790780784</v>
      </c>
      <c r="Y29" s="1099">
        <v>51.234052036325139</v>
      </c>
      <c r="Z29" s="1099">
        <v>55.486470926885431</v>
      </c>
      <c r="AA29" s="1099">
        <v>56.07078853046594</v>
      </c>
      <c r="AB29" s="1099">
        <v>62.708333333333336</v>
      </c>
      <c r="AC29" s="1099">
        <v>64.628136200716852</v>
      </c>
      <c r="AD29" s="1099">
        <v>56.55801971326165</v>
      </c>
      <c r="AE29" s="1099">
        <v>57.592592592592595</v>
      </c>
      <c r="AF29" s="1099">
        <v>59.705421146953405</v>
      </c>
      <c r="AG29" s="1099">
        <v>65.480324074074062</v>
      </c>
      <c r="AH29" s="1100">
        <v>58.394937275985669</v>
      </c>
      <c r="AI29" s="1104">
        <v>51.15743221519665</v>
      </c>
      <c r="AJ29" s="1104">
        <v>51.560275272899858</v>
      </c>
      <c r="AK29" s="1104">
        <v>50.206077924932679</v>
      </c>
      <c r="AL29" s="1104">
        <v>47.836456558773428</v>
      </c>
      <c r="AM29" s="1104">
        <v>50.91498598670109</v>
      </c>
      <c r="AN29" s="1104">
        <v>51.152754116978997</v>
      </c>
      <c r="AO29" s="1104">
        <v>57.734791449139969</v>
      </c>
      <c r="AP29" s="1104">
        <v>47.837555641039721</v>
      </c>
      <c r="AQ29" s="1104">
        <v>49.693877551020421</v>
      </c>
      <c r="AR29" s="1104">
        <v>52.348035988588983</v>
      </c>
      <c r="AS29" s="1104">
        <v>60.759637188208629</v>
      </c>
      <c r="AT29" s="1104">
        <v>52.54712315216792</v>
      </c>
      <c r="AU29" s="1098">
        <v>48.650876518107374</v>
      </c>
      <c r="AV29" s="1099">
        <v>55.0377220734972</v>
      </c>
      <c r="AW29" s="1099">
        <v>57.66335110182996</v>
      </c>
      <c r="AX29" s="1099">
        <v>53.248154457694511</v>
      </c>
      <c r="AY29" s="1099">
        <v>57.52047040720997</v>
      </c>
      <c r="AZ29" s="1099">
        <v>63.367404883588875</v>
      </c>
      <c r="BA29" s="1099">
        <v>61.378249161949761</v>
      </c>
      <c r="BB29" s="1099">
        <v>55.102489421333168</v>
      </c>
      <c r="BC29" s="1099">
        <v>57.893242475866003</v>
      </c>
      <c r="BD29" s="1099">
        <v>59.790075287135224</v>
      </c>
      <c r="BE29" s="1099">
        <v>60.618966496308914</v>
      </c>
      <c r="BF29" s="1099">
        <v>52.45919657086332</v>
      </c>
      <c r="BG29" s="1105">
        <v>50.667692476781887</v>
      </c>
      <c r="BH29" s="1105">
        <v>48.795327330250664</v>
      </c>
      <c r="BI29" s="1105">
        <v>58.943781942078346</v>
      </c>
      <c r="BJ29" s="1105">
        <v>56.121521862578085</v>
      </c>
      <c r="BK29" s="1105">
        <v>56.778589877452312</v>
      </c>
      <c r="BL29" s="1105">
        <v>57.739920499716071</v>
      </c>
      <c r="BM29" s="1105">
        <v>61.889322415782836</v>
      </c>
      <c r="BN29" s="1105">
        <v>60.306643952299822</v>
      </c>
      <c r="BO29" s="1105">
        <v>61.010789324247582</v>
      </c>
      <c r="BP29" s="1105">
        <v>63.257679837335822</v>
      </c>
      <c r="BQ29" s="1105">
        <v>67.779670641680852</v>
      </c>
      <c r="BR29" s="1105">
        <v>53.426388965214045</v>
      </c>
      <c r="BS29" s="1106">
        <v>60.520964994229807</v>
      </c>
      <c r="BT29" s="1107">
        <v>66.580508723491747</v>
      </c>
      <c r="BU29" s="1107">
        <v>61.675001373852822</v>
      </c>
      <c r="BV29" s="1107">
        <v>59.210675752413408</v>
      </c>
      <c r="BW29" s="1107">
        <v>58.94927735340989</v>
      </c>
      <c r="BX29" s="1107">
        <v>68.091993185689944</v>
      </c>
      <c r="BY29" s="1107">
        <v>66.392311231532162</v>
      </c>
      <c r="BZ29" s="1107">
        <v>62.384336179131964</v>
      </c>
      <c r="CA29" s="1107">
        <v>62.303222398309565</v>
      </c>
      <c r="CB29" s="1107">
        <v>63.841316906088664</v>
      </c>
      <c r="CC29" s="1107">
        <v>70.924458531431583</v>
      </c>
      <c r="CD29" s="1107">
        <v>48.555799805735909</v>
      </c>
      <c r="CE29" s="1087">
        <v>57.425489494402129</v>
      </c>
      <c r="CF29" s="1088">
        <v>60.940683721983234</v>
      </c>
      <c r="CG29" s="1088">
        <v>68.278717856960299</v>
      </c>
      <c r="CH29" s="1088">
        <v>61.81193872160592</v>
      </c>
      <c r="CI29" s="1088">
        <v>64.490567966872888</v>
      </c>
      <c r="CJ29" s="1088">
        <v>69.376650818806112</v>
      </c>
      <c r="CK29" s="1088">
        <v>71.254025867798177</v>
      </c>
      <c r="CL29" s="1088">
        <v>69.991309237769045</v>
      </c>
      <c r="CM29" s="1088">
        <v>69.841521394611703</v>
      </c>
      <c r="CN29" s="1088">
        <v>72.0157456162773</v>
      </c>
      <c r="CO29" s="1088">
        <v>73.49709455890121</v>
      </c>
      <c r="CP29" s="1088">
        <v>56.408159092070967</v>
      </c>
      <c r="CQ29" s="1108">
        <v>54.608660088952519</v>
      </c>
      <c r="CR29" s="1109">
        <v>65.28186551958342</v>
      </c>
      <c r="CS29" s="1109">
        <v>57.952047441337363</v>
      </c>
      <c r="CT29" s="1109">
        <v>58.499735868991024</v>
      </c>
      <c r="CU29" s="1109">
        <v>59.603292265221633</v>
      </c>
      <c r="CV29" s="1109">
        <v>64.782408874801902</v>
      </c>
      <c r="CW29" s="1109">
        <v>64</v>
      </c>
      <c r="CX29" s="1109">
        <v>60.811251980982561</v>
      </c>
      <c r="CY29" s="1109">
        <v>59.323137876386689</v>
      </c>
      <c r="CZ29" s="1109">
        <v>63.625990491283666</v>
      </c>
      <c r="DA29" s="1109">
        <v>66.212012678288445</v>
      </c>
      <c r="DB29" s="1110">
        <v>59.568256735340725</v>
      </c>
      <c r="DC29" s="1091">
        <v>58.677559429477022</v>
      </c>
      <c r="DD29" s="1091">
        <v>54.449762282091918</v>
      </c>
      <c r="DE29" s="1091">
        <v>58.367511885895397</v>
      </c>
      <c r="DF29" s="1091">
        <v>55.858716323296356</v>
      </c>
      <c r="DG29" s="1091">
        <v>51.994770206022189</v>
      </c>
      <c r="DH29" s="1091">
        <v>59.762714508580345</v>
      </c>
      <c r="DI29" s="1091">
        <v>60.20312012480499</v>
      </c>
      <c r="DJ29" s="1091">
        <v>45.555810397553515</v>
      </c>
      <c r="DK29" s="1091">
        <v>50.514678899082568</v>
      </c>
      <c r="DL29" s="1091">
        <v>49.857645259938842</v>
      </c>
      <c r="DM29" s="1091">
        <v>55.434389140271492</v>
      </c>
      <c r="DN29" s="1092">
        <v>43.84689863842663</v>
      </c>
      <c r="DO29" s="1091">
        <v>43.093366708385489</v>
      </c>
      <c r="DP29" s="1091">
        <v>36.221777221526906</v>
      </c>
      <c r="DQ29" s="1091">
        <v>41.07021276595745</v>
      </c>
      <c r="DR29" s="1091">
        <v>41.623153942428033</v>
      </c>
      <c r="DS29" s="1091">
        <v>37.753191489361704</v>
      </c>
      <c r="DT29" s="1091">
        <v>47.368710888610764</v>
      </c>
      <c r="DU29" s="1091">
        <v>51.860951188986242</v>
      </c>
      <c r="DV29" s="1091">
        <v>45.378848560700874</v>
      </c>
      <c r="DW29" s="1091">
        <v>50.272841051314145</v>
      </c>
      <c r="DX29" s="1091">
        <v>62.815106117353317</v>
      </c>
      <c r="DY29" s="1091">
        <v>43.868210262828534</v>
      </c>
      <c r="DZ29" s="1091">
        <v>40.642302878598244</v>
      </c>
      <c r="EA29" s="1099"/>
      <c r="EB29" s="1111">
        <v>55.81787521111297</v>
      </c>
      <c r="EC29" s="1112">
        <v>52.016979089510549</v>
      </c>
      <c r="ED29" s="1112">
        <v>58.058803195393502</v>
      </c>
      <c r="EE29" s="1112">
        <v>51.976713391658279</v>
      </c>
      <c r="EF29" s="1112">
        <v>56.888754054747878</v>
      </c>
      <c r="EG29" s="1112">
        <v>58.107395393339743</v>
      </c>
      <c r="EH29" s="1112">
        <v>62.39896294036911</v>
      </c>
      <c r="EI29" s="1112">
        <v>66.295725419534108</v>
      </c>
      <c r="EJ29" s="1112">
        <f t="shared" si="2"/>
        <v>61.189054985097499</v>
      </c>
      <c r="EK29" s="1113">
        <v>53.624735092431401</v>
      </c>
      <c r="EL29" s="1112">
        <f t="shared" si="3"/>
        <v>45.164056089670972</v>
      </c>
      <c r="EM29" s="1318">
        <v>46.128761972023909</v>
      </c>
    </row>
    <row r="30" spans="1:143">
      <c r="A30" s="998"/>
      <c r="B30" s="1114" t="s">
        <v>713</v>
      </c>
      <c r="C30" s="1115" t="s">
        <v>714</v>
      </c>
      <c r="D30" s="1098">
        <v>66.414141414141412</v>
      </c>
      <c r="E30" s="1099">
        <v>59.726295210166178</v>
      </c>
      <c r="F30" s="1099">
        <v>47.409579667644188</v>
      </c>
      <c r="G30" s="1099">
        <v>47.222222222222221</v>
      </c>
      <c r="H30" s="1099">
        <v>49.022482893450636</v>
      </c>
      <c r="I30" s="1099">
        <v>52.873563218390807</v>
      </c>
      <c r="J30" s="1100">
        <v>55.376344086021504</v>
      </c>
      <c r="K30" s="1101">
        <v>42.352941176470587</v>
      </c>
      <c r="L30" s="1102">
        <v>55.247813411078717</v>
      </c>
      <c r="M30" s="1102">
        <v>73.33772218564846</v>
      </c>
      <c r="N30" s="1102">
        <v>46.122448979591837</v>
      </c>
      <c r="O30" s="1102">
        <v>51.349572086899272</v>
      </c>
      <c r="P30" s="1102">
        <v>59.115646258503396</v>
      </c>
      <c r="Q30" s="1102">
        <v>66.688610928242269</v>
      </c>
      <c r="R30" s="1102">
        <v>54.904542462146146</v>
      </c>
      <c r="S30" s="1102">
        <v>48.571428571428569</v>
      </c>
      <c r="T30" s="1102">
        <v>57.669519420671492</v>
      </c>
      <c r="U30" s="1102">
        <v>69.319727891156461</v>
      </c>
      <c r="V30" s="1103">
        <v>47.267939433838052</v>
      </c>
      <c r="W30" s="1098">
        <v>64.581961816984858</v>
      </c>
      <c r="X30" s="1099">
        <v>72.554539057002103</v>
      </c>
      <c r="Y30" s="1099">
        <v>57.077024358130345</v>
      </c>
      <c r="Z30" s="1099">
        <v>57.482993197278908</v>
      </c>
      <c r="AA30" s="1099">
        <v>56.484529295589205</v>
      </c>
      <c r="AB30" s="1099">
        <v>55.170068027210881</v>
      </c>
      <c r="AC30" s="1099">
        <v>61.421988150098748</v>
      </c>
      <c r="AD30" s="1099">
        <v>77.221856484529297</v>
      </c>
      <c r="AE30" s="1099">
        <v>50.952380952380949</v>
      </c>
      <c r="AF30" s="1099">
        <v>72.811059907834093</v>
      </c>
      <c r="AG30" s="1099">
        <v>61.904761904761905</v>
      </c>
      <c r="AH30" s="1100">
        <v>40.355497037524685</v>
      </c>
      <c r="AI30" s="1104">
        <v>85.450954575378532</v>
      </c>
      <c r="AJ30" s="1104">
        <v>53.644314868804663</v>
      </c>
      <c r="AK30" s="1104">
        <v>42.659644502962472</v>
      </c>
      <c r="AL30" s="1104">
        <v>50.884353741496604</v>
      </c>
      <c r="AM30" s="1104">
        <v>49.374588545095463</v>
      </c>
      <c r="AN30" s="1104">
        <v>50.136054421768705</v>
      </c>
      <c r="AO30" s="1104">
        <v>48.979591836734691</v>
      </c>
      <c r="AP30" s="1104">
        <v>46.938775510204081</v>
      </c>
      <c r="AQ30" s="1104">
        <v>87.755102040816325</v>
      </c>
      <c r="AR30" s="1104">
        <v>44.766293614219883</v>
      </c>
      <c r="AS30" s="1104">
        <v>50.884353741496604</v>
      </c>
      <c r="AT30" s="1104">
        <v>37.458854509545752</v>
      </c>
      <c r="AU30" s="1098">
        <v>33.838051349572083</v>
      </c>
      <c r="AV30" s="1099">
        <v>54.446064139941683</v>
      </c>
      <c r="AW30" s="1099">
        <v>42.988808426596449</v>
      </c>
      <c r="AX30" s="1099">
        <v>54.149659863945573</v>
      </c>
      <c r="AY30" s="1099">
        <v>48.321263989466757</v>
      </c>
      <c r="AZ30" s="1099">
        <v>51.836734693877553</v>
      </c>
      <c r="BA30" s="1099">
        <v>49.901250822909809</v>
      </c>
      <c r="BB30" s="1099">
        <v>52.271231073074389</v>
      </c>
      <c r="BC30" s="1099">
        <v>54.489795918367342</v>
      </c>
      <c r="BD30" s="1099">
        <v>54.180381830151411</v>
      </c>
      <c r="BE30" s="1099">
        <v>47.551020408163261</v>
      </c>
      <c r="BF30" s="1099">
        <v>49.177090190915074</v>
      </c>
      <c r="BG30" s="1105">
        <v>43.581303489137589</v>
      </c>
      <c r="BH30" s="1105">
        <v>54.883381924198247</v>
      </c>
      <c r="BI30" s="1105">
        <v>54.246214614878205</v>
      </c>
      <c r="BJ30" s="1105">
        <v>30.068027210884352</v>
      </c>
      <c r="BK30" s="1105">
        <v>47.99210006583278</v>
      </c>
      <c r="BL30" s="1105">
        <v>55.646258503401356</v>
      </c>
      <c r="BM30" s="1105">
        <v>50.362080315997368</v>
      </c>
      <c r="BN30" s="1105">
        <v>46.675444371296905</v>
      </c>
      <c r="BO30" s="1105">
        <v>52.312925170068027</v>
      </c>
      <c r="BP30" s="1105">
        <v>40.882159315339038</v>
      </c>
      <c r="BQ30" s="1105">
        <v>51.020408163265309</v>
      </c>
      <c r="BR30" s="1105">
        <v>46.741277156023699</v>
      </c>
      <c r="BS30" s="1106">
        <v>52.797893350888749</v>
      </c>
      <c r="BT30" s="1107">
        <v>45.390570021111891</v>
      </c>
      <c r="BU30" s="1107">
        <v>41.408821593153391</v>
      </c>
      <c r="BV30" s="1107">
        <v>37.61904761904762</v>
      </c>
      <c r="BW30" s="1107">
        <v>60.36866359447005</v>
      </c>
      <c r="BX30" s="1107">
        <v>71.496598639455783</v>
      </c>
      <c r="BY30" s="1107">
        <v>63.857801184990123</v>
      </c>
      <c r="BZ30" s="1107">
        <v>63.857801184990123</v>
      </c>
      <c r="CA30" s="1107">
        <v>63.537414965986393</v>
      </c>
      <c r="CB30" s="1107">
        <v>57.932850559578675</v>
      </c>
      <c r="CC30" s="1107">
        <v>61.156462585034014</v>
      </c>
      <c r="CD30" s="1107">
        <v>46.346280447662934</v>
      </c>
      <c r="CE30" s="1087">
        <v>48.847926267281103</v>
      </c>
      <c r="CF30" s="1088">
        <v>60.058309037900869</v>
      </c>
      <c r="CG30" s="1088">
        <v>63.594470046082954</v>
      </c>
      <c r="CH30" s="1088">
        <v>58.979591836734691</v>
      </c>
      <c r="CI30" s="1088">
        <v>59.381171823568138</v>
      </c>
      <c r="CJ30" s="1088">
        <v>56.734693877551024</v>
      </c>
      <c r="CK30" s="1088">
        <v>55.826201448321264</v>
      </c>
      <c r="CL30" s="1088">
        <v>66.951942067149446</v>
      </c>
      <c r="CM30" s="1088">
        <v>71.836734693877546</v>
      </c>
      <c r="CN30" s="1088">
        <v>57.735352205398293</v>
      </c>
      <c r="CO30" s="1088">
        <v>58.639455782312922</v>
      </c>
      <c r="CP30" s="1088">
        <v>39.631336405529957</v>
      </c>
      <c r="CQ30" s="1108">
        <v>40.223831468071097</v>
      </c>
      <c r="CR30" s="1109">
        <v>53.061224489795919</v>
      </c>
      <c r="CS30" s="1109">
        <v>54.509545753785382</v>
      </c>
      <c r="CT30" s="1109">
        <v>50.748299319727899</v>
      </c>
      <c r="CU30" s="1109">
        <v>54.64121132323897</v>
      </c>
      <c r="CV30" s="1109">
        <v>51.275510204081634</v>
      </c>
      <c r="CW30" s="1109">
        <v>45.9</v>
      </c>
      <c r="CX30" s="1109">
        <v>44.706122448979599</v>
      </c>
      <c r="CY30" s="1109">
        <v>61.704081632653065</v>
      </c>
      <c r="CZ30" s="1109">
        <v>56.502040816326534</v>
      </c>
      <c r="DA30" s="1109">
        <v>56.938775510204081</v>
      </c>
      <c r="DB30" s="1110">
        <v>57.011224489795921</v>
      </c>
      <c r="DC30" s="1091">
        <v>35.747346938775507</v>
      </c>
      <c r="DD30" s="1091">
        <v>37.29795918367347</v>
      </c>
      <c r="DE30" s="1091">
        <v>45.818367346938778</v>
      </c>
      <c r="DF30" s="1091">
        <v>52.652040816326533</v>
      </c>
      <c r="DG30" s="1091">
        <v>54.248979591836729</v>
      </c>
      <c r="DH30" s="1091">
        <v>48.367346938775512</v>
      </c>
      <c r="DI30" s="1091">
        <v>56.306122448979593</v>
      </c>
      <c r="DJ30" s="1091">
        <v>46.826530612244895</v>
      </c>
      <c r="DK30" s="1091">
        <v>59.928571428571431</v>
      </c>
      <c r="DL30" s="1091">
        <v>40.716326530612243</v>
      </c>
      <c r="DM30" s="1091">
        <v>46.653061224489797</v>
      </c>
      <c r="DN30" s="1092">
        <v>49.624489795918372</v>
      </c>
      <c r="DO30" s="1091">
        <v>12.9</v>
      </c>
      <c r="DP30" s="1091">
        <v>13.5</v>
      </c>
      <c r="DQ30" s="1091">
        <v>20.8</v>
      </c>
      <c r="DR30" s="1091">
        <v>23.1</v>
      </c>
      <c r="DS30" s="1091">
        <v>21.6</v>
      </c>
      <c r="DT30" s="1091">
        <v>20.5</v>
      </c>
      <c r="DU30" s="1091">
        <v>31</v>
      </c>
      <c r="DV30" s="1091">
        <v>34.5</v>
      </c>
      <c r="DW30" s="1091">
        <v>38.5</v>
      </c>
      <c r="DX30" s="1091">
        <v>61.5</v>
      </c>
      <c r="DY30" s="1091">
        <v>46.7</v>
      </c>
      <c r="DZ30" s="1091">
        <v>61.5</v>
      </c>
      <c r="EA30" s="1099"/>
      <c r="EB30" s="1111">
        <v>39.631336405714286</v>
      </c>
      <c r="EC30" s="1112">
        <v>55.202357770643687</v>
      </c>
      <c r="ED30" s="1112">
        <v>60.650161704025862</v>
      </c>
      <c r="EE30" s="1112">
        <v>54.017332960581498</v>
      </c>
      <c r="EF30" s="1112">
        <v>49.359798714006139</v>
      </c>
      <c r="EG30" s="1112">
        <v>47.816606094492577</v>
      </c>
      <c r="EH30" s="1112">
        <v>55.50351288056207</v>
      </c>
      <c r="EI30" s="1112">
        <v>58.132513279284289</v>
      </c>
      <c r="EJ30" s="1112">
        <f t="shared" si="2"/>
        <v>52.268488954721676</v>
      </c>
      <c r="EK30" s="1113">
        <v>47.891250768800674</v>
      </c>
      <c r="EL30" s="1112">
        <f t="shared" si="3"/>
        <v>32.174999999999997</v>
      </c>
      <c r="EM30" s="1318">
        <v>38.216666666666669</v>
      </c>
    </row>
    <row r="31" spans="1:143">
      <c r="A31" s="998"/>
      <c r="B31" s="1114" t="s">
        <v>715</v>
      </c>
      <c r="C31" s="1115" t="s">
        <v>716</v>
      </c>
      <c r="D31" s="1098">
        <v>12.698412698412698</v>
      </c>
      <c r="E31" s="1099">
        <v>10.599078341013826</v>
      </c>
      <c r="F31" s="1099">
        <v>20.046082949308754</v>
      </c>
      <c r="G31" s="1099">
        <v>22.276422764227643</v>
      </c>
      <c r="H31" s="1099">
        <v>12.667191188040913</v>
      </c>
      <c r="I31" s="1099">
        <v>27.31707317073171</v>
      </c>
      <c r="J31" s="1100">
        <v>36.309077269317328</v>
      </c>
      <c r="K31" s="1101">
        <v>29.193548387096772</v>
      </c>
      <c r="L31" s="1102">
        <v>33.630952380952387</v>
      </c>
      <c r="M31" s="1102">
        <v>26.827956989247308</v>
      </c>
      <c r="N31" s="1102">
        <v>25.888888888888889</v>
      </c>
      <c r="O31" s="1102">
        <v>28.602150537634408</v>
      </c>
      <c r="P31" s="1102">
        <v>17.111111111111111</v>
      </c>
      <c r="Q31" s="1102">
        <v>35.806451612903231</v>
      </c>
      <c r="R31" s="1102">
        <v>35.483870967741936</v>
      </c>
      <c r="S31" s="1102">
        <v>26.833333333333332</v>
      </c>
      <c r="T31" s="1102">
        <v>59.946236559139784</v>
      </c>
      <c r="U31" s="1102">
        <v>63.888888888888886</v>
      </c>
      <c r="V31" s="1103">
        <v>33.87096774193548</v>
      </c>
      <c r="W31" s="1098">
        <v>20.64516129032258</v>
      </c>
      <c r="X31" s="1099">
        <v>39.94252873563218</v>
      </c>
      <c r="Y31" s="1099">
        <v>20.376344086021504</v>
      </c>
      <c r="Z31" s="1099">
        <v>42.555555555555557</v>
      </c>
      <c r="AA31" s="1099">
        <v>18.27956989247312</v>
      </c>
      <c r="AB31" s="1099">
        <v>20.833333333333336</v>
      </c>
      <c r="AC31" s="1099">
        <v>33.978494623655912</v>
      </c>
      <c r="AD31" s="1099">
        <v>47.8494623655914</v>
      </c>
      <c r="AE31" s="1099">
        <v>32.055555555555557</v>
      </c>
      <c r="AF31" s="1099">
        <v>29.677419354838708</v>
      </c>
      <c r="AG31" s="1099">
        <v>52.277777777777779</v>
      </c>
      <c r="AH31" s="1100">
        <v>49.784946236559144</v>
      </c>
      <c r="AI31" s="1104">
        <v>44.327030033370413</v>
      </c>
      <c r="AJ31" s="1104">
        <v>45.197044334975367</v>
      </c>
      <c r="AK31" s="1104">
        <v>45.050055617352612</v>
      </c>
      <c r="AL31" s="1104">
        <v>68.448275862068968</v>
      </c>
      <c r="AM31" s="1104">
        <v>58.008898776418235</v>
      </c>
      <c r="AN31" s="1104">
        <v>52.413793103448278</v>
      </c>
      <c r="AO31" s="1104">
        <v>37.37486095661847</v>
      </c>
      <c r="AP31" s="1104">
        <v>48.053392658509452</v>
      </c>
      <c r="AQ31" s="1104">
        <v>41.896551724137929</v>
      </c>
      <c r="AR31" s="1104">
        <v>44.883203559510562</v>
      </c>
      <c r="AS31" s="1104">
        <v>45.977011494252871</v>
      </c>
      <c r="AT31" s="1104">
        <v>39.599555061179089</v>
      </c>
      <c r="AU31" s="1098">
        <v>30.64516129032258</v>
      </c>
      <c r="AV31" s="1099">
        <v>49.692118226600982</v>
      </c>
      <c r="AW31" s="1099">
        <v>31.368186874304783</v>
      </c>
      <c r="AX31" s="1099">
        <v>31.609195402298852</v>
      </c>
      <c r="AY31" s="1099">
        <v>29.032258064516132</v>
      </c>
      <c r="AZ31" s="1099">
        <v>31.724137931034484</v>
      </c>
      <c r="BA31" s="1099">
        <v>33.982202447163516</v>
      </c>
      <c r="BB31" s="1099">
        <v>26.807563959955505</v>
      </c>
      <c r="BC31" s="1099">
        <v>32.988505747126432</v>
      </c>
      <c r="BD31" s="1099">
        <v>30.311457174638491</v>
      </c>
      <c r="BE31" s="1099">
        <v>35.402298850574716</v>
      </c>
      <c r="BF31" s="1099">
        <v>34.872080088987765</v>
      </c>
      <c r="BG31" s="1105">
        <v>35.205784204671858</v>
      </c>
      <c r="BH31" s="1105">
        <v>30.726600985221676</v>
      </c>
      <c r="BI31" s="1105">
        <v>37.708565072302555</v>
      </c>
      <c r="BJ31" s="1105">
        <v>30.977011494252878</v>
      </c>
      <c r="BK31" s="1105">
        <v>32.313681868743046</v>
      </c>
      <c r="BL31" s="1105">
        <v>43.103448275862064</v>
      </c>
      <c r="BM31" s="1105">
        <v>60.456062291434932</v>
      </c>
      <c r="BN31" s="1105">
        <v>30.923248053392662</v>
      </c>
      <c r="BO31" s="1105">
        <v>36.494252873563219</v>
      </c>
      <c r="BP31" s="1105">
        <v>49.165739710789765</v>
      </c>
      <c r="BQ31" s="1105">
        <v>51.666666666666671</v>
      </c>
      <c r="BR31" s="1105">
        <v>52.780867630700776</v>
      </c>
      <c r="BS31" s="1106">
        <v>33.314794215795331</v>
      </c>
      <c r="BT31" s="1107">
        <v>32.045184304399527</v>
      </c>
      <c r="BU31" s="1107">
        <v>52.66963292547274</v>
      </c>
      <c r="BV31" s="1107">
        <v>39.655172413793103</v>
      </c>
      <c r="BW31" s="1107">
        <v>44.549499443826477</v>
      </c>
      <c r="BX31" s="1107">
        <v>50.804597701149426</v>
      </c>
      <c r="BY31" s="1107">
        <v>49.332591768631815</v>
      </c>
      <c r="BZ31" s="1107">
        <v>32.70300333704116</v>
      </c>
      <c r="CA31" s="1107">
        <v>45.114942528735632</v>
      </c>
      <c r="CB31" s="1107">
        <v>39.766407119021139</v>
      </c>
      <c r="CC31" s="1107">
        <v>44.712643678160916</v>
      </c>
      <c r="CD31" s="1107">
        <v>44.493882091212456</v>
      </c>
      <c r="CE31" s="1087">
        <v>31.090100111234705</v>
      </c>
      <c r="CF31" s="1088">
        <v>25.738916256157633</v>
      </c>
      <c r="CG31" s="1088">
        <v>33.537263626251388</v>
      </c>
      <c r="CH31" s="1088">
        <v>38.275862068965516</v>
      </c>
      <c r="CI31" s="1088">
        <v>26.918798665183534</v>
      </c>
      <c r="CJ31" s="1088">
        <v>34.94252873563218</v>
      </c>
      <c r="CK31" s="1088">
        <v>34.03781979977753</v>
      </c>
      <c r="CL31" s="1088">
        <v>35.595105672969964</v>
      </c>
      <c r="CM31" s="1088">
        <v>50.287356321839084</v>
      </c>
      <c r="CN31" s="1088">
        <v>41.879866518353722</v>
      </c>
      <c r="CO31" s="1088">
        <v>36.4367816091954</v>
      </c>
      <c r="CP31" s="1088">
        <v>29.644048943270302</v>
      </c>
      <c r="CQ31" s="1108">
        <v>26.529477196885427</v>
      </c>
      <c r="CR31" s="1109">
        <v>27.709359605911331</v>
      </c>
      <c r="CS31" s="1109">
        <v>36.484983314794221</v>
      </c>
      <c r="CT31" s="1109">
        <v>33.96551724137931</v>
      </c>
      <c r="CU31" s="1109">
        <v>38.820912124582868</v>
      </c>
      <c r="CV31" s="1109">
        <v>38.617241379310343</v>
      </c>
      <c r="CW31" s="1109">
        <v>42.7</v>
      </c>
      <c r="CX31" s="1109">
        <v>35.50344827586207</v>
      </c>
      <c r="CY31" s="1109">
        <v>39.244827586206895</v>
      </c>
      <c r="CZ31" s="1109">
        <v>41.565517241379304</v>
      </c>
      <c r="DA31" s="1109">
        <v>33.161034482758616</v>
      </c>
      <c r="DB31" s="1110">
        <v>34.536551724137929</v>
      </c>
      <c r="DC31" s="1091">
        <v>40.041896551724136</v>
      </c>
      <c r="DD31" s="1091">
        <v>28.44655172413793</v>
      </c>
      <c r="DE31" s="1091">
        <v>29.786206896551722</v>
      </c>
      <c r="DF31" s="1091">
        <v>33.389827586206899</v>
      </c>
      <c r="DG31" s="1091">
        <v>37.053448275862074</v>
      </c>
      <c r="DH31" s="1091">
        <v>28.725862068965519</v>
      </c>
      <c r="DI31" s="1091">
        <v>30.448275862068964</v>
      </c>
      <c r="DJ31" s="1091">
        <v>46.10526315789474</v>
      </c>
      <c r="DK31" s="1091">
        <v>31.073684210526316</v>
      </c>
      <c r="DL31" s="1091">
        <v>51.534210526315789</v>
      </c>
      <c r="DM31" s="1091">
        <v>36.778947368421051</v>
      </c>
      <c r="DN31" s="1092">
        <v>31.022916666666667</v>
      </c>
      <c r="DO31" s="1091">
        <v>57.357894736842105</v>
      </c>
      <c r="DP31" s="1091">
        <v>39.761052631578949</v>
      </c>
      <c r="DQ31" s="1091">
        <v>58.376842105263165</v>
      </c>
      <c r="DR31" s="1091">
        <v>52.71473684210526</v>
      </c>
      <c r="DS31" s="1091">
        <v>47.636842105263156</v>
      </c>
      <c r="DT31" s="1091">
        <v>43.662105263157898</v>
      </c>
      <c r="DU31" s="1091">
        <v>45.216842105263161</v>
      </c>
      <c r="DV31" s="1091">
        <v>53.504210526315788</v>
      </c>
      <c r="DW31" s="1091">
        <v>50.133684210526319</v>
      </c>
      <c r="DX31" s="1091">
        <v>61.411578947368412</v>
      </c>
      <c r="DY31" s="1091">
        <v>44.92526315789474</v>
      </c>
      <c r="DZ31" s="1091">
        <v>46.562105263157896</v>
      </c>
      <c r="EA31" s="1099"/>
      <c r="EB31" s="1111">
        <v>29.644048943396552</v>
      </c>
      <c r="EC31" s="1112">
        <v>34.780821917808218</v>
      </c>
      <c r="ED31" s="1112">
        <v>33.95719489981785</v>
      </c>
      <c r="EE31" s="1112">
        <v>47.5720358998583</v>
      </c>
      <c r="EF31" s="1112">
        <v>33.07038261691072</v>
      </c>
      <c r="EG31" s="1112">
        <v>41.04865375531412</v>
      </c>
      <c r="EH31" s="1112">
        <v>42.458074241567736</v>
      </c>
      <c r="EI31" s="1112">
        <v>34.884270193670289</v>
      </c>
      <c r="EJ31" s="1112">
        <f t="shared" si="2"/>
        <v>35.73657251443403</v>
      </c>
      <c r="EK31" s="1113">
        <v>34.730235070575468</v>
      </c>
      <c r="EL31" s="1112">
        <f t="shared" si="3"/>
        <v>50.10526315789474</v>
      </c>
      <c r="EM31" s="1318">
        <v>49.495350877192983</v>
      </c>
    </row>
    <row r="32" spans="1:143">
      <c r="A32" s="998"/>
      <c r="B32" s="1114" t="s">
        <v>717</v>
      </c>
      <c r="C32" s="1115" t="s">
        <v>718</v>
      </c>
      <c r="D32" s="1098">
        <v>47.75257731958763</v>
      </c>
      <c r="E32" s="1099">
        <v>45.212291215096265</v>
      </c>
      <c r="F32" s="1099">
        <v>49.410231345715218</v>
      </c>
      <c r="G32" s="1099">
        <v>42.424863387978142</v>
      </c>
      <c r="H32" s="1099">
        <v>43.545128706419028</v>
      </c>
      <c r="I32" s="1099">
        <v>52.726653033401504</v>
      </c>
      <c r="J32" s="1100">
        <v>35.771319067390614</v>
      </c>
      <c r="K32" s="1101">
        <v>43.131024826323433</v>
      </c>
      <c r="L32" s="1102">
        <v>43.541535556954067</v>
      </c>
      <c r="M32" s="1102">
        <v>46.342571558382538</v>
      </c>
      <c r="N32" s="1102">
        <v>44.902749832327302</v>
      </c>
      <c r="O32" s="1102">
        <v>50.314791977672478</v>
      </c>
      <c r="P32" s="1102">
        <v>47.880617035546614</v>
      </c>
      <c r="Q32" s="1102">
        <v>50.327825858903751</v>
      </c>
      <c r="R32" s="1102">
        <v>52.044755610809403</v>
      </c>
      <c r="S32" s="1102">
        <v>50.081466395112017</v>
      </c>
      <c r="T32" s="1102">
        <v>54.838709677419338</v>
      </c>
      <c r="U32" s="1102">
        <v>56.870332654446706</v>
      </c>
      <c r="V32" s="1103">
        <v>37.651928257013324</v>
      </c>
      <c r="W32" s="1098">
        <v>42.41508442283687</v>
      </c>
      <c r="X32" s="1099">
        <v>47.840438233021985</v>
      </c>
      <c r="Y32" s="1099">
        <v>48.630181985414879</v>
      </c>
      <c r="Z32" s="1099">
        <v>48.744059742023083</v>
      </c>
      <c r="AA32" s="1099">
        <v>48.984954996386556</v>
      </c>
      <c r="AB32" s="1099">
        <v>50.780719619823486</v>
      </c>
      <c r="AC32" s="1099">
        <v>54.536495631036061</v>
      </c>
      <c r="AD32" s="1099">
        <v>51.619473096379977</v>
      </c>
      <c r="AE32" s="1099">
        <v>49.674134419551933</v>
      </c>
      <c r="AF32" s="1099">
        <v>49.30129293456968</v>
      </c>
      <c r="AG32" s="1099">
        <v>50.695006747638324</v>
      </c>
      <c r="AH32" s="1100">
        <v>40.35214506274226</v>
      </c>
      <c r="AI32" s="1104">
        <v>41.463414634146346</v>
      </c>
      <c r="AJ32" s="1104">
        <v>40.563298490127757</v>
      </c>
      <c r="AK32" s="1104">
        <v>37.4537281861449</v>
      </c>
      <c r="AL32" s="1104">
        <v>40.990437158469952</v>
      </c>
      <c r="AM32" s="1104">
        <v>43.483870967741922</v>
      </c>
      <c r="AN32" s="1104">
        <v>47.214521452145213</v>
      </c>
      <c r="AO32" s="1104">
        <v>47.971893963589906</v>
      </c>
      <c r="AP32" s="1104">
        <v>44.415363475757367</v>
      </c>
      <c r="AQ32" s="1104">
        <v>47.836375929682205</v>
      </c>
      <c r="AR32" s="1104">
        <v>51.902156825756165</v>
      </c>
      <c r="AS32" s="1104">
        <v>45.477582846003898</v>
      </c>
      <c r="AT32" s="1104">
        <v>42.105263157894733</v>
      </c>
      <c r="AU32" s="1098">
        <v>42.046265586296656</v>
      </c>
      <c r="AV32" s="1099">
        <v>50.205147333084668</v>
      </c>
      <c r="AW32" s="1099">
        <v>51.713972879642881</v>
      </c>
      <c r="AX32" s="1099">
        <v>52.000840689365305</v>
      </c>
      <c r="AY32" s="1099">
        <v>49.961355408208924</v>
      </c>
      <c r="AZ32" s="1099">
        <v>53.097940311055069</v>
      </c>
      <c r="BA32" s="1099">
        <v>57.718748728796321</v>
      </c>
      <c r="BB32" s="1099">
        <v>53.386486596428426</v>
      </c>
      <c r="BC32" s="1099">
        <v>50.924758301807493</v>
      </c>
      <c r="BD32" s="1099">
        <v>57.812309319448396</v>
      </c>
      <c r="BE32" s="1099">
        <v>60.655737704918053</v>
      </c>
      <c r="BF32" s="1099">
        <v>47.361998128788194</v>
      </c>
      <c r="BG32" s="1105">
        <v>47.012162876784771</v>
      </c>
      <c r="BH32" s="1105">
        <v>59.282111331291652</v>
      </c>
      <c r="BI32" s="1105">
        <v>55.94516535817435</v>
      </c>
      <c r="BJ32" s="1105">
        <v>54.745691467002956</v>
      </c>
      <c r="BK32" s="1105">
        <v>52.865801570190776</v>
      </c>
      <c r="BL32" s="1105">
        <v>52.202606137032369</v>
      </c>
      <c r="BM32" s="1105">
        <v>57.381117032095354</v>
      </c>
      <c r="BN32" s="1105">
        <v>58.865882927226146</v>
      </c>
      <c r="BO32" s="1105">
        <v>55.914249684741492</v>
      </c>
      <c r="BP32" s="1105">
        <v>58.856269352878911</v>
      </c>
      <c r="BQ32" s="1105">
        <v>62.770352369380319</v>
      </c>
      <c r="BR32" s="1105">
        <v>48.998549758946417</v>
      </c>
      <c r="BS32" s="1106">
        <v>50.111707756829851</v>
      </c>
      <c r="BT32" s="1107">
        <v>56.446139020404765</v>
      </c>
      <c r="BU32" s="1107">
        <v>61.729314467134422</v>
      </c>
      <c r="BV32" s="1107">
        <v>55.196435803969223</v>
      </c>
      <c r="BW32" s="1107">
        <v>59.785207541253484</v>
      </c>
      <c r="BX32" s="1107">
        <v>61.834750911300148</v>
      </c>
      <c r="BY32" s="1107">
        <v>58.403026682596582</v>
      </c>
      <c r="BZ32" s="1107">
        <v>59.972122660294701</v>
      </c>
      <c r="CA32" s="1107">
        <v>62.641975308641982</v>
      </c>
      <c r="CB32" s="1107">
        <v>62.481083233771393</v>
      </c>
      <c r="CC32" s="1107">
        <v>69.65432098765433</v>
      </c>
      <c r="CD32" s="1107">
        <v>52.409398645957808</v>
      </c>
      <c r="CE32" s="1087">
        <v>51.943448825169256</v>
      </c>
      <c r="CF32" s="1088">
        <v>61.710758377425059</v>
      </c>
      <c r="CG32" s="1088">
        <v>62.186379928315439</v>
      </c>
      <c r="CH32" s="1088">
        <v>59.255144032921812</v>
      </c>
      <c r="CI32" s="1088">
        <v>61.37395459976107</v>
      </c>
      <c r="CJ32" s="1088">
        <v>64.839506172839506</v>
      </c>
      <c r="CK32" s="1088">
        <v>66.67064914376742</v>
      </c>
      <c r="CL32" s="1088">
        <v>65.403594049197238</v>
      </c>
      <c r="CM32" s="1088">
        <v>70.14459665144598</v>
      </c>
      <c r="CN32" s="1088">
        <v>62.766975990573002</v>
      </c>
      <c r="CO32" s="1088">
        <v>68.17351598173515</v>
      </c>
      <c r="CP32" s="1088">
        <v>50.902194726763895</v>
      </c>
      <c r="CQ32" s="1108">
        <v>57.766239505081749</v>
      </c>
      <c r="CR32" s="1109">
        <v>67.596216568819301</v>
      </c>
      <c r="CS32" s="1109">
        <v>65.982745686421623</v>
      </c>
      <c r="CT32" s="1109">
        <v>61.306201550387584</v>
      </c>
      <c r="CU32" s="1109">
        <v>65.933983495873989</v>
      </c>
      <c r="CV32" s="1109">
        <v>63.998023255813955</v>
      </c>
      <c r="CW32" s="1109">
        <v>63.6</v>
      </c>
      <c r="CX32" s="1109">
        <v>66.002441860465126</v>
      </c>
      <c r="CY32" s="1109">
        <v>66.545232558139531</v>
      </c>
      <c r="CZ32" s="1109">
        <v>64.943604651162786</v>
      </c>
      <c r="DA32" s="1109">
        <v>72.579235225955969</v>
      </c>
      <c r="DB32" s="1110">
        <v>59.885504055619926</v>
      </c>
      <c r="DC32" s="1091">
        <v>53.858180764774048</v>
      </c>
      <c r="DD32" s="1091">
        <v>50.760254924681348</v>
      </c>
      <c r="DE32" s="1091">
        <v>67.008806488991894</v>
      </c>
      <c r="DF32" s="1091">
        <v>58.744611819235217</v>
      </c>
      <c r="DG32" s="1091">
        <v>60.326882966396276</v>
      </c>
      <c r="DH32" s="1091">
        <v>65.860693641618496</v>
      </c>
      <c r="DI32" s="1091">
        <v>63.366820809248559</v>
      </c>
      <c r="DJ32" s="1091">
        <v>60.370145631067942</v>
      </c>
      <c r="DK32" s="1091">
        <v>60.966019417475728</v>
      </c>
      <c r="DL32" s="1091">
        <v>63.303033980582519</v>
      </c>
      <c r="DM32" s="1091">
        <v>61.341113744075827</v>
      </c>
      <c r="DN32" s="1092">
        <v>49.496919431279608</v>
      </c>
      <c r="DO32" s="1091">
        <v>43.764991334488727</v>
      </c>
      <c r="DP32" s="1091">
        <v>59.223743500866554</v>
      </c>
      <c r="DQ32" s="1091">
        <v>54.879029462738302</v>
      </c>
      <c r="DR32" s="1091">
        <v>52.023570190641244</v>
      </c>
      <c r="DS32" s="1091">
        <v>52.476429809358756</v>
      </c>
      <c r="DT32" s="1091">
        <v>58.480242634315424</v>
      </c>
      <c r="DU32" s="1091">
        <v>54.355979202772964</v>
      </c>
      <c r="DV32" s="1091">
        <v>58.315424610051991</v>
      </c>
      <c r="DW32" s="1091">
        <v>52.690121317157711</v>
      </c>
      <c r="DX32" s="1091">
        <v>70.517850953206235</v>
      </c>
      <c r="DY32" s="1091">
        <v>54.997227036395145</v>
      </c>
      <c r="DZ32" s="1091">
        <v>44.18682842287695</v>
      </c>
      <c r="EA32" s="1099"/>
      <c r="EB32" s="1111">
        <v>52.600912009921466</v>
      </c>
      <c r="EC32" s="1112">
        <v>48.111345090813415</v>
      </c>
      <c r="ED32" s="1112">
        <v>48.622205915870275</v>
      </c>
      <c r="EE32" s="1112">
        <v>44.302242693425434</v>
      </c>
      <c r="EF32" s="1112">
        <v>52.270035668505798</v>
      </c>
      <c r="EG32" s="1112">
        <v>55.374138019541142</v>
      </c>
      <c r="EH32" s="1112">
        <v>59.189963390066467</v>
      </c>
      <c r="EI32" s="1112">
        <v>62.123055588262233</v>
      </c>
      <c r="EJ32" s="1112">
        <f t="shared" si="2"/>
        <v>64.678285701145128</v>
      </c>
      <c r="EK32" s="1113">
        <v>59.662972613332471</v>
      </c>
      <c r="EL32" s="1112">
        <f t="shared" si="3"/>
        <v>54.659286539572498</v>
      </c>
      <c r="EM32" s="1318">
        <v>54.912160600808789</v>
      </c>
    </row>
    <row r="33" spans="1:143">
      <c r="A33" s="998"/>
      <c r="B33" s="1114" t="s">
        <v>719</v>
      </c>
      <c r="C33" s="1115" t="s">
        <v>720</v>
      </c>
      <c r="D33" s="1098" t="s">
        <v>443</v>
      </c>
      <c r="E33" s="1099" t="s">
        <v>443</v>
      </c>
      <c r="F33" s="1099" t="s">
        <v>443</v>
      </c>
      <c r="G33" s="1099" t="s">
        <v>443</v>
      </c>
      <c r="H33" s="1099" t="s">
        <v>443</v>
      </c>
      <c r="I33" s="1099" t="s">
        <v>443</v>
      </c>
      <c r="J33" s="1100" t="s">
        <v>443</v>
      </c>
      <c r="K33" s="1101"/>
      <c r="L33" s="1102" t="s">
        <v>443</v>
      </c>
      <c r="M33" s="1102" t="s">
        <v>443</v>
      </c>
      <c r="N33" s="1102" t="s">
        <v>443</v>
      </c>
      <c r="O33" s="1102" t="s">
        <v>443</v>
      </c>
      <c r="P33" s="1102" t="s">
        <v>443</v>
      </c>
      <c r="Q33" s="1102" t="s">
        <v>443</v>
      </c>
      <c r="R33" s="1102" t="s">
        <v>443</v>
      </c>
      <c r="S33" s="1102" t="s">
        <v>443</v>
      </c>
      <c r="T33" s="1102" t="s">
        <v>443</v>
      </c>
      <c r="U33" s="1102" t="s">
        <v>443</v>
      </c>
      <c r="V33" s="1103" t="s">
        <v>443</v>
      </c>
      <c r="W33" s="1098" t="s">
        <v>443</v>
      </c>
      <c r="X33" s="1099" t="s">
        <v>443</v>
      </c>
      <c r="Y33" s="1099" t="s">
        <v>443</v>
      </c>
      <c r="Z33" s="1099" t="s">
        <v>443</v>
      </c>
      <c r="AA33" s="1099" t="s">
        <v>443</v>
      </c>
      <c r="AB33" s="1099" t="s">
        <v>443</v>
      </c>
      <c r="AC33" s="1099" t="s">
        <v>443</v>
      </c>
      <c r="AD33" s="1099" t="s">
        <v>443</v>
      </c>
      <c r="AE33" s="1099" t="s">
        <v>443</v>
      </c>
      <c r="AF33" s="1099" t="s">
        <v>443</v>
      </c>
      <c r="AG33" s="1099" t="s">
        <v>443</v>
      </c>
      <c r="AH33" s="1100" t="s">
        <v>443</v>
      </c>
      <c r="AI33" s="1104" t="s">
        <v>443</v>
      </c>
      <c r="AJ33" s="1104" t="s">
        <v>443</v>
      </c>
      <c r="AK33" s="1104" t="s">
        <v>443</v>
      </c>
      <c r="AL33" s="1104" t="s">
        <v>443</v>
      </c>
      <c r="AM33" s="1104" t="s">
        <v>443</v>
      </c>
      <c r="AN33" s="1104" t="s">
        <v>443</v>
      </c>
      <c r="AO33" s="1104" t="s">
        <v>443</v>
      </c>
      <c r="AP33" s="1104" t="s">
        <v>443</v>
      </c>
      <c r="AQ33" s="1104" t="s">
        <v>443</v>
      </c>
      <c r="AR33" s="1104" t="s">
        <v>443</v>
      </c>
      <c r="AS33" s="1104" t="s">
        <v>443</v>
      </c>
      <c r="AT33" s="1104" t="s">
        <v>443</v>
      </c>
      <c r="AU33" s="1098" t="s">
        <v>443</v>
      </c>
      <c r="AV33" s="1099" t="s">
        <v>443</v>
      </c>
      <c r="AW33" s="1099" t="s">
        <v>443</v>
      </c>
      <c r="AX33" s="1099" t="s">
        <v>443</v>
      </c>
      <c r="AY33" s="1099" t="s">
        <v>443</v>
      </c>
      <c r="AZ33" s="1099" t="s">
        <v>443</v>
      </c>
      <c r="BA33" s="1099" t="s">
        <v>443</v>
      </c>
      <c r="BB33" s="1099" t="s">
        <v>443</v>
      </c>
      <c r="BC33" s="1099" t="s">
        <v>443</v>
      </c>
      <c r="BD33" s="1099" t="s">
        <v>443</v>
      </c>
      <c r="BE33" s="1099" t="s">
        <v>443</v>
      </c>
      <c r="BF33" s="1099" t="s">
        <v>443</v>
      </c>
      <c r="BG33" s="1105" t="s">
        <v>443</v>
      </c>
      <c r="BH33" s="1105" t="s">
        <v>443</v>
      </c>
      <c r="BI33" s="1105" t="s">
        <v>443</v>
      </c>
      <c r="BJ33" s="1105" t="s">
        <v>443</v>
      </c>
      <c r="BK33" s="1105" t="s">
        <v>443</v>
      </c>
      <c r="BL33" s="1105" t="s">
        <v>443</v>
      </c>
      <c r="BM33" s="1105" t="s">
        <v>443</v>
      </c>
      <c r="BN33" s="1105" t="s">
        <v>443</v>
      </c>
      <c r="BO33" s="1105" t="s">
        <v>443</v>
      </c>
      <c r="BP33" s="1105" t="s">
        <v>443</v>
      </c>
      <c r="BQ33" s="1105" t="s">
        <v>443</v>
      </c>
      <c r="BR33" s="1105" t="s">
        <v>443</v>
      </c>
      <c r="BS33" s="1106" t="s">
        <v>443</v>
      </c>
      <c r="BT33" s="1107" t="s">
        <v>443</v>
      </c>
      <c r="BU33" s="1107" t="s">
        <v>443</v>
      </c>
      <c r="BV33" s="1107" t="s">
        <v>443</v>
      </c>
      <c r="BW33" s="1107" t="s">
        <v>443</v>
      </c>
      <c r="BX33" s="1107" t="s">
        <v>443</v>
      </c>
      <c r="BY33" s="1107" t="s">
        <v>443</v>
      </c>
      <c r="BZ33" s="1107" t="s">
        <v>443</v>
      </c>
      <c r="CA33" s="1107" t="s">
        <v>443</v>
      </c>
      <c r="CB33" s="1107" t="s">
        <v>443</v>
      </c>
      <c r="CC33" s="1107" t="s">
        <v>443</v>
      </c>
      <c r="CD33" s="1107" t="s">
        <v>443</v>
      </c>
      <c r="CE33" s="1087" t="s">
        <v>443</v>
      </c>
      <c r="CF33" s="1088" t="s">
        <v>443</v>
      </c>
      <c r="CG33" s="1088" t="s">
        <v>443</v>
      </c>
      <c r="CH33" s="1088" t="s">
        <v>443</v>
      </c>
      <c r="CI33" s="1088" t="s">
        <v>443</v>
      </c>
      <c r="CJ33" s="1088" t="s">
        <v>443</v>
      </c>
      <c r="CK33" s="1088" t="s">
        <v>443</v>
      </c>
      <c r="CL33" s="1088" t="s">
        <v>443</v>
      </c>
      <c r="CM33" s="1088" t="s">
        <v>443</v>
      </c>
      <c r="CN33" s="1088" t="s">
        <v>443</v>
      </c>
      <c r="CO33" s="1088" t="s">
        <v>443</v>
      </c>
      <c r="CP33" s="1088" t="s">
        <v>443</v>
      </c>
      <c r="CQ33" s="1108" t="s">
        <v>443</v>
      </c>
      <c r="CR33" s="1109" t="s">
        <v>443</v>
      </c>
      <c r="CS33" s="1109" t="s">
        <v>443</v>
      </c>
      <c r="CT33" s="1109" t="s">
        <v>443</v>
      </c>
      <c r="CU33" s="1109" t="s">
        <v>443</v>
      </c>
      <c r="CV33" s="1109" t="s">
        <v>443</v>
      </c>
      <c r="CW33" s="1109" t="s">
        <v>443</v>
      </c>
      <c r="CX33" s="1109" t="s">
        <v>443</v>
      </c>
      <c r="CY33" s="1109" t="s">
        <v>443</v>
      </c>
      <c r="CZ33" s="1109" t="s">
        <v>443</v>
      </c>
      <c r="DA33" s="1109" t="s">
        <v>443</v>
      </c>
      <c r="DB33" s="1110" t="s">
        <v>443</v>
      </c>
      <c r="DC33" s="1091" t="s">
        <v>443</v>
      </c>
      <c r="DD33" s="1091" t="s">
        <v>443</v>
      </c>
      <c r="DE33" s="1091" t="s">
        <v>443</v>
      </c>
      <c r="DF33" s="1091" t="s">
        <v>443</v>
      </c>
      <c r="DG33" s="1091" t="s">
        <v>443</v>
      </c>
      <c r="DH33" s="1091" t="s">
        <v>443</v>
      </c>
      <c r="DI33" s="1091" t="s">
        <v>443</v>
      </c>
      <c r="DJ33" s="1091" t="s">
        <v>443</v>
      </c>
      <c r="DK33" s="1091" t="s">
        <v>443</v>
      </c>
      <c r="DL33" s="1091" t="s">
        <v>443</v>
      </c>
      <c r="DM33" s="1091" t="s">
        <v>443</v>
      </c>
      <c r="DN33" s="1092" t="s">
        <v>443</v>
      </c>
      <c r="DO33" s="1091" t="s">
        <v>443</v>
      </c>
      <c r="DP33" s="1091" t="s">
        <v>443</v>
      </c>
      <c r="DQ33" s="1091" t="s">
        <v>443</v>
      </c>
      <c r="DR33" s="1091" t="s">
        <v>443</v>
      </c>
      <c r="DS33" s="1091" t="s">
        <v>443</v>
      </c>
      <c r="DT33" s="1091" t="s">
        <v>443</v>
      </c>
      <c r="DU33" s="1091" t="s">
        <v>443</v>
      </c>
      <c r="DV33" s="1091" t="s">
        <v>443</v>
      </c>
      <c r="DW33" s="1091" t="s">
        <v>443</v>
      </c>
      <c r="DX33" s="1091" t="s">
        <v>443</v>
      </c>
      <c r="DY33" s="1091" t="s">
        <v>443</v>
      </c>
      <c r="DZ33" s="1091" t="s">
        <v>443</v>
      </c>
      <c r="EA33" s="1099"/>
      <c r="EB33" s="1111" t="s">
        <v>443</v>
      </c>
      <c r="EC33" s="1112" t="s">
        <v>443</v>
      </c>
      <c r="ED33" s="1112" t="s">
        <v>443</v>
      </c>
      <c r="EE33" s="1112" t="s">
        <v>443</v>
      </c>
      <c r="EF33" s="1112" t="s">
        <v>443</v>
      </c>
      <c r="EG33" s="1112" t="s">
        <v>443</v>
      </c>
      <c r="EH33" s="1112" t="s">
        <v>443</v>
      </c>
      <c r="EI33" s="1112" t="s">
        <v>443</v>
      </c>
      <c r="EJ33" s="1112"/>
      <c r="EK33" s="1113" t="s">
        <v>443</v>
      </c>
      <c r="EL33" s="1112"/>
      <c r="EM33" s="1318"/>
    </row>
    <row r="34" spans="1:143">
      <c r="A34" s="998"/>
      <c r="B34" s="1114"/>
      <c r="C34" s="1115"/>
      <c r="D34" s="1098"/>
      <c r="E34" s="1099"/>
      <c r="F34" s="1099"/>
      <c r="G34" s="1099"/>
      <c r="H34" s="1099"/>
      <c r="I34" s="1099"/>
      <c r="J34" s="1100"/>
      <c r="K34" s="1101"/>
      <c r="L34" s="1102"/>
      <c r="M34" s="1102"/>
      <c r="N34" s="1102"/>
      <c r="O34" s="1102"/>
      <c r="P34" s="1102"/>
      <c r="Q34" s="1102"/>
      <c r="R34" s="1102"/>
      <c r="S34" s="1102"/>
      <c r="T34" s="1102"/>
      <c r="U34" s="1102"/>
      <c r="V34" s="1103"/>
      <c r="W34" s="1098"/>
      <c r="X34" s="1099"/>
      <c r="Y34" s="1099"/>
      <c r="Z34" s="1099"/>
      <c r="AA34" s="1099"/>
      <c r="AB34" s="1099"/>
      <c r="AC34" s="1099"/>
      <c r="AD34" s="1099"/>
      <c r="AE34" s="1099"/>
      <c r="AF34" s="1099"/>
      <c r="AG34" s="1099"/>
      <c r="AH34" s="1100"/>
      <c r="AI34" s="1104"/>
      <c r="AJ34" s="1104"/>
      <c r="AK34" s="1104"/>
      <c r="AL34" s="1104"/>
      <c r="AM34" s="1104"/>
      <c r="AN34" s="1104"/>
      <c r="AO34" s="1104"/>
      <c r="AP34" s="1104"/>
      <c r="AQ34" s="1104"/>
      <c r="AR34" s="1104"/>
      <c r="AS34" s="1104"/>
      <c r="AT34" s="1104"/>
      <c r="AU34" s="1098"/>
      <c r="AV34" s="1099"/>
      <c r="AW34" s="1099"/>
      <c r="AX34" s="1099"/>
      <c r="AY34" s="1099"/>
      <c r="AZ34" s="1099"/>
      <c r="BA34" s="1099"/>
      <c r="BB34" s="1099"/>
      <c r="BC34" s="1099"/>
      <c r="BD34" s="1099"/>
      <c r="BE34" s="1099"/>
      <c r="BF34" s="1099"/>
      <c r="BG34" s="1105"/>
      <c r="BH34" s="1105"/>
      <c r="BI34" s="1105"/>
      <c r="BJ34" s="1105"/>
      <c r="BK34" s="1105"/>
      <c r="BL34" s="1105"/>
      <c r="BM34" s="1105"/>
      <c r="BN34" s="1105"/>
      <c r="BO34" s="1105"/>
      <c r="BP34" s="1105"/>
      <c r="BQ34" s="1105"/>
      <c r="BR34" s="1105"/>
      <c r="BS34" s="1106"/>
      <c r="BT34" s="1107"/>
      <c r="BU34" s="1107"/>
      <c r="BV34" s="1107"/>
      <c r="BW34" s="1107"/>
      <c r="BX34" s="1107"/>
      <c r="BY34" s="1107"/>
      <c r="BZ34" s="1107"/>
      <c r="CA34" s="1107"/>
      <c r="CB34" s="1107"/>
      <c r="CC34" s="1107"/>
      <c r="CD34" s="1107"/>
      <c r="CE34" s="1087"/>
      <c r="CF34" s="1088"/>
      <c r="CG34" s="1088"/>
      <c r="CH34" s="1088"/>
      <c r="CI34" s="1088"/>
      <c r="CJ34" s="1088"/>
      <c r="CK34" s="1088"/>
      <c r="CL34" s="1088"/>
      <c r="CM34" s="1088"/>
      <c r="CN34" s="1088"/>
      <c r="CO34" s="1088"/>
      <c r="CP34" s="1088"/>
      <c r="CQ34" s="1108"/>
      <c r="CR34" s="1109"/>
      <c r="CS34" s="1109"/>
      <c r="CT34" s="1109"/>
      <c r="CU34" s="1109"/>
      <c r="CV34" s="1109"/>
      <c r="CW34" s="1109"/>
      <c r="CX34" s="1109"/>
      <c r="CY34" s="1109"/>
      <c r="CZ34" s="1109"/>
      <c r="DA34" s="1109"/>
      <c r="DB34" s="1110"/>
      <c r="DC34" s="1091"/>
      <c r="DD34" s="1091"/>
      <c r="DE34" s="1091"/>
      <c r="DF34" s="1091"/>
      <c r="DG34" s="1091"/>
      <c r="DH34" s="1091"/>
      <c r="DI34" s="1091"/>
      <c r="DJ34" s="1091"/>
      <c r="DK34" s="1091"/>
      <c r="DL34" s="1091"/>
      <c r="DM34" s="1091"/>
      <c r="DN34" s="1092"/>
      <c r="DO34" s="1091"/>
      <c r="DP34" s="1091"/>
      <c r="DQ34" s="1091"/>
      <c r="DR34" s="1091"/>
      <c r="DS34" s="1091"/>
      <c r="DT34" s="1091"/>
      <c r="DU34" s="1091"/>
      <c r="DV34" s="1091"/>
      <c r="DW34" s="1091"/>
      <c r="DX34" s="1091"/>
      <c r="DY34" s="1091"/>
      <c r="DZ34" s="1091"/>
      <c r="EA34" s="1099"/>
      <c r="EB34" s="1111"/>
      <c r="EC34" s="1112"/>
      <c r="ED34" s="1112"/>
      <c r="EE34" s="1112"/>
      <c r="EF34" s="1112"/>
      <c r="EG34" s="1112"/>
      <c r="EH34" s="1112"/>
      <c r="EI34" s="1112"/>
      <c r="EJ34" s="1112"/>
      <c r="EK34" s="1113"/>
      <c r="EL34" s="1112"/>
      <c r="EM34" s="1318"/>
    </row>
    <row r="35" spans="1:143">
      <c r="A35" s="998"/>
      <c r="B35" s="1014" t="s">
        <v>765</v>
      </c>
      <c r="C35" s="1117"/>
      <c r="D35" s="1098">
        <v>41.041775004333509</v>
      </c>
      <c r="E35" s="1099">
        <v>29.399592563481498</v>
      </c>
      <c r="F35" s="1099">
        <v>36.915373881638345</v>
      </c>
      <c r="G35" s="1099">
        <v>28.845293409051799</v>
      </c>
      <c r="H35" s="1099">
        <v>31.383578919421211</v>
      </c>
      <c r="I35" s="1099">
        <v>35.890789701054089</v>
      </c>
      <c r="J35" s="1100">
        <v>32.743581303489137</v>
      </c>
      <c r="K35" s="1101">
        <v>35.17301126229426</v>
      </c>
      <c r="L35" s="1102">
        <v>36.075810692375128</v>
      </c>
      <c r="M35" s="1102">
        <v>36.982048859495201</v>
      </c>
      <c r="N35" s="1102">
        <v>37.92712691771267</v>
      </c>
      <c r="O35" s="1102">
        <v>36.909501957079222</v>
      </c>
      <c r="P35" s="1102">
        <v>38.8336820083682</v>
      </c>
      <c r="Q35" s="1102">
        <v>39.225739212291359</v>
      </c>
      <c r="R35" s="1102">
        <v>39.319874262468687</v>
      </c>
      <c r="S35" s="1102">
        <v>36.236559139784944</v>
      </c>
      <c r="T35" s="1102">
        <v>34.42482628981908</v>
      </c>
      <c r="U35" s="1102">
        <v>41.192581036574801</v>
      </c>
      <c r="V35" s="1103">
        <v>34.661474942096604</v>
      </c>
      <c r="W35" s="1098">
        <v>35.326759150927629</v>
      </c>
      <c r="X35" s="1099">
        <v>35.617294979453298</v>
      </c>
      <c r="Y35" s="1099">
        <v>37.019889687447765</v>
      </c>
      <c r="Z35" s="1099">
        <v>39.595854922279791</v>
      </c>
      <c r="AA35" s="1099">
        <v>39.31138224970752</v>
      </c>
      <c r="AB35" s="1099">
        <v>40.633851468048363</v>
      </c>
      <c r="AC35" s="1099">
        <v>44.069864616413199</v>
      </c>
      <c r="AD35" s="1099">
        <v>42.956710680260741</v>
      </c>
      <c r="AE35" s="1099">
        <v>42.480138169257351</v>
      </c>
      <c r="AF35" s="1099">
        <v>40.003342804613077</v>
      </c>
      <c r="AG35" s="1099">
        <v>43.136645962732942</v>
      </c>
      <c r="AH35" s="1100">
        <v>37.78754286094744</v>
      </c>
      <c r="AI35" s="1104">
        <v>40.873593203899709</v>
      </c>
      <c r="AJ35" s="1104">
        <v>40.541237113402069</v>
      </c>
      <c r="AK35" s="1104">
        <v>41.867062730504173</v>
      </c>
      <c r="AL35" s="1104">
        <v>37.709949991377826</v>
      </c>
      <c r="AM35" s="1104">
        <v>39.640872452981348</v>
      </c>
      <c r="AN35" s="1104">
        <v>39.236075185376777</v>
      </c>
      <c r="AO35" s="1104">
        <v>42.999083104109388</v>
      </c>
      <c r="AP35" s="1104">
        <v>41.217896300252029</v>
      </c>
      <c r="AQ35" s="1104">
        <v>36.751163993792019</v>
      </c>
      <c r="AR35" s="1104">
        <v>35.879378535787616</v>
      </c>
      <c r="AS35" s="1104">
        <v>38.604931884807712</v>
      </c>
      <c r="AT35" s="1104">
        <v>39.988330415937313</v>
      </c>
      <c r="AU35" s="1098">
        <v>39.308160373426702</v>
      </c>
      <c r="AV35" s="1099">
        <v>42.687682215743436</v>
      </c>
      <c r="AW35" s="1099">
        <v>40.352205398288362</v>
      </c>
      <c r="AX35" s="1099">
        <v>40.52184259731429</v>
      </c>
      <c r="AY35" s="1099">
        <v>39.525587669227356</v>
      </c>
      <c r="AZ35" s="1099">
        <v>39.224885262621093</v>
      </c>
      <c r="BA35" s="1099">
        <v>39.122567485318527</v>
      </c>
      <c r="BB35" s="1099">
        <v>39.831554012929551</v>
      </c>
      <c r="BC35" s="1099">
        <v>39.585245622981468</v>
      </c>
      <c r="BD35" s="1099">
        <v>41.545623529798789</v>
      </c>
      <c r="BE35" s="1099">
        <v>38.674145843957149</v>
      </c>
      <c r="BF35" s="1099">
        <v>40.053626359165015</v>
      </c>
      <c r="BG35" s="1105">
        <v>38.048395321675898</v>
      </c>
      <c r="BH35" s="1105">
        <v>40.314708239236552</v>
      </c>
      <c r="BI35" s="1105">
        <v>37.742428977973702</v>
      </c>
      <c r="BJ35" s="1105">
        <v>38.097909229984673</v>
      </c>
      <c r="BK35" s="1105">
        <v>38.0368804592785</v>
      </c>
      <c r="BL35" s="1105">
        <v>41.038585755566871</v>
      </c>
      <c r="BM35" s="1105">
        <v>39.780559622312524</v>
      </c>
      <c r="BN35" s="1105">
        <v>38.805086279218962</v>
      </c>
      <c r="BO35" s="1105">
        <v>39.442461329253739</v>
      </c>
      <c r="BP35" s="1105">
        <v>41.919034067542889</v>
      </c>
      <c r="BQ35" s="1105">
        <v>43.12425633180348</v>
      </c>
      <c r="BR35" s="1105">
        <v>41.971673438502393</v>
      </c>
      <c r="BS35" s="1106">
        <v>39.472948298267816</v>
      </c>
      <c r="BT35" s="1107">
        <v>40.137860697392227</v>
      </c>
      <c r="BU35" s="1107">
        <v>42.22664539158756</v>
      </c>
      <c r="BV35" s="1107">
        <v>41.609722930477652</v>
      </c>
      <c r="BW35" s="1107">
        <v>44.27076477556929</v>
      </c>
      <c r="BX35" s="1107">
        <v>45.760666326704055</v>
      </c>
      <c r="BY35" s="1107">
        <v>46.782364284080138</v>
      </c>
      <c r="BZ35" s="1107">
        <v>45.430924600451014</v>
      </c>
      <c r="CA35" s="1107">
        <v>44.819317798041197</v>
      </c>
      <c r="CB35" s="1107">
        <v>43.419289472824133</v>
      </c>
      <c r="CC35" s="1107">
        <v>44.034110097939887</v>
      </c>
      <c r="CD35" s="1107">
        <v>37.351701147171276</v>
      </c>
      <c r="CE35" s="1087">
        <v>39.904238977677544</v>
      </c>
      <c r="CF35" s="1088">
        <v>41.930814879143178</v>
      </c>
      <c r="CG35" s="1088">
        <v>43.594143216655226</v>
      </c>
      <c r="CH35" s="1088">
        <v>43.081729145558917</v>
      </c>
      <c r="CI35" s="1088">
        <v>41.252410367029462</v>
      </c>
      <c r="CJ35" s="1088">
        <v>42.365754812563317</v>
      </c>
      <c r="CK35" s="1088">
        <v>42.391410922639473</v>
      </c>
      <c r="CL35" s="1088">
        <v>41.700166683008142</v>
      </c>
      <c r="CM35" s="1088">
        <v>45.016886187098933</v>
      </c>
      <c r="CN35" s="1088">
        <v>45.988168774716478</v>
      </c>
      <c r="CO35" s="1088">
        <v>45.38838230327589</v>
      </c>
      <c r="CP35" s="1088">
        <v>39.704873026767316</v>
      </c>
      <c r="CQ35" s="1108">
        <v>41.007288296238194</v>
      </c>
      <c r="CR35" s="1109">
        <v>42.120784484006364</v>
      </c>
      <c r="CS35" s="1109">
        <v>42.263839617193298</v>
      </c>
      <c r="CT35" s="1109">
        <v>35.951893551688826</v>
      </c>
      <c r="CU35" s="1109">
        <v>37.793442731204827</v>
      </c>
      <c r="CV35" s="1109">
        <v>38.716990788126921</v>
      </c>
      <c r="CW35" s="1109">
        <v>40.700000000000003</v>
      </c>
      <c r="CX35" s="1109">
        <v>40.352583120204606</v>
      </c>
      <c r="CY35" s="1109">
        <v>42.047067822539518</v>
      </c>
      <c r="CZ35" s="1109">
        <v>42.154207037225916</v>
      </c>
      <c r="DA35" s="1109">
        <v>45.841932687404395</v>
      </c>
      <c r="DB35" s="1110">
        <v>40.535543090260077</v>
      </c>
      <c r="DC35" s="1091">
        <v>39.696517083120852</v>
      </c>
      <c r="DD35" s="1091">
        <v>38.586894441611427</v>
      </c>
      <c r="DE35" s="1091">
        <v>43.64864864864866</v>
      </c>
      <c r="DF35" s="1091">
        <v>41.262570117287098</v>
      </c>
      <c r="DG35" s="1091">
        <v>40.789852116267213</v>
      </c>
      <c r="DH35" s="1091">
        <v>41.560983102918584</v>
      </c>
      <c r="DI35" s="1091">
        <v>39.183819764464921</v>
      </c>
      <c r="DJ35" s="1091">
        <v>36.076418532014564</v>
      </c>
      <c r="DK35" s="1091">
        <v>41.489692868297759</v>
      </c>
      <c r="DL35" s="1091">
        <v>40.939979177511702</v>
      </c>
      <c r="DM35" s="1091">
        <v>39.823032223983098</v>
      </c>
      <c r="DN35" s="1092">
        <v>37.038052631578942</v>
      </c>
      <c r="DO35" s="1091">
        <v>37.897258883248718</v>
      </c>
      <c r="DP35" s="1091">
        <v>36.99355329949239</v>
      </c>
      <c r="DQ35" s="1091">
        <v>38.501065989847724</v>
      </c>
      <c r="DR35" s="1091">
        <v>33.05568527918782</v>
      </c>
      <c r="DS35" s="1091">
        <v>31.728324873096447</v>
      </c>
      <c r="DT35" s="1091">
        <v>34.777461928934009</v>
      </c>
      <c r="DU35" s="1091">
        <v>35.056192893401018</v>
      </c>
      <c r="DV35" s="1091">
        <v>35.117969543147211</v>
      </c>
      <c r="DW35" s="1091">
        <v>38.728274111675127</v>
      </c>
      <c r="DX35" s="1091">
        <v>45.375685279187806</v>
      </c>
      <c r="DY35" s="1091">
        <v>36.139543147208123</v>
      </c>
      <c r="DZ35" s="1091">
        <v>35.461319796954314</v>
      </c>
      <c r="EA35" s="1099"/>
      <c r="EB35" s="1111">
        <v>39.704873026600808</v>
      </c>
      <c r="EC35" s="1112">
        <v>37.241662894974667</v>
      </c>
      <c r="ED35" s="1112">
        <v>39.83299560767982</v>
      </c>
      <c r="EE35" s="1112">
        <v>39.618641966387109</v>
      </c>
      <c r="EF35" s="1112">
        <v>40.020842075814862</v>
      </c>
      <c r="EG35" s="1112">
        <v>39.850230173311104</v>
      </c>
      <c r="EH35" s="1112">
        <v>42.948439320486102</v>
      </c>
      <c r="EI35" s="1112">
        <v>42.685597701628019</v>
      </c>
      <c r="EJ35" s="1112">
        <f t="shared" ref="EJ35:EJ42" si="4">AVERAGE(CQ35:DB35)</f>
        <v>40.790464435507744</v>
      </c>
      <c r="EK35" s="1113">
        <v>40.019455322143479</v>
      </c>
      <c r="EL35" s="1112">
        <f t="shared" ref="EL35:EL42" si="5">AVERAGE(DO35:DZ35)</f>
        <v>36.569361252115065</v>
      </c>
      <c r="EM35" s="1318">
        <v>36.605803722504241</v>
      </c>
    </row>
    <row r="36" spans="1:143">
      <c r="A36" s="998"/>
      <c r="B36" s="1114" t="s">
        <v>707</v>
      </c>
      <c r="C36" s="1115" t="s">
        <v>708</v>
      </c>
      <c r="D36" s="1098">
        <v>68.276729559748432</v>
      </c>
      <c r="E36" s="1099">
        <v>30.345217883418226</v>
      </c>
      <c r="F36" s="1099">
        <v>69.122766303086564</v>
      </c>
      <c r="G36" s="1099">
        <v>32.561274509803923</v>
      </c>
      <c r="H36" s="1099">
        <v>36.467202302434345</v>
      </c>
      <c r="I36" s="1099">
        <v>36.160493827160494</v>
      </c>
      <c r="J36" s="1100">
        <v>35.539971949509116</v>
      </c>
      <c r="K36" s="1101">
        <v>28.306102499650887</v>
      </c>
      <c r="L36" s="1102">
        <v>33.766233766233768</v>
      </c>
      <c r="M36" s="1102">
        <v>32.97025555090071</v>
      </c>
      <c r="N36" s="1102">
        <v>35.353535353535349</v>
      </c>
      <c r="O36" s="1102">
        <v>21.267979332495464</v>
      </c>
      <c r="P36" s="1102">
        <v>32.20779220779221</v>
      </c>
      <c r="Q36" s="1102">
        <v>26.39296187683285</v>
      </c>
      <c r="R36" s="1102">
        <v>40.497137271330821</v>
      </c>
      <c r="S36" s="1102">
        <v>30.966810966810961</v>
      </c>
      <c r="T36" s="1102">
        <v>29.507052087697243</v>
      </c>
      <c r="U36" s="1102">
        <v>34.069264069264072</v>
      </c>
      <c r="V36" s="1103">
        <v>24.842899036447424</v>
      </c>
      <c r="W36" s="1098">
        <v>28.347996089931577</v>
      </c>
      <c r="X36" s="1099">
        <v>28.019107329452158</v>
      </c>
      <c r="Y36" s="1099">
        <v>27.733556765814825</v>
      </c>
      <c r="Z36" s="1099">
        <v>36.464646464646464</v>
      </c>
      <c r="AA36" s="1099">
        <v>36.210026532607174</v>
      </c>
      <c r="AB36" s="1099">
        <v>37.691197691197694</v>
      </c>
      <c r="AC36" s="1099">
        <v>39.324116743471585</v>
      </c>
      <c r="AD36" s="1099">
        <v>36.768607736349672</v>
      </c>
      <c r="AE36" s="1099">
        <v>30.634920634920636</v>
      </c>
      <c r="AF36" s="1099">
        <v>29.57687473816506</v>
      </c>
      <c r="AG36" s="1099">
        <v>37.777777777777779</v>
      </c>
      <c r="AH36" s="1100">
        <v>31.476050830889545</v>
      </c>
      <c r="AI36" s="1104">
        <v>33.949820788530474</v>
      </c>
      <c r="AJ36" s="1104">
        <v>40.920634920634917</v>
      </c>
      <c r="AK36" s="1104">
        <v>33.458700998119483</v>
      </c>
      <c r="AL36" s="1104">
        <v>28.938714499252622</v>
      </c>
      <c r="AM36" s="1104">
        <v>36.438593953421091</v>
      </c>
      <c r="AN36" s="1104">
        <v>28.729446935724965</v>
      </c>
      <c r="AO36" s="1104">
        <v>45.20430107526883</v>
      </c>
      <c r="AP36" s="1104">
        <v>32.880081006798783</v>
      </c>
      <c r="AQ36" s="1104">
        <v>26.367713004484305</v>
      </c>
      <c r="AR36" s="1104">
        <v>25.054245624186311</v>
      </c>
      <c r="AS36" s="1104">
        <v>33.69207772795216</v>
      </c>
      <c r="AT36" s="1104">
        <v>39.621003905684944</v>
      </c>
      <c r="AU36" s="1098">
        <v>40.633588890496164</v>
      </c>
      <c r="AV36" s="1099">
        <v>34.705317104420246</v>
      </c>
      <c r="AW36" s="1099">
        <v>41.978880370316794</v>
      </c>
      <c r="AX36" s="1099">
        <v>53.393124065769804</v>
      </c>
      <c r="AY36" s="1099">
        <v>48.256907276146393</v>
      </c>
      <c r="AZ36" s="1099">
        <v>40.627802690582961</v>
      </c>
      <c r="BA36" s="1099">
        <v>43.353102849703454</v>
      </c>
      <c r="BB36" s="1099">
        <v>49.804715752929262</v>
      </c>
      <c r="BC36" s="1099">
        <v>49.237668161434982</v>
      </c>
      <c r="BD36" s="1099">
        <v>45.638651815420225</v>
      </c>
      <c r="BE36" s="1099">
        <v>41.52466367713005</v>
      </c>
      <c r="BF36" s="1099">
        <v>58.151309127730364</v>
      </c>
      <c r="BG36" s="1105">
        <v>53.580211196296837</v>
      </c>
      <c r="BH36" s="1105">
        <v>44.843049327354258</v>
      </c>
      <c r="BI36" s="1105">
        <v>57.471430637928542</v>
      </c>
      <c r="BJ36" s="1105">
        <v>54.962630792227209</v>
      </c>
      <c r="BK36" s="1105">
        <v>58.71546361926805</v>
      </c>
      <c r="BL36" s="1105">
        <v>48.69955156950671</v>
      </c>
      <c r="BM36" s="1105">
        <v>39.519745407203821</v>
      </c>
      <c r="BN36" s="1105">
        <v>42.629827860552588</v>
      </c>
      <c r="BO36" s="1105">
        <v>52.81016442451422</v>
      </c>
      <c r="BP36" s="1105">
        <v>49.341819759872699</v>
      </c>
      <c r="BQ36" s="1105">
        <v>54.245142002989532</v>
      </c>
      <c r="BR36" s="1105">
        <v>57.500361637494571</v>
      </c>
      <c r="BS36" s="1106">
        <v>47.114132793288015</v>
      </c>
      <c r="BT36" s="1107">
        <v>44.843049327354265</v>
      </c>
      <c r="BU36" s="1107">
        <v>47.186460292203094</v>
      </c>
      <c r="BV36" s="1107">
        <v>51.076233183856502</v>
      </c>
      <c r="BW36" s="1107">
        <v>44.423549833646753</v>
      </c>
      <c r="BX36" s="1107">
        <v>45.665171898355759</v>
      </c>
      <c r="BY36" s="1107">
        <v>48.531751772023732</v>
      </c>
      <c r="BZ36" s="1107">
        <v>49.283957760740627</v>
      </c>
      <c r="CA36" s="1107">
        <v>43.796711509716005</v>
      </c>
      <c r="CB36" s="1107">
        <v>46.289599305656004</v>
      </c>
      <c r="CC36" s="1107">
        <v>45.754857997010468</v>
      </c>
      <c r="CD36" s="1107">
        <v>46.390857804137134</v>
      </c>
      <c r="CE36" s="1087">
        <v>48.126717778099234</v>
      </c>
      <c r="CF36" s="1088">
        <v>52.40230621396541</v>
      </c>
      <c r="CG36" s="1088">
        <v>51.121076233183857</v>
      </c>
      <c r="CH36" s="1088">
        <v>53.991031390134538</v>
      </c>
      <c r="CI36" s="1088">
        <v>46.47765080283525</v>
      </c>
      <c r="CJ36" s="1088">
        <v>49.402092675635281</v>
      </c>
      <c r="CK36" s="1088">
        <v>53.681469694777952</v>
      </c>
      <c r="CL36" s="1088">
        <v>49.298423260523649</v>
      </c>
      <c r="CM36" s="1088">
        <v>52.645739910313907</v>
      </c>
      <c r="CN36" s="1088">
        <v>54.433675683494855</v>
      </c>
      <c r="CO36" s="1088">
        <v>49.417040358744401</v>
      </c>
      <c r="CP36" s="1088">
        <v>43.439895848401555</v>
      </c>
      <c r="CQ36" s="1108">
        <v>50.5858527412122</v>
      </c>
      <c r="CR36" s="1109">
        <v>54.404228058936567</v>
      </c>
      <c r="CS36" s="1109">
        <v>56.429914653551286</v>
      </c>
      <c r="CT36" s="1109">
        <v>44.887892376681613</v>
      </c>
      <c r="CU36" s="1109">
        <v>43.483292347750613</v>
      </c>
      <c r="CV36" s="1109">
        <v>44.418834080717488</v>
      </c>
      <c r="CW36" s="1109">
        <v>48.9</v>
      </c>
      <c r="CX36" s="1109">
        <v>45.403587443946186</v>
      </c>
      <c r="CY36" s="1109">
        <v>47.285589519650657</v>
      </c>
      <c r="CZ36" s="1109">
        <v>53.702183406113534</v>
      </c>
      <c r="DA36" s="1109">
        <v>47.480960698689955</v>
      </c>
      <c r="DB36" s="1110">
        <v>50.909039301310038</v>
      </c>
      <c r="DC36" s="1091">
        <v>55.472969432314407</v>
      </c>
      <c r="DD36" s="1091">
        <v>49.502183406113538</v>
      </c>
      <c r="DE36" s="1091">
        <v>53.589956331877723</v>
      </c>
      <c r="DF36" s="1091">
        <v>54.584454148471615</v>
      </c>
      <c r="DG36" s="1091">
        <v>48.175982532751092</v>
      </c>
      <c r="DH36" s="1091">
        <v>49.110480349344975</v>
      </c>
      <c r="DI36" s="1091">
        <v>46.696506550218338</v>
      </c>
      <c r="DJ36" s="1091">
        <v>37.977880184331802</v>
      </c>
      <c r="DK36" s="1091">
        <v>48.808755760368662</v>
      </c>
      <c r="DL36" s="1091">
        <v>49.318894009216585</v>
      </c>
      <c r="DM36" s="1091">
        <v>41.929279279279278</v>
      </c>
      <c r="DN36" s="1092">
        <v>35.204424778761059</v>
      </c>
      <c r="DO36" s="1091">
        <v>35.137499999999996</v>
      </c>
      <c r="DP36" s="1091">
        <v>30.446802325581395</v>
      </c>
      <c r="DQ36" s="1091">
        <v>30.432848837209306</v>
      </c>
      <c r="DR36" s="1091">
        <v>26.778488372093022</v>
      </c>
      <c r="DS36" s="1091">
        <v>24.322383720930233</v>
      </c>
      <c r="DT36" s="1091">
        <v>27.984302325581396</v>
      </c>
      <c r="DU36" s="1091">
        <v>26.298255813953492</v>
      </c>
      <c r="DV36" s="1091">
        <v>22.570639534883721</v>
      </c>
      <c r="DW36" s="1091">
        <v>31.395348837209301</v>
      </c>
      <c r="DX36" s="1091">
        <v>34.672383720930235</v>
      </c>
      <c r="DY36" s="1091">
        <v>26.615697674418605</v>
      </c>
      <c r="DZ36" s="1091">
        <v>29.720639534883716</v>
      </c>
      <c r="EA36" s="1099"/>
      <c r="EB36" s="1111">
        <v>43.439895847757839</v>
      </c>
      <c r="EC36" s="1112">
        <v>30.796418193678456</v>
      </c>
      <c r="ED36" s="1112">
        <v>33.339247273673486</v>
      </c>
      <c r="EE36" s="1112">
        <v>33.773827765859636</v>
      </c>
      <c r="EF36" s="1112">
        <v>45.691995822839232</v>
      </c>
      <c r="EG36" s="1112">
        <v>51.229190982247083</v>
      </c>
      <c r="EH36" s="1112">
        <v>46.707834056213102</v>
      </c>
      <c r="EI36" s="1112">
        <v>50.342158609251229</v>
      </c>
      <c r="EJ36" s="1112">
        <f t="shared" si="4"/>
        <v>48.990947885713354</v>
      </c>
      <c r="EK36" s="1113">
        <v>47.560311883959209</v>
      </c>
      <c r="EL36" s="1112">
        <f t="shared" si="5"/>
        <v>28.864607558139536</v>
      </c>
      <c r="EM36" s="1318">
        <v>28.651332364341087</v>
      </c>
    </row>
    <row r="37" spans="1:143">
      <c r="A37" s="998"/>
      <c r="B37" s="1114" t="s">
        <v>709</v>
      </c>
      <c r="C37" s="1115" t="s">
        <v>710</v>
      </c>
      <c r="D37" s="1098">
        <v>27.460317460317462</v>
      </c>
      <c r="E37" s="1099">
        <v>20.223967909075714</v>
      </c>
      <c r="F37" s="1099">
        <v>37.155071900505249</v>
      </c>
      <c r="G37" s="1099">
        <v>17.202380952380953</v>
      </c>
      <c r="H37" s="1099">
        <v>23.606190564982285</v>
      </c>
      <c r="I37" s="1099">
        <v>25.828343313373253</v>
      </c>
      <c r="J37" s="1100">
        <v>28.552995391705071</v>
      </c>
      <c r="K37" s="1101">
        <v>34.742536565818469</v>
      </c>
      <c r="L37" s="1102">
        <v>38.775510204081627</v>
      </c>
      <c r="M37" s="1102">
        <v>26.888399118413137</v>
      </c>
      <c r="N37" s="1102">
        <v>31.739130434782609</v>
      </c>
      <c r="O37" s="1102">
        <v>32.077739931877375</v>
      </c>
      <c r="P37" s="1102">
        <v>34.30641821946169</v>
      </c>
      <c r="Q37" s="1102">
        <v>34.662392306151069</v>
      </c>
      <c r="R37" s="1102">
        <v>30.074133440192348</v>
      </c>
      <c r="S37" s="1102">
        <v>33.519668737060044</v>
      </c>
      <c r="T37" s="1102">
        <v>35.944700460829495</v>
      </c>
      <c r="U37" s="1102">
        <v>48.778467908902691</v>
      </c>
      <c r="V37" s="1103">
        <v>34.802644760569024</v>
      </c>
      <c r="W37" s="1098">
        <v>37.507157854552396</v>
      </c>
      <c r="X37" s="1099">
        <v>31.809834727606614</v>
      </c>
      <c r="Y37" s="1099">
        <v>33.326970795953429</v>
      </c>
      <c r="Z37" s="1099">
        <v>35.404339250493095</v>
      </c>
      <c r="AA37" s="1099">
        <v>37.373544569574349</v>
      </c>
      <c r="AB37" s="1099">
        <v>40.867850098619328</v>
      </c>
      <c r="AC37" s="1099">
        <v>46.211108990265323</v>
      </c>
      <c r="AD37" s="1099">
        <v>45.485779728955904</v>
      </c>
      <c r="AE37" s="1099">
        <v>44.536489151873766</v>
      </c>
      <c r="AF37" s="1099">
        <v>32.086276006871543</v>
      </c>
      <c r="AG37" s="1099">
        <v>35.917159763313613</v>
      </c>
      <c r="AH37" s="1100">
        <v>31.227333460584077</v>
      </c>
      <c r="AI37" s="1104">
        <v>47.94721407624634</v>
      </c>
      <c r="AJ37" s="1104">
        <v>37.654320987654309</v>
      </c>
      <c r="AK37" s="1104">
        <v>40.011318619128467</v>
      </c>
      <c r="AL37" s="1104">
        <v>34.970760233918128</v>
      </c>
      <c r="AM37" s="1104">
        <v>37.804187889077532</v>
      </c>
      <c r="AN37" s="1104">
        <v>29.688109161793374</v>
      </c>
      <c r="AO37" s="1104">
        <v>38.558762497641951</v>
      </c>
      <c r="AP37" s="1104">
        <v>42.425957366534618</v>
      </c>
      <c r="AQ37" s="1104">
        <v>31.65692007797271</v>
      </c>
      <c r="AR37" s="1104">
        <v>25.29711375212224</v>
      </c>
      <c r="AS37" s="1104">
        <v>27.017543859649123</v>
      </c>
      <c r="AT37" s="1104">
        <v>32.295793246557253</v>
      </c>
      <c r="AU37" s="1098">
        <v>30.145255612148659</v>
      </c>
      <c r="AV37" s="1099">
        <v>33.998403830806069</v>
      </c>
      <c r="AW37" s="1099">
        <v>31.248873670931697</v>
      </c>
      <c r="AX37" s="1099">
        <v>32.402234636871505</v>
      </c>
      <c r="AY37" s="1099">
        <v>29.014236799423323</v>
      </c>
      <c r="AZ37" s="1099">
        <v>29.348230912476726</v>
      </c>
      <c r="BA37" s="1099">
        <v>29.608938547486037</v>
      </c>
      <c r="BB37" s="1099">
        <v>29.356640836186703</v>
      </c>
      <c r="BC37" s="1099">
        <v>32.197392923649907</v>
      </c>
      <c r="BD37" s="1099">
        <v>29.969363849342223</v>
      </c>
      <c r="BE37" s="1099">
        <v>30.800744878957175</v>
      </c>
      <c r="BF37" s="1099">
        <v>30.546044332312128</v>
      </c>
      <c r="BG37" s="1105">
        <v>27.806812038205081</v>
      </c>
      <c r="BH37" s="1105">
        <v>31.424581005586592</v>
      </c>
      <c r="BI37" s="1105">
        <v>26.112813119480993</v>
      </c>
      <c r="BJ37" s="1105">
        <v>30.744878957169458</v>
      </c>
      <c r="BK37" s="1105">
        <v>27.590556857091368</v>
      </c>
      <c r="BL37" s="1105">
        <v>30.428305400372441</v>
      </c>
      <c r="BM37" s="1105">
        <v>27.788790773112272</v>
      </c>
      <c r="BN37" s="1105">
        <v>28.689854027752748</v>
      </c>
      <c r="BO37" s="1105">
        <v>31.303538175046551</v>
      </c>
      <c r="BP37" s="1105">
        <v>32.70859614344927</v>
      </c>
      <c r="BQ37" s="1105">
        <v>33.929236499068899</v>
      </c>
      <c r="BR37" s="1105">
        <v>27.752748242926657</v>
      </c>
      <c r="BS37" s="1106">
        <v>27.662641917462604</v>
      </c>
      <c r="BT37" s="1107">
        <v>24.503949142747057</v>
      </c>
      <c r="BU37" s="1107">
        <v>28.437556316453417</v>
      </c>
      <c r="BV37" s="1107">
        <v>28.808193668528869</v>
      </c>
      <c r="BW37" s="1107">
        <v>28.257343665525315</v>
      </c>
      <c r="BX37" s="1107">
        <v>28.34264432029795</v>
      </c>
      <c r="BY37" s="1107">
        <v>31.086682285096412</v>
      </c>
      <c r="BZ37" s="1107">
        <v>31.140746080374836</v>
      </c>
      <c r="CA37" s="1107">
        <v>31.675977653631289</v>
      </c>
      <c r="CB37" s="1107">
        <v>32.167958190664983</v>
      </c>
      <c r="CC37" s="1107">
        <v>29.534450651769088</v>
      </c>
      <c r="CD37" s="1107">
        <v>27.085961434492699</v>
      </c>
      <c r="CE37" s="1087">
        <v>30.059470174806268</v>
      </c>
      <c r="CF37" s="1088">
        <v>31.125299281723862</v>
      </c>
      <c r="CG37" s="1088">
        <v>32.546404757613985</v>
      </c>
      <c r="CH37" s="1088">
        <v>31.620111731843576</v>
      </c>
      <c r="CI37" s="1088">
        <v>29.176428185258608</v>
      </c>
      <c r="CJ37" s="1088">
        <v>28.268156424581004</v>
      </c>
      <c r="CK37" s="1088">
        <v>31.645341502973505</v>
      </c>
      <c r="CL37" s="1088">
        <v>29.572896017300415</v>
      </c>
      <c r="CM37" s="1088">
        <v>35.102420856610799</v>
      </c>
      <c r="CN37" s="1088">
        <v>30.708235718147414</v>
      </c>
      <c r="CO37" s="1088">
        <v>32.681564245810058</v>
      </c>
      <c r="CP37" s="1088">
        <v>32.618489817985221</v>
      </c>
      <c r="CQ37" s="1108">
        <v>29.735087403135701</v>
      </c>
      <c r="CR37" s="1109">
        <v>31.284916201117319</v>
      </c>
      <c r="CS37" s="1109">
        <v>31.086682285096412</v>
      </c>
      <c r="CT37" s="1109">
        <v>27.951582867783987</v>
      </c>
      <c r="CU37" s="1109">
        <v>27.536493061812941</v>
      </c>
      <c r="CV37" s="1109">
        <v>26.705586592178772</v>
      </c>
      <c r="CW37" s="1109">
        <v>33.700000000000003</v>
      </c>
      <c r="CX37" s="1109">
        <v>32.02905027932961</v>
      </c>
      <c r="CY37" s="1109">
        <v>24.292737430167598</v>
      </c>
      <c r="CZ37" s="1109">
        <v>31.044692737430172</v>
      </c>
      <c r="DA37" s="1109">
        <v>33.762849162011165</v>
      </c>
      <c r="DB37" s="1110">
        <v>30.619385474860337</v>
      </c>
      <c r="DC37" s="1091">
        <v>30.168212290502794</v>
      </c>
      <c r="DD37" s="1091">
        <v>31.047486033519554</v>
      </c>
      <c r="DE37" s="1091">
        <v>32.883798882681567</v>
      </c>
      <c r="DF37" s="1091">
        <v>31.415363128491613</v>
      </c>
      <c r="DG37" s="1091">
        <v>33.52905027932961</v>
      </c>
      <c r="DH37" s="1091">
        <v>31.986033519553072</v>
      </c>
      <c r="DI37" s="1091">
        <v>22.16703910614525</v>
      </c>
      <c r="DJ37" s="1091">
        <v>33.110493827160489</v>
      </c>
      <c r="DK37" s="1091">
        <v>29.586419753086421</v>
      </c>
      <c r="DL37" s="1091">
        <v>43.550617283950615</v>
      </c>
      <c r="DM37" s="1091">
        <v>49.496913580246911</v>
      </c>
      <c r="DN37" s="1092">
        <v>35.595705521472397</v>
      </c>
      <c r="DO37" s="1091">
        <v>34.173737373737374</v>
      </c>
      <c r="DP37" s="1091">
        <v>32.078451178451182</v>
      </c>
      <c r="DQ37" s="1091">
        <v>36.259595959595956</v>
      </c>
      <c r="DR37" s="1091">
        <v>21.939057239057238</v>
      </c>
      <c r="DS37" s="1091">
        <v>24.927946127946129</v>
      </c>
      <c r="DT37" s="1091">
        <v>32.567676767676765</v>
      </c>
      <c r="DU37" s="1091">
        <v>34.643771043771046</v>
      </c>
      <c r="DV37" s="1091">
        <v>30.798989898989898</v>
      </c>
      <c r="DW37" s="1091">
        <v>33.183164983164986</v>
      </c>
      <c r="DX37" s="1091">
        <v>39.457575757575754</v>
      </c>
      <c r="DY37" s="1091">
        <v>32.676094276094275</v>
      </c>
      <c r="DZ37" s="1091">
        <v>34.96127946127946</v>
      </c>
      <c r="EA37" s="1099"/>
      <c r="EB37" s="1111">
        <v>32.618489819720672</v>
      </c>
      <c r="EC37" s="1112">
        <v>34.632859695396924</v>
      </c>
      <c r="ED37" s="1112">
        <v>37.661266854205074</v>
      </c>
      <c r="EE37" s="1112">
        <v>35.36082808748138</v>
      </c>
      <c r="EF37" s="1112">
        <v>30.689692258054592</v>
      </c>
      <c r="EG37" s="1112">
        <v>29.654855743475917</v>
      </c>
      <c r="EH37" s="1112">
        <v>29.077754373111087</v>
      </c>
      <c r="EI37" s="1112">
        <v>31.254304737124052</v>
      </c>
      <c r="EJ37" s="1112">
        <f t="shared" si="4"/>
        <v>29.979088624577003</v>
      </c>
      <c r="EK37" s="1113">
        <v>33.525227594997212</v>
      </c>
      <c r="EL37" s="1112">
        <f t="shared" si="5"/>
        <v>32.305611672278339</v>
      </c>
      <c r="EM37" s="1318">
        <v>31.562878787878788</v>
      </c>
    </row>
    <row r="38" spans="1:143">
      <c r="A38" s="998"/>
      <c r="B38" s="1114" t="s">
        <v>711</v>
      </c>
      <c r="C38" s="1115" t="s">
        <v>712</v>
      </c>
      <c r="D38" s="1098">
        <v>40.200803212851405</v>
      </c>
      <c r="E38" s="1099">
        <v>38.925090204103611</v>
      </c>
      <c r="F38" s="1099">
        <v>34.765223969308913</v>
      </c>
      <c r="G38" s="1099">
        <v>36.252873563218394</v>
      </c>
      <c r="H38" s="1099">
        <v>39.136459372575096</v>
      </c>
      <c r="I38" s="1099">
        <v>46.753472222222221</v>
      </c>
      <c r="J38" s="1100">
        <v>41.670274951288157</v>
      </c>
      <c r="K38" s="1101">
        <v>43.27351934446633</v>
      </c>
      <c r="L38" s="1102">
        <v>49.694227005870836</v>
      </c>
      <c r="M38" s="1102">
        <v>44.29664117060193</v>
      </c>
      <c r="N38" s="1102">
        <v>44.742268041237118</v>
      </c>
      <c r="O38" s="1102">
        <v>42.683737944795475</v>
      </c>
      <c r="P38" s="1102">
        <v>43.917525773195884</v>
      </c>
      <c r="Q38" s="1102">
        <v>48.182019731737057</v>
      </c>
      <c r="R38" s="1102">
        <v>47.921516461589626</v>
      </c>
      <c r="S38" s="1102">
        <v>45.25114155251142</v>
      </c>
      <c r="T38" s="1102">
        <v>40.39991162174104</v>
      </c>
      <c r="U38" s="1102">
        <v>50.490867579908695</v>
      </c>
      <c r="V38" s="1103">
        <v>41.140079540433042</v>
      </c>
      <c r="W38" s="1098">
        <v>41.554352629253195</v>
      </c>
      <c r="X38" s="1099">
        <v>39.726027397260275</v>
      </c>
      <c r="Y38" s="1099">
        <v>45.564516129032249</v>
      </c>
      <c r="Z38" s="1099">
        <v>46.478310502283115</v>
      </c>
      <c r="AA38" s="1099">
        <v>50.254087494476352</v>
      </c>
      <c r="AB38" s="1099">
        <v>49.691780821917817</v>
      </c>
      <c r="AC38" s="1099">
        <v>55.700397702165262</v>
      </c>
      <c r="AD38" s="1099">
        <v>44.907202828104282</v>
      </c>
      <c r="AE38" s="1099">
        <v>48.476027397260282</v>
      </c>
      <c r="AF38" s="1099">
        <v>47.917587273530707</v>
      </c>
      <c r="AG38" s="1099">
        <v>50.779294653014794</v>
      </c>
      <c r="AH38" s="1100">
        <v>43.834636133436106</v>
      </c>
      <c r="AI38" s="1104">
        <v>48.180957156387556</v>
      </c>
      <c r="AJ38" s="1104">
        <v>45.441648161855412</v>
      </c>
      <c r="AK38" s="1104">
        <v>49.540364365702828</v>
      </c>
      <c r="AL38" s="1104">
        <v>45.929763960852043</v>
      </c>
      <c r="AM38" s="1104">
        <v>48.45952420747674</v>
      </c>
      <c r="AN38" s="1104">
        <v>50.339666090961444</v>
      </c>
      <c r="AO38" s="1104">
        <v>54.387431054654868</v>
      </c>
      <c r="AP38" s="1104">
        <v>53.691013426931868</v>
      </c>
      <c r="AQ38" s="1104">
        <v>48.318940702360393</v>
      </c>
      <c r="AR38" s="1104">
        <v>50.169925901164405</v>
      </c>
      <c r="AS38" s="1104">
        <v>54.03569372481288</v>
      </c>
      <c r="AT38" s="1104">
        <v>55.954694353450662</v>
      </c>
      <c r="AU38" s="1098">
        <v>51.40747321081561</v>
      </c>
      <c r="AV38" s="1099">
        <v>60.932290330854066</v>
      </c>
      <c r="AW38" s="1099">
        <v>55.597382289917185</v>
      </c>
      <c r="AX38" s="1099">
        <v>53.315412186379916</v>
      </c>
      <c r="AY38" s="1099">
        <v>52.682391027864483</v>
      </c>
      <c r="AZ38" s="1099">
        <v>53.685782556750283</v>
      </c>
      <c r="BA38" s="1099">
        <v>56.879408024049027</v>
      </c>
      <c r="BB38" s="1099">
        <v>53.266273557636723</v>
      </c>
      <c r="BC38" s="1099">
        <v>53.500597371565107</v>
      </c>
      <c r="BD38" s="1099">
        <v>59.203376112845419</v>
      </c>
      <c r="BE38" s="1099">
        <v>51.648745519713245</v>
      </c>
      <c r="BF38" s="1099">
        <v>51.520406983466295</v>
      </c>
      <c r="BG38" s="1105">
        <v>51.913516013411943</v>
      </c>
      <c r="BH38" s="1105">
        <v>52.848182283666148</v>
      </c>
      <c r="BI38" s="1105">
        <v>45.184414383165688</v>
      </c>
      <c r="BJ38" s="1105">
        <v>44.551971326164882</v>
      </c>
      <c r="BK38" s="1105">
        <v>46.005318533934556</v>
      </c>
      <c r="BL38" s="1105">
        <v>55.310633213859006</v>
      </c>
      <c r="BM38" s="1105">
        <v>50.526072378309628</v>
      </c>
      <c r="BN38" s="1105">
        <v>46.803098624118405</v>
      </c>
      <c r="BO38" s="1105">
        <v>43.530465949820787</v>
      </c>
      <c r="BP38" s="1105">
        <v>47.288703896404193</v>
      </c>
      <c r="BQ38" s="1105">
        <v>50.095579450418157</v>
      </c>
      <c r="BR38" s="1105">
        <v>51.219794195860779</v>
      </c>
      <c r="BS38" s="1106">
        <v>48.502717077118739</v>
      </c>
      <c r="BT38" s="1107">
        <v>47.219132369299231</v>
      </c>
      <c r="BU38" s="1107">
        <v>49.497051682275405</v>
      </c>
      <c r="BV38" s="1107">
        <v>46.600955794504188</v>
      </c>
      <c r="BW38" s="1107">
        <v>52.6355378117225</v>
      </c>
      <c r="BX38" s="1107">
        <v>55.82437275985663</v>
      </c>
      <c r="BY38" s="1107">
        <v>60.228664761126979</v>
      </c>
      <c r="BZ38" s="1107">
        <v>56.273697719185691</v>
      </c>
      <c r="CA38" s="1107">
        <v>53.230861965039168</v>
      </c>
      <c r="CB38" s="1107">
        <v>48.807093274222701</v>
      </c>
      <c r="CC38" s="1107">
        <v>55.768535262206129</v>
      </c>
      <c r="CD38" s="1107">
        <v>41.78965175290206</v>
      </c>
      <c r="CE38" s="1087">
        <v>46.246281280989329</v>
      </c>
      <c r="CF38" s="1088">
        <v>49.23146473779385</v>
      </c>
      <c r="CG38" s="1088">
        <v>55.13037391355072</v>
      </c>
      <c r="CH38" s="1088">
        <v>53.194695599758859</v>
      </c>
      <c r="CI38" s="1088">
        <v>46.572945225456458</v>
      </c>
      <c r="CJ38" s="1088">
        <v>46.075949367088597</v>
      </c>
      <c r="CK38" s="1088">
        <v>46.93460887825934</v>
      </c>
      <c r="CL38" s="1088">
        <v>48.795426704777483</v>
      </c>
      <c r="CM38" s="1088">
        <v>51.922845087402038</v>
      </c>
      <c r="CN38" s="1088">
        <v>53.199556670361083</v>
      </c>
      <c r="CO38" s="1088">
        <v>57.004219409282697</v>
      </c>
      <c r="CP38" s="1088">
        <v>47.605436621361477</v>
      </c>
      <c r="CQ38" s="1108">
        <v>50.072916059032849</v>
      </c>
      <c r="CR38" s="1109">
        <v>45.511495737535512</v>
      </c>
      <c r="CS38" s="1109">
        <v>50.907075774368558</v>
      </c>
      <c r="CT38" s="1109">
        <v>41.808318264014453</v>
      </c>
      <c r="CU38" s="1109">
        <v>44.997958350347076</v>
      </c>
      <c r="CV38" s="1109">
        <v>46.123508137432189</v>
      </c>
      <c r="CW38" s="1109">
        <v>50.1</v>
      </c>
      <c r="CX38" s="1109">
        <v>47.883032490974728</v>
      </c>
      <c r="CY38" s="1109">
        <v>53.148194945848374</v>
      </c>
      <c r="CZ38" s="1109">
        <v>51.246209386281592</v>
      </c>
      <c r="DA38" s="1109">
        <v>59.319548736462089</v>
      </c>
      <c r="DB38" s="1110">
        <v>51.484819494584855</v>
      </c>
      <c r="DC38" s="1091">
        <v>46.115415162454866</v>
      </c>
      <c r="DD38" s="1091">
        <v>44.601805054151619</v>
      </c>
      <c r="DE38" s="1091">
        <v>51.474007220216606</v>
      </c>
      <c r="DF38" s="1091">
        <v>45.294783393501802</v>
      </c>
      <c r="DG38" s="1091">
        <v>45.920758122743678</v>
      </c>
      <c r="DH38" s="1091">
        <v>48.35306859205776</v>
      </c>
      <c r="DI38" s="1091">
        <v>41.501624548736459</v>
      </c>
      <c r="DJ38" s="1091">
        <v>34.314111498257837</v>
      </c>
      <c r="DK38" s="1091">
        <v>42.279616724738673</v>
      </c>
      <c r="DL38" s="1091">
        <v>43.556097560975608</v>
      </c>
      <c r="DM38" s="1091">
        <v>44.712633451957295</v>
      </c>
      <c r="DN38" s="1092">
        <v>40.254347826086949</v>
      </c>
      <c r="DO38" s="1091">
        <v>42.165797546012264</v>
      </c>
      <c r="DP38" s="1091">
        <v>39.086196319018406</v>
      </c>
      <c r="DQ38" s="1091">
        <v>38.220398773006146</v>
      </c>
      <c r="DR38" s="1091">
        <v>36.346319018404905</v>
      </c>
      <c r="DS38" s="1091">
        <v>34.561503067484658</v>
      </c>
      <c r="DT38" s="1091">
        <v>37.403220858895708</v>
      </c>
      <c r="DU38" s="1091">
        <v>38.916257668711658</v>
      </c>
      <c r="DV38" s="1091">
        <v>41.031595092024553</v>
      </c>
      <c r="DW38" s="1091">
        <v>48.160122699386505</v>
      </c>
      <c r="DX38" s="1091">
        <v>53.12898773006134</v>
      </c>
      <c r="DY38" s="1091">
        <v>39.607361963190186</v>
      </c>
      <c r="DZ38" s="1091">
        <v>37.205521472392633</v>
      </c>
      <c r="EA38" s="1099"/>
      <c r="EB38" s="1111">
        <v>47.605436621128383</v>
      </c>
      <c r="EC38" s="1112">
        <v>45.108192737299611</v>
      </c>
      <c r="ED38" s="1112">
        <v>47.094442314346374</v>
      </c>
      <c r="EE38" s="1112">
        <v>50.420772290997505</v>
      </c>
      <c r="EF38" s="1112">
        <v>54.420919715745583</v>
      </c>
      <c r="EG38" s="1112">
        <v>48.744046742279153</v>
      </c>
      <c r="EH38" s="1112">
        <v>51.365270816014316</v>
      </c>
      <c r="EI38" s="1112">
        <v>50.146399464936017</v>
      </c>
      <c r="EJ38" s="1112">
        <f t="shared" si="4"/>
        <v>49.383589781406862</v>
      </c>
      <c r="EK38" s="1113">
        <v>43.98049307636564</v>
      </c>
      <c r="EL38" s="1112">
        <f t="shared" si="5"/>
        <v>40.48610685071575</v>
      </c>
      <c r="EM38" s="1318">
        <v>40.771728016359916</v>
      </c>
    </row>
    <row r="39" spans="1:143">
      <c r="A39" s="998"/>
      <c r="B39" s="1114" t="s">
        <v>713</v>
      </c>
      <c r="C39" s="1115" t="s">
        <v>714</v>
      </c>
      <c r="D39" s="1098">
        <v>41.25333333333333</v>
      </c>
      <c r="E39" s="1099">
        <v>27.664516129032258</v>
      </c>
      <c r="F39" s="1099">
        <v>30.78709677419355</v>
      </c>
      <c r="G39" s="1099">
        <v>33.973333333333336</v>
      </c>
      <c r="H39" s="1099">
        <v>35.200000000000003</v>
      </c>
      <c r="I39" s="1099">
        <v>40.586666666666666</v>
      </c>
      <c r="J39" s="1100">
        <v>29.36774193548387</v>
      </c>
      <c r="K39" s="1101">
        <v>41.860465116279073</v>
      </c>
      <c r="L39" s="1102">
        <v>31.323185011709604</v>
      </c>
      <c r="M39" s="1102">
        <v>61.396086726599684</v>
      </c>
      <c r="N39" s="1102">
        <v>66.010928961748633</v>
      </c>
      <c r="O39" s="1102">
        <v>58.355367530407186</v>
      </c>
      <c r="P39" s="1102">
        <v>58.797814207650276</v>
      </c>
      <c r="Q39" s="1102">
        <v>55.235325224748813</v>
      </c>
      <c r="R39" s="1102">
        <v>55.235325224748813</v>
      </c>
      <c r="S39" s="1102">
        <v>33.606557377049178</v>
      </c>
      <c r="T39" s="1102">
        <v>40.719196192490749</v>
      </c>
      <c r="U39" s="1102">
        <v>46.475409836065573</v>
      </c>
      <c r="V39" s="1103">
        <v>32.496033844526707</v>
      </c>
      <c r="W39" s="1098">
        <v>42.04124801692226</v>
      </c>
      <c r="X39" s="1099">
        <v>47.823629169022048</v>
      </c>
      <c r="Y39" s="1099">
        <v>42.5965097831835</v>
      </c>
      <c r="Z39" s="1099">
        <v>54.672131147540981</v>
      </c>
      <c r="AA39" s="1099">
        <v>44.817556848228449</v>
      </c>
      <c r="AB39" s="1099">
        <v>48.360655737704917</v>
      </c>
      <c r="AC39" s="1099">
        <v>54.680063458487574</v>
      </c>
      <c r="AD39" s="1099">
        <v>66.948704389212054</v>
      </c>
      <c r="AE39" s="1099">
        <v>57.185792349726775</v>
      </c>
      <c r="AF39" s="1099">
        <v>57.350608143839246</v>
      </c>
      <c r="AG39" s="1099">
        <v>42.868852459016395</v>
      </c>
      <c r="AH39" s="1100">
        <v>47.223691168693819</v>
      </c>
      <c r="AI39" s="1104">
        <v>49.697580645161288</v>
      </c>
      <c r="AJ39" s="1104">
        <v>56.612723214285708</v>
      </c>
      <c r="AK39" s="1104">
        <v>65.806451612903231</v>
      </c>
      <c r="AL39" s="1104">
        <v>47.5</v>
      </c>
      <c r="AM39" s="1104">
        <v>51.344086021505376</v>
      </c>
      <c r="AN39" s="1104">
        <v>50.611111111111107</v>
      </c>
      <c r="AO39" s="1104">
        <v>51.72043010752688</v>
      </c>
      <c r="AP39" s="1104">
        <v>49.274193548387096</v>
      </c>
      <c r="AQ39" s="1104">
        <v>39.972222222222221</v>
      </c>
      <c r="AR39" s="1104">
        <v>43.037634408602152</v>
      </c>
      <c r="AS39" s="1104">
        <v>39.944444444444443</v>
      </c>
      <c r="AT39" s="1104">
        <v>46.451612903225808</v>
      </c>
      <c r="AU39" s="1098">
        <v>54.005376344086017</v>
      </c>
      <c r="AV39" s="1099">
        <v>59.166666666666664</v>
      </c>
      <c r="AW39" s="1099">
        <v>69.408602150537632</v>
      </c>
      <c r="AX39" s="1099">
        <v>51.055555555555557</v>
      </c>
      <c r="AY39" s="1099">
        <v>60.026881720430104</v>
      </c>
      <c r="AZ39" s="1099">
        <v>57.555555555555557</v>
      </c>
      <c r="BA39" s="1099">
        <v>57.338709677419352</v>
      </c>
      <c r="BB39" s="1099">
        <v>53.763440860215049</v>
      </c>
      <c r="BC39" s="1099">
        <v>58.166666666666664</v>
      </c>
      <c r="BD39" s="1099">
        <v>63.225806451612897</v>
      </c>
      <c r="BE39" s="1099">
        <v>60.111111111111114</v>
      </c>
      <c r="BF39" s="1099">
        <v>47.06989247311828</v>
      </c>
      <c r="BG39" s="1105">
        <v>47.1505376344086</v>
      </c>
      <c r="BH39" s="1105">
        <v>57.083333333333329</v>
      </c>
      <c r="BI39" s="1105">
        <v>52.956989247311824</v>
      </c>
      <c r="BJ39" s="1105">
        <v>48.305555555555557</v>
      </c>
      <c r="BK39" s="1105">
        <v>46.155913978494624</v>
      </c>
      <c r="BL39" s="1105">
        <v>50.527777777777786</v>
      </c>
      <c r="BM39" s="1105">
        <v>53.145161290322584</v>
      </c>
      <c r="BN39" s="1105">
        <v>52.473118279569896</v>
      </c>
      <c r="BO39" s="1105">
        <v>52.638888888888893</v>
      </c>
      <c r="BP39" s="1105">
        <v>67.231182795698928</v>
      </c>
      <c r="BQ39" s="1105">
        <v>61.05555555555555</v>
      </c>
      <c r="BR39" s="1105">
        <v>60.645161290322577</v>
      </c>
      <c r="BS39" s="1106">
        <v>55.618279569892472</v>
      </c>
      <c r="BT39" s="1107">
        <v>54.195402298850567</v>
      </c>
      <c r="BU39" s="1107">
        <v>55.833333333333336</v>
      </c>
      <c r="BV39" s="1107">
        <v>54.888888888888886</v>
      </c>
      <c r="BW39" s="1107">
        <v>61.478494623655912</v>
      </c>
      <c r="BX39" s="1107">
        <v>59.361111111111107</v>
      </c>
      <c r="BY39" s="1107">
        <v>58.736559139784951</v>
      </c>
      <c r="BZ39" s="1107">
        <v>54.677419354838705</v>
      </c>
      <c r="CA39" s="1107">
        <v>61.250000000000007</v>
      </c>
      <c r="CB39" s="1107">
        <v>55.107526881720425</v>
      </c>
      <c r="CC39" s="1107">
        <v>59.55555555555555</v>
      </c>
      <c r="CD39" s="1107">
        <v>44.677419354838712</v>
      </c>
      <c r="CE39" s="1087">
        <v>47.177419354838712</v>
      </c>
      <c r="CF39" s="1088">
        <v>44.375</v>
      </c>
      <c r="CG39" s="1088">
        <v>46.29032258064516</v>
      </c>
      <c r="CH39" s="1088">
        <v>46.361111111111107</v>
      </c>
      <c r="CI39" s="1088">
        <v>59.247311827956992</v>
      </c>
      <c r="CJ39" s="1088">
        <v>50.888888888888886</v>
      </c>
      <c r="CK39" s="1088">
        <v>48.467741935483872</v>
      </c>
      <c r="CL39" s="1088">
        <v>41.586021505376344</v>
      </c>
      <c r="CM39" s="1088">
        <v>55.444444444444443</v>
      </c>
      <c r="CN39" s="1088">
        <v>54.247311827956992</v>
      </c>
      <c r="CO39" s="1088">
        <v>49.416666666666664</v>
      </c>
      <c r="CP39" s="1088">
        <v>37.795698924731184</v>
      </c>
      <c r="CQ39" s="1108">
        <v>41.397849462365592</v>
      </c>
      <c r="CR39" s="1109">
        <v>41.369047619047613</v>
      </c>
      <c r="CS39" s="1109">
        <v>46.935483870967744</v>
      </c>
      <c r="CT39" s="1109">
        <v>24.638888888888889</v>
      </c>
      <c r="CU39" s="1109">
        <v>39.112903225806448</v>
      </c>
      <c r="CV39" s="1109">
        <v>41.952500000000001</v>
      </c>
      <c r="CW39" s="1109">
        <v>46.4</v>
      </c>
      <c r="CX39" s="1109">
        <v>39.6175</v>
      </c>
      <c r="CY39" s="1109">
        <v>50.905000000000001</v>
      </c>
      <c r="CZ39" s="1109">
        <v>49.607499999999987</v>
      </c>
      <c r="DA39" s="1109">
        <v>53.499250000000004</v>
      </c>
      <c r="DB39" s="1110">
        <v>39.486249999999998</v>
      </c>
      <c r="DC39" s="1091">
        <v>34.110500000000002</v>
      </c>
      <c r="DD39" s="1091">
        <v>33.892499999999998</v>
      </c>
      <c r="DE39" s="1091">
        <v>35.15</v>
      </c>
      <c r="DF39" s="1091">
        <v>45.52675</v>
      </c>
      <c r="DG39" s="1091">
        <v>42.964999999999996</v>
      </c>
      <c r="DH39" s="1091">
        <v>43.897500000000001</v>
      </c>
      <c r="DI39" s="1091">
        <v>39.102499999999999</v>
      </c>
      <c r="DJ39" s="1091">
        <v>35.908870967741933</v>
      </c>
      <c r="DK39" s="1091">
        <v>37.033064516129031</v>
      </c>
      <c r="DL39" s="1091">
        <v>38.529032258064518</v>
      </c>
      <c r="DM39" s="1091">
        <v>31.315000000000001</v>
      </c>
      <c r="DN39" s="1092">
        <v>34.942142857142855</v>
      </c>
      <c r="DO39" s="1091">
        <v>39.624615384615389</v>
      </c>
      <c r="DP39" s="1091">
        <v>41.89692307692308</v>
      </c>
      <c r="DQ39" s="1091">
        <v>46.476923076923079</v>
      </c>
      <c r="DR39" s="1091">
        <v>29.9</v>
      </c>
      <c r="DS39" s="1091">
        <v>33.135384615384609</v>
      </c>
      <c r="DT39" s="1091">
        <v>26.983076923076922</v>
      </c>
      <c r="DU39" s="1091">
        <v>27.575384615384614</v>
      </c>
      <c r="DV39" s="1091">
        <v>30.763076923076923</v>
      </c>
      <c r="DW39" s="1091">
        <v>27.173846153846153</v>
      </c>
      <c r="DX39" s="1091">
        <v>39.123076923076923</v>
      </c>
      <c r="DY39" s="1091">
        <v>34.861538461538458</v>
      </c>
      <c r="DZ39" s="1091">
        <v>50.28</v>
      </c>
      <c r="EA39" s="1099"/>
      <c r="EB39" s="1111">
        <v>37.795698922</v>
      </c>
      <c r="EC39" s="1112">
        <v>48.742341180264432</v>
      </c>
      <c r="ED39" s="1112">
        <v>50.559885335483287</v>
      </c>
      <c r="EE39" s="1112">
        <v>49.363028550777003</v>
      </c>
      <c r="EF39" s="1112">
        <v>57.57077625570777</v>
      </c>
      <c r="EG39" s="1112">
        <v>54.100456621004568</v>
      </c>
      <c r="EH39" s="1112">
        <v>56.26593806921678</v>
      </c>
      <c r="EI39" s="1112">
        <v>48.452054794520564</v>
      </c>
      <c r="EJ39" s="1112">
        <f t="shared" si="4"/>
        <v>42.910181088923018</v>
      </c>
      <c r="EK39" s="1113">
        <v>37.583071737022998</v>
      </c>
      <c r="EL39" s="1112">
        <f t="shared" si="5"/>
        <v>35.649487179487181</v>
      </c>
      <c r="EM39" s="1318">
        <v>34.33320512820513</v>
      </c>
    </row>
    <row r="40" spans="1:143">
      <c r="A40" s="998"/>
      <c r="B40" s="1114" t="s">
        <v>715</v>
      </c>
      <c r="C40" s="1115" t="s">
        <v>716</v>
      </c>
      <c r="D40" s="1098">
        <v>41.2</v>
      </c>
      <c r="E40" s="1099">
        <v>25.806451612903224</v>
      </c>
      <c r="F40" s="1099">
        <v>40.387096774193552</v>
      </c>
      <c r="G40" s="1099">
        <v>34</v>
      </c>
      <c r="H40" s="1099">
        <v>28.903225806451616</v>
      </c>
      <c r="I40" s="1099">
        <v>40</v>
      </c>
      <c r="J40" s="1100">
        <v>19.35483870967742</v>
      </c>
      <c r="K40" s="1101">
        <v>29.453015427769984</v>
      </c>
      <c r="L40" s="1102">
        <v>76.863354037267086</v>
      </c>
      <c r="M40" s="1102">
        <v>33.660589060308553</v>
      </c>
      <c r="N40" s="1102">
        <v>43.478260869565219</v>
      </c>
      <c r="O40" s="1102">
        <v>29.453015427769984</v>
      </c>
      <c r="P40" s="1102">
        <v>34.782608695652172</v>
      </c>
      <c r="Q40" s="1102">
        <v>21.037868162692845</v>
      </c>
      <c r="R40" s="1102">
        <v>33.660589060308553</v>
      </c>
      <c r="S40" s="1102">
        <v>30.434782608695656</v>
      </c>
      <c r="T40" s="1102">
        <v>42.075736325385691</v>
      </c>
      <c r="U40" s="1102">
        <v>76.08695652173914</v>
      </c>
      <c r="V40" s="1103">
        <v>37.868162692847122</v>
      </c>
      <c r="W40" s="1098">
        <v>37.868162692847122</v>
      </c>
      <c r="X40" s="1099">
        <v>34.782608695652172</v>
      </c>
      <c r="Y40" s="1099">
        <v>37.868162692847122</v>
      </c>
      <c r="Z40" s="1099">
        <v>33.333333333333329</v>
      </c>
      <c r="AA40" s="1099">
        <v>9.8176718092566624</v>
      </c>
      <c r="AB40" s="1099">
        <v>34.782608695652172</v>
      </c>
      <c r="AC40" s="1099">
        <v>37.868162692847122</v>
      </c>
      <c r="AD40" s="1099">
        <v>37.868162692847122</v>
      </c>
      <c r="AE40" s="1099">
        <v>34.782608695652172</v>
      </c>
      <c r="AF40" s="1099">
        <v>37.868162692847122</v>
      </c>
      <c r="AG40" s="1099">
        <v>39.130434782608695</v>
      </c>
      <c r="AH40" s="1100">
        <v>36.465638148667601</v>
      </c>
      <c r="AI40" s="1104">
        <v>34.838709677419352</v>
      </c>
      <c r="AJ40" s="1104">
        <v>30</v>
      </c>
      <c r="AK40" s="1104">
        <v>23.225806451612904</v>
      </c>
      <c r="AL40" s="1104">
        <v>26.666666666666668</v>
      </c>
      <c r="AM40" s="1104">
        <v>20.64516129032258</v>
      </c>
      <c r="AN40" s="1104">
        <v>18.666666666666668</v>
      </c>
      <c r="AO40" s="1104">
        <v>20.64516129032258</v>
      </c>
      <c r="AP40" s="1104">
        <v>48</v>
      </c>
      <c r="AQ40" s="1104">
        <v>18.666666666666668</v>
      </c>
      <c r="AR40" s="1104">
        <v>15.483870967741936</v>
      </c>
      <c r="AS40" s="1104">
        <v>21.333333333333336</v>
      </c>
      <c r="AT40" s="1104">
        <v>23.225806451612904</v>
      </c>
      <c r="AU40" s="1098">
        <v>20.64516129032258</v>
      </c>
      <c r="AV40" s="1099">
        <v>28.571428571428569</v>
      </c>
      <c r="AW40" s="1099">
        <v>21.935483870967744</v>
      </c>
      <c r="AX40" s="1099">
        <v>28.000000000000004</v>
      </c>
      <c r="AY40" s="1099">
        <v>34.838709677419352</v>
      </c>
      <c r="AZ40" s="1099">
        <v>50</v>
      </c>
      <c r="BA40" s="1099">
        <v>20.516129032258064</v>
      </c>
      <c r="BB40" s="1099">
        <v>34.838709677419352</v>
      </c>
      <c r="BC40" s="1099">
        <v>26.666666666666668</v>
      </c>
      <c r="BD40" s="1099">
        <v>30.322580645161288</v>
      </c>
      <c r="BE40" s="1099">
        <v>29.06666666666667</v>
      </c>
      <c r="BF40" s="1099">
        <v>30.193548387096776</v>
      </c>
      <c r="BG40" s="1105">
        <v>20.903225806451616</v>
      </c>
      <c r="BH40" s="1105">
        <v>24.142857142857142</v>
      </c>
      <c r="BI40" s="1105">
        <v>25.548387096774196</v>
      </c>
      <c r="BJ40" s="1105">
        <v>28.000000000000004</v>
      </c>
      <c r="BK40" s="1105">
        <v>28.000000000000004</v>
      </c>
      <c r="BL40" s="1105">
        <v>21.6</v>
      </c>
      <c r="BM40" s="1105">
        <v>25.290322580645164</v>
      </c>
      <c r="BN40" s="1105">
        <v>25.93548387096774</v>
      </c>
      <c r="BO40" s="1105">
        <v>26.8</v>
      </c>
      <c r="BP40" s="1105">
        <v>28.000000000000004</v>
      </c>
      <c r="BQ40" s="1105">
        <v>30.133333333333333</v>
      </c>
      <c r="BR40" s="1105">
        <v>23.870967741935484</v>
      </c>
      <c r="BS40" s="1106">
        <v>19.225806451612904</v>
      </c>
      <c r="BT40" s="1107">
        <v>28.000000000000004</v>
      </c>
      <c r="BU40" s="1107">
        <v>24</v>
      </c>
      <c r="BV40" s="1107">
        <v>28.666666666666668</v>
      </c>
      <c r="BW40" s="1107">
        <v>31.225806451612904</v>
      </c>
      <c r="BX40" s="1107">
        <v>26</v>
      </c>
      <c r="BY40" s="1107">
        <v>23.870967741935484</v>
      </c>
      <c r="BZ40" s="1107">
        <v>24.774193548387096</v>
      </c>
      <c r="CA40" s="1107">
        <v>27.333333333333332</v>
      </c>
      <c r="CB40" s="1107">
        <v>15.483870967741936</v>
      </c>
      <c r="CC40" s="1107">
        <v>29.599999999999998</v>
      </c>
      <c r="CD40" s="1107">
        <v>26.967741935483868</v>
      </c>
      <c r="CE40" s="1087">
        <v>24.774193548387096</v>
      </c>
      <c r="CF40" s="1088">
        <v>23.142857142857142</v>
      </c>
      <c r="CG40" s="1088">
        <v>26.70967741935484</v>
      </c>
      <c r="CH40" s="1088">
        <v>32</v>
      </c>
      <c r="CI40" s="1088">
        <v>36.774193548387096</v>
      </c>
      <c r="CJ40" s="1088">
        <v>31.333333333333336</v>
      </c>
      <c r="CK40" s="1088">
        <v>40</v>
      </c>
      <c r="CL40" s="1088">
        <v>26.451612903225808</v>
      </c>
      <c r="CM40" s="1088">
        <v>24</v>
      </c>
      <c r="CN40" s="1088">
        <v>26.838709677419352</v>
      </c>
      <c r="CO40" s="1088">
        <v>25.6</v>
      </c>
      <c r="CP40" s="1088">
        <v>30.193548387096776</v>
      </c>
      <c r="CQ40" s="1108">
        <v>22.193548387096772</v>
      </c>
      <c r="CR40" s="1109">
        <v>21.857142857142858</v>
      </c>
      <c r="CS40" s="1109">
        <v>24</v>
      </c>
      <c r="CT40" s="1109">
        <v>15.333333333333332</v>
      </c>
      <c r="CU40" s="1109">
        <v>22.322580645161292</v>
      </c>
      <c r="CV40" s="1109">
        <v>27.2</v>
      </c>
      <c r="CW40" s="1109">
        <v>27.1</v>
      </c>
      <c r="CX40" s="1109">
        <v>32</v>
      </c>
      <c r="CY40" s="1109">
        <v>26.8</v>
      </c>
      <c r="CZ40" s="1109">
        <v>27.2</v>
      </c>
      <c r="DA40" s="1109">
        <v>24.67</v>
      </c>
      <c r="DB40" s="1110">
        <v>28</v>
      </c>
      <c r="DC40" s="1091">
        <v>24</v>
      </c>
      <c r="DD40" s="1091">
        <v>24</v>
      </c>
      <c r="DE40" s="1091">
        <v>28.1</v>
      </c>
      <c r="DF40" s="1091">
        <v>24</v>
      </c>
      <c r="DG40" s="1091">
        <v>27.7</v>
      </c>
      <c r="DH40" s="1091">
        <v>24.7</v>
      </c>
      <c r="DI40" s="1091">
        <v>28</v>
      </c>
      <c r="DJ40" s="1091">
        <v>23.5</v>
      </c>
      <c r="DK40" s="1091">
        <v>39.6</v>
      </c>
      <c r="DL40" s="1091">
        <v>35.9</v>
      </c>
      <c r="DM40" s="1091">
        <v>32.700000000000003</v>
      </c>
      <c r="DN40" s="1092">
        <v>35</v>
      </c>
      <c r="DO40" s="1091">
        <v>19.836363636363636</v>
      </c>
      <c r="DP40" s="1091">
        <v>40.9</v>
      </c>
      <c r="DQ40" s="1091">
        <v>23.009090909090911</v>
      </c>
      <c r="DR40" s="1091">
        <v>20.172727272727272</v>
      </c>
      <c r="DS40" s="1091">
        <v>25.790909090909093</v>
      </c>
      <c r="DT40" s="1091">
        <v>27.263636363636362</v>
      </c>
      <c r="DU40" s="1091">
        <v>41.936363636363637</v>
      </c>
      <c r="DV40" s="1091">
        <v>44.272727272727273</v>
      </c>
      <c r="DW40" s="1091">
        <v>25.936363636363637</v>
      </c>
      <c r="DX40" s="1091">
        <v>47.218181818181819</v>
      </c>
      <c r="DY40" s="1091">
        <v>24.4</v>
      </c>
      <c r="DZ40" s="1091">
        <v>32.554545454545455</v>
      </c>
      <c r="EA40" s="1099"/>
      <c r="EB40" s="1111"/>
      <c r="EC40" s="1112">
        <v>40.381179273377008</v>
      </c>
      <c r="ED40" s="1112">
        <v>34.354953670705626</v>
      </c>
      <c r="EE40" s="1112">
        <v>25.117808219178084</v>
      </c>
      <c r="EF40" s="1112">
        <v>29.599999999999998</v>
      </c>
      <c r="EG40" s="1112">
        <v>25.687671232876706</v>
      </c>
      <c r="EH40" s="1112">
        <v>25.387978142076502</v>
      </c>
      <c r="EI40" s="1112">
        <v>29.041095890410958</v>
      </c>
      <c r="EJ40" s="1112">
        <f t="shared" si="4"/>
        <v>24.889717101894519</v>
      </c>
      <c r="EK40" s="1113">
        <v>28.855072463768117</v>
      </c>
      <c r="EL40" s="1112">
        <f t="shared" si="5"/>
        <v>31.107575757575759</v>
      </c>
      <c r="EM40" s="1318">
        <v>31.853030303030305</v>
      </c>
    </row>
    <row r="41" spans="1:143">
      <c r="A41" s="998"/>
      <c r="B41" s="1114" t="s">
        <v>717</v>
      </c>
      <c r="C41" s="1115" t="s">
        <v>718</v>
      </c>
      <c r="D41" s="1098">
        <v>38.481481481481481</v>
      </c>
      <c r="E41" s="1099">
        <v>23.212224108658745</v>
      </c>
      <c r="F41" s="1099">
        <v>27.68127929418252</v>
      </c>
      <c r="G41" s="1099">
        <v>20.058224163027656</v>
      </c>
      <c r="H41" s="1099">
        <v>23.611500701262273</v>
      </c>
      <c r="I41" s="1099">
        <v>29.64989059080963</v>
      </c>
      <c r="J41" s="1100">
        <v>24.851612903225806</v>
      </c>
      <c r="K41" s="1101">
        <v>29.405263521447822</v>
      </c>
      <c r="L41" s="1102">
        <v>24.307441607821829</v>
      </c>
      <c r="M41" s="1102">
        <v>32.091442282058118</v>
      </c>
      <c r="N41" s="1102">
        <v>32.141873278236915</v>
      </c>
      <c r="O41" s="1102">
        <v>37.829912023460409</v>
      </c>
      <c r="P41" s="1102">
        <v>34.779614325068877</v>
      </c>
      <c r="Q41" s="1102">
        <v>37.383364436150366</v>
      </c>
      <c r="R41" s="1102">
        <v>30.171954145561173</v>
      </c>
      <c r="S41" s="1102">
        <v>31.958762886597942</v>
      </c>
      <c r="T41" s="1102">
        <v>30.036581310276024</v>
      </c>
      <c r="U41" s="1102">
        <v>35.624142661179697</v>
      </c>
      <c r="V41" s="1103">
        <v>35.078150981044232</v>
      </c>
      <c r="W41" s="1098">
        <v>31.420019953441969</v>
      </c>
      <c r="X41" s="1099">
        <v>32.918592250266627</v>
      </c>
      <c r="Y41" s="1099">
        <v>33.269038909211837</v>
      </c>
      <c r="Z41" s="1099">
        <v>36.87285223367698</v>
      </c>
      <c r="AA41" s="1099">
        <v>35.650149650814768</v>
      </c>
      <c r="AB41" s="1099">
        <v>34.384879725085916</v>
      </c>
      <c r="AC41" s="1099">
        <v>34.825407382773527</v>
      </c>
      <c r="AD41" s="1099">
        <v>43.159294978383777</v>
      </c>
      <c r="AE41" s="1099">
        <v>44.048109965635746</v>
      </c>
      <c r="AF41" s="1099">
        <v>39.294978383771202</v>
      </c>
      <c r="AG41" s="1099">
        <v>45.408934707903789</v>
      </c>
      <c r="AH41" s="1100">
        <v>37.895013468234673</v>
      </c>
      <c r="AI41" s="1104">
        <v>38.240586042925067</v>
      </c>
      <c r="AJ41" s="1104">
        <v>36.994342291371993</v>
      </c>
      <c r="AK41" s="1104">
        <v>38.963319458896983</v>
      </c>
      <c r="AL41" s="1104">
        <v>35.483870967741943</v>
      </c>
      <c r="AM41" s="1104">
        <v>34.88553590010406</v>
      </c>
      <c r="AN41" s="1104">
        <v>37.036290322580648</v>
      </c>
      <c r="AO41" s="1104">
        <v>37.844693028095733</v>
      </c>
      <c r="AP41" s="1104">
        <v>39.587669094693027</v>
      </c>
      <c r="AQ41" s="1104">
        <v>39.993279569892465</v>
      </c>
      <c r="AR41" s="1104">
        <v>35.587929240374613</v>
      </c>
      <c r="AS41" s="1104">
        <v>38.447580645161281</v>
      </c>
      <c r="AT41" s="1104">
        <v>36.088709677419359</v>
      </c>
      <c r="AU41" s="1098">
        <v>36.556971904266398</v>
      </c>
      <c r="AV41" s="1099">
        <v>36.984570364458641</v>
      </c>
      <c r="AW41" s="1099">
        <v>30.924490899261126</v>
      </c>
      <c r="AX41" s="1099">
        <v>35.232774674115461</v>
      </c>
      <c r="AY41" s="1099">
        <v>33.910013816303241</v>
      </c>
      <c r="AZ41" s="1099">
        <v>33.376784605834885</v>
      </c>
      <c r="BA41" s="1099">
        <v>30.257704090827175</v>
      </c>
      <c r="BB41" s="1099">
        <v>33.243227007869294</v>
      </c>
      <c r="BC41" s="1099">
        <v>30.825574177529486</v>
      </c>
      <c r="BD41" s="1099">
        <v>32.252057427764754</v>
      </c>
      <c r="BE41" s="1099">
        <v>32.1973929236499</v>
      </c>
      <c r="BF41" s="1099">
        <v>32.582447287799603</v>
      </c>
      <c r="BG41" s="1105">
        <v>28.966180092509159</v>
      </c>
      <c r="BH41" s="1105">
        <v>35.109071561585523</v>
      </c>
      <c r="BI41" s="1105">
        <v>32.161951102300712</v>
      </c>
      <c r="BJ41" s="1105">
        <v>32.029795158286781</v>
      </c>
      <c r="BK41" s="1105">
        <v>30.624136481047636</v>
      </c>
      <c r="BL41" s="1105">
        <v>34.723774053382989</v>
      </c>
      <c r="BM41" s="1105">
        <v>39.400492581245871</v>
      </c>
      <c r="BN41" s="1105">
        <v>38.992010572475522</v>
      </c>
      <c r="BO41" s="1105">
        <v>38.361266294227185</v>
      </c>
      <c r="BP41" s="1105">
        <v>41.575058569111548</v>
      </c>
      <c r="BQ41" s="1105">
        <v>41.328367473618869</v>
      </c>
      <c r="BR41" s="1105">
        <v>38.505436414969665</v>
      </c>
      <c r="BS41" s="1106">
        <v>38.487415149876846</v>
      </c>
      <c r="BT41" s="1107">
        <v>43.530469402170425</v>
      </c>
      <c r="BU41" s="1107">
        <v>47.371898840631943</v>
      </c>
      <c r="BV41" s="1107">
        <v>47.057728119180624</v>
      </c>
      <c r="BW41" s="1107">
        <v>51.75106625818465</v>
      </c>
      <c r="BX41" s="1107">
        <v>54.009931719428927</v>
      </c>
      <c r="BY41" s="1107">
        <v>50.382381691679591</v>
      </c>
      <c r="BZ41" s="1107">
        <v>50.330630786038775</v>
      </c>
      <c r="CA41" s="1107">
        <v>50.849673202614362</v>
      </c>
      <c r="CB41" s="1107">
        <v>51.446150307630376</v>
      </c>
      <c r="CC41" s="1107">
        <v>46.048722519310751</v>
      </c>
      <c r="CD41" s="1107">
        <v>41.435225116439547</v>
      </c>
      <c r="CE41" s="1087">
        <v>43.407509631418556</v>
      </c>
      <c r="CF41" s="1088">
        <v>44.556913674560725</v>
      </c>
      <c r="CG41" s="1088">
        <v>44.988787303777819</v>
      </c>
      <c r="CH41" s="1088">
        <v>44.390968508615551</v>
      </c>
      <c r="CI41" s="1088">
        <v>45.914553504686332</v>
      </c>
      <c r="CJ41" s="1088">
        <v>51.17647058823529</v>
      </c>
      <c r="CK41" s="1088">
        <v>47.288827554482197</v>
      </c>
      <c r="CL41" s="1088">
        <v>46.104306825369434</v>
      </c>
      <c r="CM41" s="1088">
        <v>48.134284016636961</v>
      </c>
      <c r="CN41" s="1088">
        <v>51.526651716405034</v>
      </c>
      <c r="CO41" s="1088">
        <v>49.227569815805097</v>
      </c>
      <c r="CP41" s="1088">
        <v>43.32700822264389</v>
      </c>
      <c r="CQ41" s="1108">
        <v>43.499511241446719</v>
      </c>
      <c r="CR41" s="1109">
        <v>48.274764451235036</v>
      </c>
      <c r="CS41" s="1109">
        <v>42.072372336626579</v>
      </c>
      <c r="CT41" s="1109">
        <v>39.77818853974123</v>
      </c>
      <c r="CU41" s="1109">
        <v>41.16629896845744</v>
      </c>
      <c r="CV41" s="1109">
        <v>42.681885397412202</v>
      </c>
      <c r="CW41" s="1109">
        <v>39.1</v>
      </c>
      <c r="CX41" s="1109">
        <v>44.429205175600742</v>
      </c>
      <c r="CY41" s="1109">
        <v>44.36192236598891</v>
      </c>
      <c r="CZ41" s="1109">
        <v>42.72624768946396</v>
      </c>
      <c r="DA41" s="1109">
        <v>46.172144177449162</v>
      </c>
      <c r="DB41" s="1110">
        <v>38.918262476894633</v>
      </c>
      <c r="DC41" s="1091">
        <v>41.476155268022183</v>
      </c>
      <c r="DD41" s="1091">
        <v>40.14861367837338</v>
      </c>
      <c r="DE41" s="1091">
        <v>47.373937153419597</v>
      </c>
      <c r="DF41" s="1091">
        <v>43.135951940850269</v>
      </c>
      <c r="DG41" s="1091">
        <v>40.929944547134944</v>
      </c>
      <c r="DH41" s="1091">
        <v>43.387054409005628</v>
      </c>
      <c r="DI41" s="1091">
        <v>40.819512195121952</v>
      </c>
      <c r="DJ41" s="1091">
        <v>39.141088180112568</v>
      </c>
      <c r="DK41" s="1091">
        <v>45.840150093808631</v>
      </c>
      <c r="DL41" s="1091">
        <v>40.450281425891191</v>
      </c>
      <c r="DM41" s="1091">
        <v>37.29</v>
      </c>
      <c r="DN41" s="1092">
        <v>35.255750487329436</v>
      </c>
      <c r="DO41" s="1091">
        <v>35.197058823529417</v>
      </c>
      <c r="DP41" s="1091">
        <v>39.771428571428565</v>
      </c>
      <c r="DQ41" s="1091">
        <v>44.973109243697486</v>
      </c>
      <c r="DR41" s="1091">
        <v>39.611974789915969</v>
      </c>
      <c r="DS41" s="1091">
        <v>35.335714285714282</v>
      </c>
      <c r="DT41" s="1091">
        <v>37.319747899159665</v>
      </c>
      <c r="DU41" s="1091">
        <v>36.146848739495809</v>
      </c>
      <c r="DV41" s="1091">
        <v>37.248739495798311</v>
      </c>
      <c r="DW41" s="1091">
        <v>35.187394957983194</v>
      </c>
      <c r="DX41" s="1091">
        <v>47.145378151260509</v>
      </c>
      <c r="DY41" s="1091">
        <v>39.144327731092439</v>
      </c>
      <c r="DZ41" s="1091">
        <v>33.403781512605043</v>
      </c>
      <c r="EA41" s="1099"/>
      <c r="EB41" s="1111">
        <v>47.096774193914278</v>
      </c>
      <c r="EC41" s="1112">
        <v>32.57898918635648</v>
      </c>
      <c r="ED41" s="1112">
        <v>37.424027552674232</v>
      </c>
      <c r="EE41" s="1112">
        <v>37.42988130792714</v>
      </c>
      <c r="EF41" s="1112">
        <v>33.145213470683082</v>
      </c>
      <c r="EG41" s="1112">
        <v>35.981735159817347</v>
      </c>
      <c r="EH41" s="1112">
        <v>47.743807163685958</v>
      </c>
      <c r="EI41" s="1112">
        <v>46.670573584352759</v>
      </c>
      <c r="EJ41" s="1112">
        <f t="shared" si="4"/>
        <v>42.765066901693046</v>
      </c>
      <c r="EK41" s="1113">
        <v>41.31554009158198</v>
      </c>
      <c r="EL41" s="1112">
        <f t="shared" si="5"/>
        <v>38.373792016806725</v>
      </c>
      <c r="EM41" s="1318">
        <v>38.811712184873954</v>
      </c>
    </row>
    <row r="42" spans="1:143">
      <c r="A42" s="998"/>
      <c r="B42" s="1118" t="s">
        <v>719</v>
      </c>
      <c r="C42" s="1119" t="s">
        <v>720</v>
      </c>
      <c r="D42" s="1120">
        <v>30.280474649406685</v>
      </c>
      <c r="E42" s="1121">
        <v>26.297108257646933</v>
      </c>
      <c r="F42" s="1121">
        <v>28.062407758802443</v>
      </c>
      <c r="G42" s="1121">
        <v>28.53290183387271</v>
      </c>
      <c r="H42" s="1121">
        <v>26.951092611862641</v>
      </c>
      <c r="I42" s="1121">
        <v>27.84250269687163</v>
      </c>
      <c r="J42" s="1122">
        <v>31.036642655809583</v>
      </c>
      <c r="K42" s="1123">
        <v>31.506420294393994</v>
      </c>
      <c r="L42" s="1124">
        <v>29.53074433656958</v>
      </c>
      <c r="M42" s="1124">
        <v>29.731704770852907</v>
      </c>
      <c r="N42" s="1124">
        <v>27.79935275080906</v>
      </c>
      <c r="O42" s="1124">
        <v>30.890489612694438</v>
      </c>
      <c r="P42" s="1124">
        <v>35.339805825242721</v>
      </c>
      <c r="Q42" s="1124">
        <v>32.400979991833402</v>
      </c>
      <c r="R42" s="1124">
        <v>35.606369946917113</v>
      </c>
      <c r="S42" s="1124">
        <v>32.816455696202532</v>
      </c>
      <c r="T42" s="1124">
        <v>29.951000408329932</v>
      </c>
      <c r="U42" s="1124">
        <v>29.335443037974684</v>
      </c>
      <c r="V42" s="1125">
        <v>29.75704369130257</v>
      </c>
      <c r="W42" s="1120">
        <v>30.971825234789712</v>
      </c>
      <c r="X42" s="1121">
        <v>35.104757747708426</v>
      </c>
      <c r="Y42" s="1121">
        <v>33.534095549203755</v>
      </c>
      <c r="Z42" s="1121">
        <v>30.221518987341771</v>
      </c>
      <c r="AA42" s="1121">
        <v>28.031849734585553</v>
      </c>
      <c r="AB42" s="1121">
        <v>32.953586497890299</v>
      </c>
      <c r="AC42" s="1121">
        <v>35.443037974683541</v>
      </c>
      <c r="AD42" s="1121">
        <v>33.319722335647207</v>
      </c>
      <c r="AE42" s="1121">
        <v>31.434599156118143</v>
      </c>
      <c r="AF42" s="1121">
        <v>31.778276847692936</v>
      </c>
      <c r="AG42" s="1121">
        <v>33.649789029535867</v>
      </c>
      <c r="AH42" s="1122">
        <v>30.982033483054305</v>
      </c>
      <c r="AI42" s="1126">
        <v>30.053082890975908</v>
      </c>
      <c r="AJ42" s="1126">
        <v>32.764466546112118</v>
      </c>
      <c r="AK42" s="1126">
        <v>31.782788957427442</v>
      </c>
      <c r="AL42" s="1126">
        <v>31.03448275862069</v>
      </c>
      <c r="AM42" s="1126">
        <v>31.337850136515318</v>
      </c>
      <c r="AN42" s="1126">
        <v>32.298850574712645</v>
      </c>
      <c r="AO42" s="1126">
        <v>29.638992820305393</v>
      </c>
      <c r="AP42" s="1126">
        <v>22.732328850237636</v>
      </c>
      <c r="AQ42" s="1126">
        <v>20.909090909090907</v>
      </c>
      <c r="AR42" s="1126">
        <v>22.54019617757104</v>
      </c>
      <c r="AS42" s="1126">
        <v>21.337513061650988</v>
      </c>
      <c r="AT42" s="1126">
        <v>20.234604105571851</v>
      </c>
      <c r="AU42" s="1120">
        <v>21.468298109010011</v>
      </c>
      <c r="AV42" s="1121">
        <v>25.794894760412003</v>
      </c>
      <c r="AW42" s="1121">
        <v>24.087369804833653</v>
      </c>
      <c r="AX42" s="1121">
        <v>19.623824451410659</v>
      </c>
      <c r="AY42" s="1121">
        <v>18.414399838204066</v>
      </c>
      <c r="AZ42" s="1121">
        <v>20.595611285266457</v>
      </c>
      <c r="BA42" s="1121">
        <v>19.971685711396503</v>
      </c>
      <c r="BB42" s="1121">
        <v>21.478410354939832</v>
      </c>
      <c r="BC42" s="1121">
        <v>21.410658307210031</v>
      </c>
      <c r="BD42" s="1121">
        <v>22.661543128728891</v>
      </c>
      <c r="BE42" s="1121">
        <v>21.995820271682341</v>
      </c>
      <c r="BF42" s="1121">
        <v>23.389624835676003</v>
      </c>
      <c r="BG42" s="1127">
        <v>21.893012438062492</v>
      </c>
      <c r="BH42" s="1127">
        <v>23.936408419167048</v>
      </c>
      <c r="BI42" s="1127">
        <v>22.085145110729094</v>
      </c>
      <c r="BJ42" s="1127">
        <v>26.311389759665619</v>
      </c>
      <c r="BK42" s="1127">
        <v>25.715441399534839</v>
      </c>
      <c r="BL42" s="1127">
        <v>25.256008359456633</v>
      </c>
      <c r="BM42" s="1127">
        <v>24.643543330973809</v>
      </c>
      <c r="BN42" s="1127">
        <v>23.369400343816363</v>
      </c>
      <c r="BO42" s="1127">
        <v>25.360501567398121</v>
      </c>
      <c r="BP42" s="1127">
        <v>24.653655576903631</v>
      </c>
      <c r="BQ42" s="1127">
        <v>25.611285266457678</v>
      </c>
      <c r="BR42" s="1127">
        <v>23.146930933360299</v>
      </c>
      <c r="BS42" s="1128">
        <v>22.135706340378196</v>
      </c>
      <c r="BT42" s="1129">
        <v>23.18668252080856</v>
      </c>
      <c r="BU42" s="1129">
        <v>21.427849125290727</v>
      </c>
      <c r="BV42" s="1129">
        <v>20.292580982236156</v>
      </c>
      <c r="BW42" s="1129">
        <v>20.487410253817373</v>
      </c>
      <c r="BX42" s="1129">
        <v>20.543364681295717</v>
      </c>
      <c r="BY42" s="1129">
        <v>21.55003607131815</v>
      </c>
      <c r="BZ42" s="1129">
        <v>21.024425435432338</v>
      </c>
      <c r="CA42" s="1129">
        <v>22.492012779552716</v>
      </c>
      <c r="CB42" s="1129">
        <v>21.653096980315368</v>
      </c>
      <c r="CC42" s="1129">
        <v>21.95953141640042</v>
      </c>
      <c r="CD42" s="1129">
        <v>19.643409254869624</v>
      </c>
      <c r="CE42" s="1066">
        <v>20.612181799443473</v>
      </c>
      <c r="CF42" s="1067">
        <v>23.607941579187585</v>
      </c>
      <c r="CG42" s="1067">
        <v>21.982891889106462</v>
      </c>
      <c r="CH42" s="1067">
        <v>21.277955271565492</v>
      </c>
      <c r="CI42" s="1067">
        <v>20.138101618056272</v>
      </c>
      <c r="CJ42" s="1067">
        <v>20.681576144834928</v>
      </c>
      <c r="CK42" s="1067">
        <v>21.55003607131815</v>
      </c>
      <c r="CL42" s="1067">
        <v>24.054416159950538</v>
      </c>
      <c r="CM42" s="1067">
        <v>25.143769968051117</v>
      </c>
      <c r="CN42" s="1067">
        <v>24.404823250541067</v>
      </c>
      <c r="CO42" s="1067">
        <v>22.417465388711395</v>
      </c>
      <c r="CP42" s="1067">
        <v>22.137483252602287</v>
      </c>
      <c r="CQ42" s="1130">
        <v>21.498505616819536</v>
      </c>
      <c r="CR42" s="1131">
        <v>24.452304883614786</v>
      </c>
      <c r="CS42" s="1131">
        <v>23.291765433371118</v>
      </c>
      <c r="CT42" s="1131">
        <v>23.184238551650694</v>
      </c>
      <c r="CU42" s="1131">
        <v>21.776770071112029</v>
      </c>
      <c r="CV42" s="1131">
        <v>21.264536741214059</v>
      </c>
      <c r="CW42" s="1131">
        <v>24</v>
      </c>
      <c r="CX42" s="1131">
        <v>22.08817891373802</v>
      </c>
      <c r="CY42" s="1131">
        <v>22.539936102236421</v>
      </c>
      <c r="CZ42" s="1131">
        <v>21.314376996805112</v>
      </c>
      <c r="DA42" s="1131">
        <v>25.880255591054315</v>
      </c>
      <c r="DB42" s="1132">
        <v>23.435910543130994</v>
      </c>
      <c r="DC42" s="1071">
        <v>22.561182108626195</v>
      </c>
      <c r="DD42" s="1071">
        <v>24.531948881789141</v>
      </c>
      <c r="DE42" s="1071">
        <v>26.742172523961663</v>
      </c>
      <c r="DF42" s="1071">
        <v>26.516421725239621</v>
      </c>
      <c r="DG42" s="1071">
        <v>30.426198083067089</v>
      </c>
      <c r="DH42" s="1071">
        <v>26.832907348242813</v>
      </c>
      <c r="DI42" s="1071">
        <v>37.455591054313096</v>
      </c>
      <c r="DJ42" s="1071">
        <v>35.311188811188813</v>
      </c>
      <c r="DK42" s="1071">
        <v>35.083216783216784</v>
      </c>
      <c r="DL42" s="1071">
        <v>30.251748251748253</v>
      </c>
      <c r="DM42" s="1071">
        <v>32.209574468085108</v>
      </c>
      <c r="DN42" s="1072">
        <v>37.46678321678322</v>
      </c>
      <c r="DO42" s="1071">
        <v>45.287719298245612</v>
      </c>
      <c r="DP42" s="1071">
        <v>42.436842105263153</v>
      </c>
      <c r="DQ42" s="1071">
        <v>41.710526315789473</v>
      </c>
      <c r="DR42" s="1071">
        <v>39.049122807017547</v>
      </c>
      <c r="DS42" s="1071">
        <v>40.870175438596497</v>
      </c>
      <c r="DT42" s="1071">
        <v>41.294736842105266</v>
      </c>
      <c r="DU42" s="1071">
        <v>38.864912280701759</v>
      </c>
      <c r="DV42" s="1071">
        <v>42.229824561403511</v>
      </c>
      <c r="DW42" s="1071">
        <v>45.2</v>
      </c>
      <c r="DX42" s="1071">
        <v>44.568421052631578</v>
      </c>
      <c r="DY42" s="1071">
        <v>44.515789473684208</v>
      </c>
      <c r="DZ42" s="1071">
        <v>44.814035087719297</v>
      </c>
      <c r="EA42" s="1121"/>
      <c r="EB42" s="1133">
        <v>22.137483252894572</v>
      </c>
      <c r="EC42" s="1134">
        <v>31.239644788863252</v>
      </c>
      <c r="ED42" s="1134">
        <v>32.272428581310088</v>
      </c>
      <c r="EE42" s="1134">
        <v>27.179204871922778</v>
      </c>
      <c r="EF42" s="1134">
        <v>21.716837720616645</v>
      </c>
      <c r="EG42" s="1134">
        <v>24.320865719070735</v>
      </c>
      <c r="EH42" s="1134">
        <v>21.356679636835295</v>
      </c>
      <c r="EI42" s="1134">
        <v>22.323077596393723</v>
      </c>
      <c r="EJ42" s="1134">
        <f t="shared" si="4"/>
        <v>22.893898287062257</v>
      </c>
      <c r="EK42" s="1135">
        <v>30.364966725457744</v>
      </c>
      <c r="EL42" s="1134">
        <f t="shared" si="5"/>
        <v>42.570175438596493</v>
      </c>
      <c r="EM42" s="1319">
        <v>42.923099415204682</v>
      </c>
    </row>
    <row r="43" spans="1:143">
      <c r="A43" s="1136"/>
      <c r="B43" s="1136"/>
      <c r="C43" s="1136"/>
      <c r="D43" s="1136"/>
      <c r="E43" s="1136"/>
      <c r="F43" s="1136"/>
      <c r="G43" s="1136"/>
      <c r="H43" s="1136"/>
      <c r="I43" s="1136"/>
      <c r="J43" s="1136"/>
      <c r="K43" s="1136"/>
      <c r="L43" s="1136"/>
      <c r="M43" s="1136"/>
      <c r="N43" s="1136"/>
      <c r="O43" s="1136"/>
      <c r="P43" s="1136"/>
      <c r="Q43" s="1136"/>
      <c r="R43" s="1136"/>
      <c r="S43" s="1136"/>
      <c r="T43" s="1136"/>
      <c r="U43" s="1136"/>
      <c r="V43" s="1136"/>
      <c r="W43" s="1136"/>
      <c r="X43" s="1136"/>
      <c r="Y43" s="1136"/>
      <c r="Z43" s="1136"/>
      <c r="AA43" s="1136"/>
      <c r="AB43" s="1136"/>
      <c r="AC43" s="1136"/>
      <c r="AD43" s="1136"/>
      <c r="AE43" s="1136"/>
      <c r="AF43" s="1136"/>
      <c r="AG43" s="1136"/>
      <c r="AH43" s="1136"/>
      <c r="AI43" s="1136"/>
      <c r="AJ43" s="1136"/>
      <c r="AK43" s="1136"/>
      <c r="AL43" s="1136"/>
      <c r="AM43" s="1136"/>
      <c r="AN43" s="1136"/>
      <c r="AO43" s="1136"/>
      <c r="AP43" s="1136"/>
      <c r="AQ43" s="1136"/>
      <c r="AR43" s="1136"/>
      <c r="AS43" s="1136"/>
      <c r="AT43" s="1136"/>
      <c r="AU43" s="1136"/>
      <c r="AV43" s="1136"/>
      <c r="AW43" s="1136"/>
      <c r="AX43" s="1136"/>
      <c r="AY43" s="1136"/>
      <c r="AZ43" s="1136"/>
      <c r="BA43" s="1136"/>
      <c r="BB43" s="1136"/>
      <c r="BC43" s="1136"/>
      <c r="BD43" s="1136"/>
      <c r="BE43" s="1136"/>
      <c r="BF43" s="1136"/>
      <c r="BG43" s="1136"/>
      <c r="BH43" s="1136"/>
      <c r="BI43" s="1136"/>
      <c r="BJ43" s="1136"/>
      <c r="BK43" s="1136"/>
      <c r="BL43" s="1136"/>
      <c r="BM43" s="1136"/>
      <c r="BN43" s="1136"/>
      <c r="BO43" s="1136"/>
      <c r="BP43" s="1136"/>
      <c r="BQ43" s="1136"/>
      <c r="BR43" s="1136"/>
      <c r="BS43" s="1136"/>
      <c r="BT43" s="1136"/>
      <c r="BU43" s="1136"/>
      <c r="BV43" s="1136"/>
      <c r="BW43" s="1136"/>
      <c r="BX43" s="1136"/>
      <c r="BY43" s="1136"/>
      <c r="BZ43" s="1136"/>
      <c r="CA43" s="1136"/>
      <c r="CB43" s="1136"/>
      <c r="CC43" s="1136"/>
      <c r="CD43" s="1136"/>
      <c r="CE43" s="1136"/>
      <c r="CF43" s="1136"/>
      <c r="CG43" s="1136"/>
      <c r="CH43" s="1136"/>
      <c r="CI43" s="1136"/>
      <c r="CJ43" s="1136"/>
      <c r="CK43" s="1136"/>
      <c r="CL43" s="1136"/>
      <c r="CM43" s="1136"/>
      <c r="CN43" s="1136"/>
      <c r="CO43" s="1136"/>
      <c r="CP43" s="1136"/>
      <c r="CQ43" s="1136"/>
      <c r="CR43" s="1136"/>
      <c r="CS43" s="1136"/>
      <c r="CT43" s="1136"/>
      <c r="CU43" s="1136"/>
      <c r="CV43" s="1136"/>
      <c r="CW43" s="1136"/>
      <c r="CX43" s="1136"/>
      <c r="CY43" s="1136"/>
      <c r="CZ43" s="1136"/>
      <c r="DA43" s="1136"/>
      <c r="DB43" s="1136"/>
      <c r="DC43" s="1136"/>
      <c r="DD43" s="1136"/>
      <c r="DE43" s="1136"/>
      <c r="DF43" s="1136"/>
      <c r="DG43" s="1136"/>
      <c r="DH43" s="1136"/>
      <c r="DI43" s="1136"/>
      <c r="DJ43" s="1136"/>
      <c r="DK43" s="1136"/>
      <c r="DL43" s="1136"/>
      <c r="DM43" s="1136"/>
      <c r="DN43" s="1136"/>
      <c r="DO43" s="1136"/>
      <c r="DP43" s="1136"/>
      <c r="DQ43" s="1136"/>
      <c r="DR43" s="1136"/>
      <c r="DS43" s="1136"/>
      <c r="DT43" s="1136"/>
      <c r="DU43" s="1136"/>
      <c r="DV43" s="1136"/>
      <c r="DW43" s="1136"/>
      <c r="DX43" s="1136"/>
      <c r="DY43" s="1136"/>
      <c r="DZ43" s="1136"/>
      <c r="EA43" s="1136"/>
      <c r="EB43" s="1136"/>
      <c r="EC43" s="1136"/>
      <c r="ED43" s="1136"/>
      <c r="EE43" s="1136"/>
      <c r="EF43" s="1136"/>
      <c r="EG43" s="1136"/>
      <c r="EH43" s="1136"/>
      <c r="EI43" s="1136"/>
      <c r="EJ43" s="1136"/>
      <c r="EK43" s="1136"/>
      <c r="EL43" s="1136"/>
      <c r="EM43" s="1320"/>
    </row>
    <row r="44" spans="1:143" s="1012" customFormat="1" ht="30">
      <c r="A44" s="998"/>
      <c r="B44" s="1006" t="s">
        <v>721</v>
      </c>
      <c r="C44" s="1007"/>
      <c r="D44" s="1008"/>
      <c r="E44" s="1008"/>
      <c r="F44" s="1008"/>
      <c r="G44" s="1008"/>
      <c r="H44" s="1008"/>
      <c r="I44" s="1009"/>
      <c r="J44" s="1009"/>
      <c r="K44" s="1009"/>
      <c r="L44" s="1009"/>
      <c r="M44" s="1009"/>
      <c r="N44" s="1009"/>
      <c r="O44" s="1009"/>
      <c r="P44" s="1009"/>
      <c r="Q44" s="1009"/>
      <c r="R44" s="1009"/>
      <c r="S44" s="1009"/>
      <c r="T44" s="1009"/>
      <c r="U44" s="1009"/>
      <c r="V44" s="1009"/>
      <c r="W44" s="1010"/>
      <c r="X44" s="1010"/>
      <c r="Y44" s="1010"/>
      <c r="Z44" s="1010"/>
      <c r="AA44" s="1010"/>
      <c r="AB44" s="1010"/>
      <c r="AC44" s="1010"/>
      <c r="AD44" s="1010"/>
      <c r="AE44" s="1010"/>
      <c r="AF44" s="1010"/>
      <c r="AG44" s="1010"/>
      <c r="AH44" s="1010"/>
      <c r="AI44" s="1010"/>
      <c r="AJ44" s="1010"/>
      <c r="AK44" s="1010"/>
      <c r="AL44" s="1010"/>
      <c r="AM44" s="1010"/>
      <c r="AN44" s="1010"/>
      <c r="AO44" s="1010"/>
      <c r="AP44" s="1010"/>
      <c r="AQ44" s="1010"/>
      <c r="AR44" s="1010"/>
      <c r="AS44" s="1010"/>
      <c r="AT44" s="1010"/>
      <c r="AU44" s="1010"/>
      <c r="AV44" s="1010"/>
      <c r="AW44" s="1010"/>
      <c r="AX44" s="1010"/>
      <c r="AY44" s="1010"/>
      <c r="AZ44" s="1010"/>
      <c r="BA44" s="1010"/>
      <c r="BB44" s="1010"/>
      <c r="BC44" s="1010"/>
      <c r="BD44" s="1010"/>
      <c r="BE44" s="1010"/>
      <c r="BF44" s="1010"/>
      <c r="BG44" s="1010"/>
      <c r="BH44" s="1010"/>
      <c r="BI44" s="1010"/>
      <c r="BJ44" s="1010"/>
      <c r="BK44" s="1010"/>
      <c r="BL44" s="1010"/>
      <c r="BM44" s="1010"/>
      <c r="BN44" s="1010"/>
      <c r="BO44" s="1010"/>
      <c r="BP44" s="1010"/>
      <c r="BQ44" s="1010"/>
      <c r="BR44" s="1010"/>
      <c r="BS44" s="1010"/>
      <c r="BT44" s="1010"/>
      <c r="BU44" s="1010"/>
      <c r="BV44" s="1010"/>
      <c r="BW44" s="1010"/>
      <c r="BX44" s="1010"/>
      <c r="BY44" s="1010"/>
      <c r="BZ44" s="1010"/>
      <c r="CA44" s="1010"/>
      <c r="CB44" s="1010"/>
      <c r="CC44" s="1010"/>
      <c r="CD44" s="1010"/>
      <c r="CE44" s="1010"/>
      <c r="CF44" s="1010"/>
      <c r="CG44" s="1010"/>
      <c r="CH44" s="1010"/>
      <c r="CI44" s="1010"/>
      <c r="CJ44" s="1010"/>
      <c r="CK44" s="1010"/>
      <c r="CL44" s="1010"/>
      <c r="CM44" s="1010"/>
      <c r="CN44" s="1010"/>
      <c r="CO44" s="1010"/>
      <c r="CP44" s="1010"/>
      <c r="CQ44" s="1010"/>
      <c r="CR44" s="1010"/>
      <c r="CS44" s="1010"/>
      <c r="CT44" s="1010"/>
      <c r="CU44" s="1010"/>
      <c r="CV44" s="1010"/>
      <c r="CW44" s="1010"/>
      <c r="CX44" s="1010"/>
      <c r="CY44" s="1010"/>
      <c r="CZ44" s="1010"/>
      <c r="DA44" s="1010"/>
      <c r="DB44" s="1010"/>
      <c r="DC44" s="1010"/>
      <c r="DD44" s="1010"/>
      <c r="DE44" s="1010"/>
      <c r="DF44" s="1010"/>
      <c r="DG44" s="1010"/>
      <c r="DH44" s="1010"/>
      <c r="DI44" s="1010"/>
      <c r="DJ44" s="1010"/>
      <c r="DK44" s="1010"/>
      <c r="DL44" s="1010"/>
      <c r="DM44" s="1010"/>
      <c r="DN44" s="1010"/>
      <c r="DO44" s="1010"/>
      <c r="DP44" s="1010"/>
      <c r="DQ44" s="1010"/>
      <c r="DR44" s="1010"/>
      <c r="DS44" s="1010"/>
      <c r="DT44" s="1010"/>
      <c r="DU44" s="1010"/>
      <c r="DV44" s="1010"/>
      <c r="DW44" s="1010"/>
      <c r="DX44" s="1010"/>
      <c r="DY44" s="1010"/>
      <c r="DZ44" s="1010"/>
      <c r="EA44" s="1010"/>
      <c r="EB44" s="1011"/>
      <c r="EC44" s="1011"/>
      <c r="ED44" s="1011"/>
      <c r="EE44" s="1011"/>
      <c r="EF44" s="1011"/>
      <c r="EG44" s="1011"/>
      <c r="EH44" s="1011"/>
      <c r="EI44" s="1011"/>
      <c r="EJ44" s="1011"/>
      <c r="EK44" s="1011"/>
      <c r="EL44" s="1011"/>
      <c r="EM44" s="1321"/>
    </row>
    <row r="45" spans="1:143" ht="30">
      <c r="A45" s="1013"/>
      <c r="B45" s="1014" t="s">
        <v>722</v>
      </c>
      <c r="C45" s="1015"/>
      <c r="D45" s="1138"/>
      <c r="E45" s="1138"/>
      <c r="F45" s="1139" t="s">
        <v>723</v>
      </c>
      <c r="G45" s="1139"/>
      <c r="H45" s="1138"/>
      <c r="I45" s="1140"/>
      <c r="J45" s="1140"/>
      <c r="K45" s="1140"/>
      <c r="L45" s="1140"/>
      <c r="M45" s="1140"/>
      <c r="N45" s="1140"/>
      <c r="O45" s="1140"/>
      <c r="P45" s="1140"/>
      <c r="Q45" s="1140"/>
      <c r="R45" s="1140"/>
      <c r="S45" s="1140"/>
      <c r="T45" s="1140"/>
      <c r="U45" s="1140"/>
      <c r="V45" s="1140"/>
      <c r="W45" s="1140"/>
      <c r="X45" s="1140"/>
      <c r="Y45" s="1140"/>
      <c r="Z45" s="1140"/>
      <c r="AA45" s="1140"/>
      <c r="AB45" s="1140"/>
      <c r="AC45" s="1140"/>
      <c r="AD45" s="1140"/>
      <c r="AE45" s="1140"/>
      <c r="AF45" s="1140"/>
      <c r="AG45" s="1141"/>
      <c r="AH45" s="1141"/>
      <c r="AI45" s="1141"/>
      <c r="AJ45" s="1141"/>
      <c r="AK45" s="1141"/>
      <c r="AL45" s="1141"/>
      <c r="AM45" s="1141"/>
      <c r="AN45" s="1141"/>
      <c r="AO45" s="1141"/>
      <c r="AP45" s="1141"/>
      <c r="AQ45" s="1141"/>
      <c r="AR45" s="1141"/>
      <c r="AS45" s="1141"/>
      <c r="AT45" s="1141"/>
      <c r="AU45" s="1140"/>
      <c r="AV45" s="1140"/>
      <c r="AW45" s="1140"/>
      <c r="AX45" s="1140"/>
      <c r="AY45" s="1140"/>
      <c r="AZ45" s="1140"/>
      <c r="BA45" s="1140"/>
      <c r="BB45" s="1140"/>
      <c r="BC45" s="1140"/>
      <c r="BD45" s="1140"/>
      <c r="BE45" s="1140"/>
      <c r="BF45" s="1140"/>
      <c r="BG45" s="1140"/>
      <c r="BH45" s="1140"/>
      <c r="BI45" s="1140"/>
      <c r="BJ45" s="1140"/>
      <c r="BK45" s="1140"/>
      <c r="BL45" s="1140"/>
      <c r="BM45" s="1140"/>
      <c r="BN45" s="1140"/>
      <c r="BO45" s="1140"/>
      <c r="BP45" s="1140"/>
      <c r="BQ45" s="1140"/>
      <c r="BR45" s="1140"/>
      <c r="BS45" s="1140"/>
      <c r="BT45" s="1139" t="s">
        <v>724</v>
      </c>
      <c r="BU45" s="1139"/>
      <c r="BV45" s="1140"/>
      <c r="BW45" s="1140"/>
      <c r="BX45" s="1140"/>
      <c r="BY45" s="1140"/>
      <c r="BZ45" s="1140"/>
      <c r="CA45" s="1140"/>
      <c r="CB45" s="1140"/>
      <c r="CC45" s="1140"/>
      <c r="CD45" s="1140"/>
      <c r="CE45" s="1140"/>
      <c r="CF45" s="1140"/>
      <c r="CG45" s="1140"/>
      <c r="CH45" s="1140"/>
      <c r="CI45" s="1140"/>
      <c r="CJ45" s="1140"/>
      <c r="CK45" s="1140"/>
      <c r="CL45" s="1140"/>
      <c r="CM45" s="1140"/>
      <c r="CN45" s="1140"/>
      <c r="CO45" s="1140"/>
      <c r="CP45" s="1140"/>
      <c r="CQ45" s="1140"/>
      <c r="CR45" s="1140"/>
      <c r="CS45" s="1140"/>
      <c r="CT45" s="1140"/>
      <c r="CU45" s="1140"/>
      <c r="CV45" s="1140"/>
      <c r="CW45" s="1140"/>
      <c r="CX45" s="1140"/>
      <c r="CY45" s="1140"/>
      <c r="CZ45" s="1140"/>
      <c r="DA45" s="1140"/>
      <c r="DB45" s="1140"/>
      <c r="DC45" s="1140"/>
      <c r="DD45" s="1140"/>
      <c r="DE45" s="1140"/>
      <c r="DF45" s="1140"/>
      <c r="DG45" s="1140"/>
      <c r="DH45" s="1140"/>
      <c r="DI45" s="1140"/>
      <c r="DJ45" s="1140"/>
      <c r="DK45" s="1140"/>
      <c r="DL45" s="1140"/>
      <c r="DM45" s="1140"/>
      <c r="DN45" s="1140"/>
      <c r="DO45" s="1140"/>
      <c r="DP45" s="1140"/>
      <c r="DQ45" s="1140"/>
      <c r="DR45" s="1140"/>
      <c r="DS45" s="1140"/>
      <c r="DT45" s="1140"/>
      <c r="DU45" s="1140"/>
      <c r="DV45" s="1140"/>
      <c r="DW45" s="1140"/>
      <c r="DX45" s="1140"/>
      <c r="DY45" s="1140"/>
      <c r="DZ45" s="1140"/>
      <c r="EA45" s="1142"/>
      <c r="EB45" s="1020"/>
      <c r="EC45" s="1020"/>
      <c r="ED45" s="1020"/>
      <c r="EE45" s="1020" t="s">
        <v>165</v>
      </c>
      <c r="EF45" s="1020"/>
      <c r="EG45" s="1021"/>
      <c r="EH45" s="1021"/>
      <c r="EI45" s="1021"/>
      <c r="EJ45" s="1021"/>
      <c r="EK45" s="1021"/>
      <c r="EL45" s="1021"/>
      <c r="EM45" s="1322"/>
    </row>
    <row r="46" spans="1:143" ht="15" customHeight="1">
      <c r="A46" s="998"/>
      <c r="B46" s="1143"/>
      <c r="C46" s="1144"/>
      <c r="D46" s="1145"/>
      <c r="E46" s="1146"/>
      <c r="F46" s="1099"/>
      <c r="G46" s="1146">
        <v>2006</v>
      </c>
      <c r="H46" s="1146"/>
      <c r="I46" s="1099"/>
      <c r="J46" s="1100"/>
      <c r="K46" s="1147"/>
      <c r="L46" s="1148"/>
      <c r="M46" s="1148"/>
      <c r="N46" s="1149"/>
      <c r="O46" s="1102"/>
      <c r="P46" s="1148">
        <v>2007</v>
      </c>
      <c r="Q46" s="1102"/>
      <c r="R46" s="1102"/>
      <c r="S46" s="1102"/>
      <c r="T46" s="1102"/>
      <c r="U46" s="1102"/>
      <c r="V46" s="1103"/>
      <c r="W46" s="1150"/>
      <c r="X46" s="1146"/>
      <c r="Y46" s="1146"/>
      <c r="Z46" s="1146"/>
      <c r="AA46" s="1146"/>
      <c r="AB46" s="1146">
        <v>2008</v>
      </c>
      <c r="AC46" s="1146"/>
      <c r="AD46" s="1146"/>
      <c r="AE46" s="1146"/>
      <c r="AF46" s="1146"/>
      <c r="AG46" s="1146"/>
      <c r="AH46" s="1151"/>
      <c r="AI46" s="1033"/>
      <c r="AJ46" s="1034"/>
      <c r="AK46" s="1034"/>
      <c r="AL46" s="1034"/>
      <c r="AM46" s="1034"/>
      <c r="AN46" s="1034">
        <v>2009</v>
      </c>
      <c r="AO46" s="1034"/>
      <c r="AP46" s="1034"/>
      <c r="AQ46" s="1034"/>
      <c r="AR46" s="1034"/>
      <c r="AS46" s="1034"/>
      <c r="AT46" s="1035"/>
      <c r="AU46" s="1152"/>
      <c r="AV46" s="1153"/>
      <c r="AW46" s="1153"/>
      <c r="AX46" s="1153"/>
      <c r="AY46" s="1153"/>
      <c r="AZ46" s="1153"/>
      <c r="BA46" s="1153">
        <v>2010</v>
      </c>
      <c r="BB46" s="1153"/>
      <c r="BC46" s="1153"/>
      <c r="BD46" s="1153"/>
      <c r="BE46" s="1153"/>
      <c r="BF46" s="1153"/>
      <c r="BG46" s="1154"/>
      <c r="BH46" s="1154"/>
      <c r="BI46" s="1154"/>
      <c r="BJ46" s="1154"/>
      <c r="BK46" s="1154"/>
      <c r="BL46" s="1154">
        <v>2011</v>
      </c>
      <c r="BM46" s="1154"/>
      <c r="BN46" s="1154"/>
      <c r="BO46" s="1154"/>
      <c r="BP46" s="1154"/>
      <c r="BQ46" s="1154"/>
      <c r="BR46" s="1154"/>
      <c r="BS46" s="1155"/>
      <c r="BT46" s="1156"/>
      <c r="BU46" s="1156"/>
      <c r="BV46" s="1156"/>
      <c r="BW46" s="1156"/>
      <c r="BX46" s="1156">
        <v>2012</v>
      </c>
      <c r="BY46" s="1156"/>
      <c r="BZ46" s="1156"/>
      <c r="CA46" s="1156"/>
      <c r="CB46" s="1156"/>
      <c r="CC46" s="1156"/>
      <c r="CD46" s="1156"/>
      <c r="CE46" s="1157"/>
      <c r="CF46" s="1158"/>
      <c r="CG46" s="1158"/>
      <c r="CH46" s="1158"/>
      <c r="CI46" s="1158"/>
      <c r="CJ46" s="1158">
        <v>2013</v>
      </c>
      <c r="CK46" s="1158"/>
      <c r="CL46" s="1158"/>
      <c r="CM46" s="1158"/>
      <c r="CN46" s="1158"/>
      <c r="CO46" s="1158"/>
      <c r="CP46" s="1158"/>
      <c r="CQ46" s="1043">
        <v>2014</v>
      </c>
      <c r="CR46" s="1044"/>
      <c r="CS46" s="1044"/>
      <c r="CT46" s="1044"/>
      <c r="CU46" s="1044"/>
      <c r="CV46" s="1044"/>
      <c r="CW46" s="1044"/>
      <c r="CX46" s="1044"/>
      <c r="CY46" s="1044"/>
      <c r="CZ46" s="1044"/>
      <c r="DA46" s="1044"/>
      <c r="DB46" s="1045"/>
      <c r="DC46" s="1159">
        <v>2015</v>
      </c>
      <c r="DD46" s="1159"/>
      <c r="DE46" s="1159"/>
      <c r="DF46" s="1159"/>
      <c r="DG46" s="1159"/>
      <c r="DH46" s="1159"/>
      <c r="DI46" s="1159"/>
      <c r="DJ46" s="1159"/>
      <c r="DK46" s="1159"/>
      <c r="DL46" s="1159"/>
      <c r="DM46" s="1159"/>
      <c r="DN46" s="1047"/>
      <c r="DO46" s="1044">
        <v>2016</v>
      </c>
      <c r="DP46" s="1044"/>
      <c r="DQ46" s="1044"/>
      <c r="DR46" s="1044"/>
      <c r="DS46" s="1044"/>
      <c r="DT46" s="1044"/>
      <c r="DU46" s="1160"/>
      <c r="DV46" s="1160"/>
      <c r="DW46" s="1160"/>
      <c r="DX46" s="1160"/>
      <c r="DY46" s="1160"/>
      <c r="DZ46" s="1160"/>
      <c r="EA46" s="1099"/>
      <c r="EB46" s="1048">
        <v>2006</v>
      </c>
      <c r="EC46" s="1161">
        <v>2007</v>
      </c>
      <c r="ED46" s="1161">
        <v>2008</v>
      </c>
      <c r="EE46" s="1161">
        <v>2009</v>
      </c>
      <c r="EF46" s="1161">
        <v>2010</v>
      </c>
      <c r="EG46" s="1161">
        <v>2011</v>
      </c>
      <c r="EH46" s="1161">
        <v>2012</v>
      </c>
      <c r="EI46" s="1161">
        <v>2013</v>
      </c>
      <c r="EJ46" s="1161">
        <v>2014</v>
      </c>
      <c r="EK46" s="1161">
        <v>2015</v>
      </c>
      <c r="EL46" s="1049">
        <v>2016</v>
      </c>
      <c r="EM46" s="1315" t="s">
        <v>899</v>
      </c>
    </row>
    <row r="47" spans="1:143" ht="26.25" customHeight="1">
      <c r="A47" s="1162"/>
      <c r="B47" s="1163" t="s">
        <v>198</v>
      </c>
      <c r="C47" s="1164" t="s">
        <v>33</v>
      </c>
      <c r="D47" s="1054" t="s">
        <v>42</v>
      </c>
      <c r="E47" s="1055" t="s">
        <v>43</v>
      </c>
      <c r="F47" s="1055" t="s">
        <v>44</v>
      </c>
      <c r="G47" s="1056" t="s">
        <v>45</v>
      </c>
      <c r="H47" s="1056" t="s">
        <v>46</v>
      </c>
      <c r="I47" s="1056" t="s">
        <v>47</v>
      </c>
      <c r="J47" s="1057" t="s">
        <v>48</v>
      </c>
      <c r="K47" s="1058" t="s">
        <v>37</v>
      </c>
      <c r="L47" s="1059" t="s">
        <v>38</v>
      </c>
      <c r="M47" s="1059" t="s">
        <v>39</v>
      </c>
      <c r="N47" s="1059" t="s">
        <v>40</v>
      </c>
      <c r="O47" s="1059" t="s">
        <v>41</v>
      </c>
      <c r="P47" s="1059" t="s">
        <v>42</v>
      </c>
      <c r="Q47" s="1059" t="s">
        <v>43</v>
      </c>
      <c r="R47" s="1059" t="s">
        <v>44</v>
      </c>
      <c r="S47" s="1059" t="s">
        <v>45</v>
      </c>
      <c r="T47" s="1059" t="s">
        <v>46</v>
      </c>
      <c r="U47" s="1059" t="s">
        <v>47</v>
      </c>
      <c r="V47" s="1060" t="s">
        <v>48</v>
      </c>
      <c r="W47" s="1120" t="s">
        <v>37</v>
      </c>
      <c r="X47" s="1121" t="s">
        <v>38</v>
      </c>
      <c r="Y47" s="1121" t="s">
        <v>39</v>
      </c>
      <c r="Z47" s="1056" t="s">
        <v>40</v>
      </c>
      <c r="AA47" s="1056" t="s">
        <v>41</v>
      </c>
      <c r="AB47" s="1056" t="s">
        <v>42</v>
      </c>
      <c r="AC47" s="1056" t="s">
        <v>43</v>
      </c>
      <c r="AD47" s="1056" t="s">
        <v>44</v>
      </c>
      <c r="AE47" s="1056" t="s">
        <v>45</v>
      </c>
      <c r="AF47" s="1056" t="s">
        <v>46</v>
      </c>
      <c r="AG47" s="1056" t="s">
        <v>47</v>
      </c>
      <c r="AH47" s="1057" t="s">
        <v>48</v>
      </c>
      <c r="AI47" s="1062" t="s">
        <v>37</v>
      </c>
      <c r="AJ47" s="1062" t="s">
        <v>38</v>
      </c>
      <c r="AK47" s="1062" t="s">
        <v>39</v>
      </c>
      <c r="AL47" s="1062" t="s">
        <v>40</v>
      </c>
      <c r="AM47" s="1062" t="s">
        <v>41</v>
      </c>
      <c r="AN47" s="1062" t="s">
        <v>42</v>
      </c>
      <c r="AO47" s="1062" t="s">
        <v>43</v>
      </c>
      <c r="AP47" s="1062" t="s">
        <v>44</v>
      </c>
      <c r="AQ47" s="1062" t="s">
        <v>45</v>
      </c>
      <c r="AR47" s="1062" t="s">
        <v>46</v>
      </c>
      <c r="AS47" s="1062" t="s">
        <v>47</v>
      </c>
      <c r="AT47" s="1062" t="s">
        <v>48</v>
      </c>
      <c r="AU47" s="1120" t="s">
        <v>37</v>
      </c>
      <c r="AV47" s="1121" t="s">
        <v>38</v>
      </c>
      <c r="AW47" s="1121" t="s">
        <v>39</v>
      </c>
      <c r="AX47" s="1121" t="s">
        <v>40</v>
      </c>
      <c r="AY47" s="1121" t="s">
        <v>41</v>
      </c>
      <c r="AZ47" s="1121" t="s">
        <v>42</v>
      </c>
      <c r="BA47" s="1121" t="s">
        <v>43</v>
      </c>
      <c r="BB47" s="1121" t="s">
        <v>44</v>
      </c>
      <c r="BC47" s="1121" t="s">
        <v>45</v>
      </c>
      <c r="BD47" s="1121" t="s">
        <v>46</v>
      </c>
      <c r="BE47" s="1121" t="s">
        <v>47</v>
      </c>
      <c r="BF47" s="1121" t="s">
        <v>48</v>
      </c>
      <c r="BG47" s="1127" t="s">
        <v>37</v>
      </c>
      <c r="BH47" s="1127" t="s">
        <v>38</v>
      </c>
      <c r="BI47" s="1127" t="s">
        <v>39</v>
      </c>
      <c r="BJ47" s="1127" t="s">
        <v>40</v>
      </c>
      <c r="BK47" s="1127" t="s">
        <v>41</v>
      </c>
      <c r="BL47" s="1127" t="s">
        <v>42</v>
      </c>
      <c r="BM47" s="1127" t="s">
        <v>43</v>
      </c>
      <c r="BN47" s="1127" t="s">
        <v>44</v>
      </c>
      <c r="BO47" s="1127" t="s">
        <v>45</v>
      </c>
      <c r="BP47" s="1127" t="s">
        <v>46</v>
      </c>
      <c r="BQ47" s="1127" t="s">
        <v>47</v>
      </c>
      <c r="BR47" s="1127" t="s">
        <v>48</v>
      </c>
      <c r="BS47" s="1128" t="s">
        <v>37</v>
      </c>
      <c r="BT47" s="1129" t="s">
        <v>38</v>
      </c>
      <c r="BU47" s="1129" t="s">
        <v>39</v>
      </c>
      <c r="BV47" s="1129" t="s">
        <v>40</v>
      </c>
      <c r="BW47" s="1129" t="s">
        <v>41</v>
      </c>
      <c r="BX47" s="1129" t="s">
        <v>42</v>
      </c>
      <c r="BY47" s="1129" t="s">
        <v>43</v>
      </c>
      <c r="BZ47" s="1129" t="s">
        <v>44</v>
      </c>
      <c r="CA47" s="1129" t="s">
        <v>45</v>
      </c>
      <c r="CB47" s="1065" t="s">
        <v>46</v>
      </c>
      <c r="CC47" s="1065" t="s">
        <v>47</v>
      </c>
      <c r="CD47" s="1065" t="s">
        <v>48</v>
      </c>
      <c r="CE47" s="1066" t="s">
        <v>37</v>
      </c>
      <c r="CF47" s="1067" t="s">
        <v>38</v>
      </c>
      <c r="CG47" s="1067" t="s">
        <v>39</v>
      </c>
      <c r="CH47" s="1067" t="s">
        <v>40</v>
      </c>
      <c r="CI47" s="1067" t="s">
        <v>41</v>
      </c>
      <c r="CJ47" s="1067" t="s">
        <v>42</v>
      </c>
      <c r="CK47" s="1067" t="s">
        <v>43</v>
      </c>
      <c r="CL47" s="1067" t="s">
        <v>44</v>
      </c>
      <c r="CM47" s="1067" t="s">
        <v>45</v>
      </c>
      <c r="CN47" s="1067" t="s">
        <v>46</v>
      </c>
      <c r="CO47" s="1067" t="s">
        <v>47</v>
      </c>
      <c r="CP47" s="1067" t="s">
        <v>48</v>
      </c>
      <c r="CQ47" s="1068" t="s">
        <v>37</v>
      </c>
      <c r="CR47" s="1069" t="s">
        <v>38</v>
      </c>
      <c r="CS47" s="1069" t="s">
        <v>39</v>
      </c>
      <c r="CT47" s="1069" t="s">
        <v>40</v>
      </c>
      <c r="CU47" s="1069" t="s">
        <v>41</v>
      </c>
      <c r="CV47" s="1069" t="s">
        <v>42</v>
      </c>
      <c r="CW47" s="1069" t="s">
        <v>43</v>
      </c>
      <c r="CX47" s="1069" t="s">
        <v>44</v>
      </c>
      <c r="CY47" s="1069" t="s">
        <v>45</v>
      </c>
      <c r="CZ47" s="1069" t="s">
        <v>46</v>
      </c>
      <c r="DA47" s="1069" t="s">
        <v>47</v>
      </c>
      <c r="DB47" s="1070" t="s">
        <v>48</v>
      </c>
      <c r="DC47" s="1071" t="s">
        <v>37</v>
      </c>
      <c r="DD47" s="1071" t="s">
        <v>38</v>
      </c>
      <c r="DE47" s="1071" t="s">
        <v>39</v>
      </c>
      <c r="DF47" s="1071" t="s">
        <v>40</v>
      </c>
      <c r="DG47" s="1071" t="s">
        <v>41</v>
      </c>
      <c r="DH47" s="1071" t="s">
        <v>42</v>
      </c>
      <c r="DI47" s="1071" t="s">
        <v>43</v>
      </c>
      <c r="DJ47" s="1071" t="s">
        <v>44</v>
      </c>
      <c r="DK47" s="1071" t="s">
        <v>45</v>
      </c>
      <c r="DL47" s="1071" t="s">
        <v>46</v>
      </c>
      <c r="DM47" s="1071" t="s">
        <v>47</v>
      </c>
      <c r="DN47" s="1072" t="s">
        <v>48</v>
      </c>
      <c r="DO47" s="1071" t="s">
        <v>37</v>
      </c>
      <c r="DP47" s="1071" t="s">
        <v>38</v>
      </c>
      <c r="DQ47" s="1071" t="s">
        <v>39</v>
      </c>
      <c r="DR47" s="1071" t="s">
        <v>40</v>
      </c>
      <c r="DS47" s="1071" t="s">
        <v>41</v>
      </c>
      <c r="DT47" s="1071" t="s">
        <v>42</v>
      </c>
      <c r="DU47" s="1071" t="s">
        <v>43</v>
      </c>
      <c r="DV47" s="1071" t="s">
        <v>44</v>
      </c>
      <c r="DW47" s="1071" t="s">
        <v>45</v>
      </c>
      <c r="DX47" s="1071" t="s">
        <v>46</v>
      </c>
      <c r="DY47" s="1071" t="s">
        <v>47</v>
      </c>
      <c r="DZ47" s="1071" t="s">
        <v>48</v>
      </c>
      <c r="EA47" s="1071"/>
      <c r="EB47" s="1133" t="s">
        <v>167</v>
      </c>
      <c r="EC47" s="1165" t="s">
        <v>49</v>
      </c>
      <c r="ED47" s="1165" t="s">
        <v>49</v>
      </c>
      <c r="EE47" s="1165" t="s">
        <v>49</v>
      </c>
      <c r="EF47" s="1165" t="s">
        <v>49</v>
      </c>
      <c r="EG47" s="1165" t="s">
        <v>49</v>
      </c>
      <c r="EH47" s="1165" t="s">
        <v>706</v>
      </c>
      <c r="EI47" s="1165" t="s">
        <v>706</v>
      </c>
      <c r="EJ47" s="1165" t="s">
        <v>706</v>
      </c>
      <c r="EK47" s="1165" t="s">
        <v>706</v>
      </c>
      <c r="EL47" s="1165" t="s">
        <v>706</v>
      </c>
      <c r="EM47" s="1316"/>
    </row>
    <row r="48" spans="1:143">
      <c r="A48" s="998"/>
      <c r="B48" s="1166" t="s">
        <v>707</v>
      </c>
      <c r="C48" s="1115" t="s">
        <v>708</v>
      </c>
      <c r="D48" s="1098">
        <v>15.419646365422397</v>
      </c>
      <c r="E48" s="1099">
        <v>17.915307751738347</v>
      </c>
      <c r="F48" s="1099">
        <v>10.193759307096187</v>
      </c>
      <c r="G48" s="1099">
        <v>14.807972160708637</v>
      </c>
      <c r="H48" s="1099">
        <v>14.45986507936508</v>
      </c>
      <c r="I48" s="1099">
        <v>15.592793844521093</v>
      </c>
      <c r="J48" s="1100">
        <v>13.95266214908035</v>
      </c>
      <c r="K48" s="1101">
        <v>19.627875153751539</v>
      </c>
      <c r="L48" s="1102">
        <v>15.710208794685224</v>
      </c>
      <c r="M48" s="1102">
        <v>16.902429331094318</v>
      </c>
      <c r="N48" s="1102">
        <v>15.45060525538825</v>
      </c>
      <c r="O48" s="1102">
        <v>17.061471438900938</v>
      </c>
      <c r="P48" s="1102">
        <v>26.541380587799459</v>
      </c>
      <c r="Q48" s="1102">
        <v>17.093727168949773</v>
      </c>
      <c r="R48" s="1102">
        <v>17.286680613668057</v>
      </c>
      <c r="S48" s="1102">
        <v>16.885389830508476</v>
      </c>
      <c r="T48" s="1102">
        <v>11.785774877650898</v>
      </c>
      <c r="U48" s="1102">
        <v>12.805962521294719</v>
      </c>
      <c r="V48" s="1103">
        <v>16.011095516569199</v>
      </c>
      <c r="W48" s="1098">
        <v>14.164790996784566</v>
      </c>
      <c r="X48" s="1099">
        <v>16.410915365056301</v>
      </c>
      <c r="Y48" s="1099">
        <v>17.246211096075779</v>
      </c>
      <c r="Z48" s="1099">
        <v>14.815190744215132</v>
      </c>
      <c r="AA48" s="1099">
        <v>15.415595567867037</v>
      </c>
      <c r="AB48" s="1099">
        <v>16.575276802592487</v>
      </c>
      <c r="AC48" s="1099">
        <v>17.922396142433232</v>
      </c>
      <c r="AD48" s="1099">
        <v>17.583849329205368</v>
      </c>
      <c r="AE48" s="1099">
        <v>17.457816091954019</v>
      </c>
      <c r="AF48" s="1099">
        <v>17.645065141404512</v>
      </c>
      <c r="AG48" s="1099">
        <v>18.583414938795904</v>
      </c>
      <c r="AH48" s="1100">
        <v>17.700731087094724</v>
      </c>
      <c r="AI48" s="1104">
        <v>17.45362024592508</v>
      </c>
      <c r="AJ48" s="1104">
        <v>16.466182310469314</v>
      </c>
      <c r="AK48" s="1104">
        <v>18.375653689715282</v>
      </c>
      <c r="AL48" s="1104">
        <v>18.95430894308943</v>
      </c>
      <c r="AM48" s="1104">
        <v>19.040728649778011</v>
      </c>
      <c r="AN48" s="1104">
        <v>20.64379157427938</v>
      </c>
      <c r="AO48" s="1104">
        <v>19.857221006564554</v>
      </c>
      <c r="AP48" s="1104">
        <v>31.466620592948722</v>
      </c>
      <c r="AQ48" s="1104">
        <v>20.811836451836452</v>
      </c>
      <c r="AR48" s="1104">
        <v>29.53549816625917</v>
      </c>
      <c r="AS48" s="1104">
        <v>23.417108825121826</v>
      </c>
      <c r="AT48" s="1104">
        <v>16.869812181379125</v>
      </c>
      <c r="AU48" s="1098">
        <v>18.753536036036039</v>
      </c>
      <c r="AV48" s="1099">
        <v>21.679868908520945</v>
      </c>
      <c r="AW48" s="1099">
        <v>23.393529945553546</v>
      </c>
      <c r="AX48" s="1099">
        <v>17.557352499463633</v>
      </c>
      <c r="AY48" s="1099">
        <v>18.991279579316387</v>
      </c>
      <c r="AZ48" s="1099">
        <v>23.42773140191505</v>
      </c>
      <c r="BA48" s="1099">
        <v>21.815031084503797</v>
      </c>
      <c r="BB48" s="1099">
        <v>19.628599580712788</v>
      </c>
      <c r="BC48" s="1099">
        <v>18.354304902619209</v>
      </c>
      <c r="BD48" s="1099">
        <v>23.031096961572839</v>
      </c>
      <c r="BE48" s="1099">
        <v>21.77228303182963</v>
      </c>
      <c r="BF48" s="1099">
        <v>18.854600304529882</v>
      </c>
      <c r="BG48" s="1105">
        <v>15.584577278731835</v>
      </c>
      <c r="BH48" s="1105">
        <v>20.364465393202686</v>
      </c>
      <c r="BI48" s="1105">
        <v>18.439178846153848</v>
      </c>
      <c r="BJ48" s="1105">
        <v>17.953955528355774</v>
      </c>
      <c r="BK48" s="1105">
        <v>18.326949702541917</v>
      </c>
      <c r="BL48" s="1105">
        <v>19.749311410284712</v>
      </c>
      <c r="BM48" s="1105">
        <v>20.471151650533628</v>
      </c>
      <c r="BN48" s="1105">
        <v>19.884693926929589</v>
      </c>
      <c r="BO48" s="1105">
        <v>20.20655826017558</v>
      </c>
      <c r="BP48" s="1105">
        <v>19.027820317598437</v>
      </c>
      <c r="BQ48" s="1105">
        <v>19.432950522928405</v>
      </c>
      <c r="BR48" s="1105">
        <v>19.736747326955541</v>
      </c>
      <c r="BS48" s="1106">
        <v>19.437207720991442</v>
      </c>
      <c r="BT48" s="1107">
        <v>20.922668566001899</v>
      </c>
      <c r="BU48" s="1107">
        <v>20.86110282832712</v>
      </c>
      <c r="BV48" s="1107">
        <v>19.534416481069041</v>
      </c>
      <c r="BW48" s="1107">
        <v>20.964187120291623</v>
      </c>
      <c r="BX48" s="1107">
        <v>24.795499348675637</v>
      </c>
      <c r="BY48" s="1107">
        <v>20.970289136720357</v>
      </c>
      <c r="BZ48" s="1107">
        <v>20.280640243902432</v>
      </c>
      <c r="CA48" s="1107">
        <v>22.272818969667792</v>
      </c>
      <c r="CB48" s="1107">
        <v>21.398966059788716</v>
      </c>
      <c r="CC48" s="1107">
        <v>21.896354387452305</v>
      </c>
      <c r="CD48" s="1107">
        <v>21.36643972954068</v>
      </c>
      <c r="CE48" s="1087">
        <v>19.209483568075115</v>
      </c>
      <c r="CF48" s="1088">
        <v>21.132395785616126</v>
      </c>
      <c r="CG48" s="1088">
        <v>21.522134426885373</v>
      </c>
      <c r="CH48" s="1088">
        <v>20.747965752011552</v>
      </c>
      <c r="CI48" s="1088">
        <v>20.648832149200707</v>
      </c>
      <c r="CJ48" s="1088">
        <v>18.574673771204871</v>
      </c>
      <c r="CK48" s="1088">
        <v>19.73005029986458</v>
      </c>
      <c r="CL48" s="1088">
        <v>21.555904936014624</v>
      </c>
      <c r="CM48" s="1088">
        <v>21.372869747899159</v>
      </c>
      <c r="CN48" s="1088">
        <v>21.188755573571143</v>
      </c>
      <c r="CO48" s="1088">
        <v>32.324971528690313</v>
      </c>
      <c r="CP48" s="1088">
        <v>33.534864414843007</v>
      </c>
      <c r="CQ48" s="1108">
        <v>22.361619770002445</v>
      </c>
      <c r="CR48" s="1109">
        <v>28.580634887154599</v>
      </c>
      <c r="CS48" s="1109">
        <v>23.052075754333405</v>
      </c>
      <c r="CT48" s="1109">
        <v>27.177496944512345</v>
      </c>
      <c r="CU48" s="1109">
        <v>26.770078552725543</v>
      </c>
      <c r="CV48" s="1109">
        <v>24.007543686930838</v>
      </c>
      <c r="CW48" s="1109">
        <v>26.04</v>
      </c>
      <c r="CX48" s="1109">
        <v>26.159709276520193</v>
      </c>
      <c r="CY48" s="1109">
        <v>25.327587786259542</v>
      </c>
      <c r="CZ48" s="1109">
        <v>25.051411169415296</v>
      </c>
      <c r="DA48" s="1109">
        <v>31.307108629913937</v>
      </c>
      <c r="DB48" s="1110">
        <v>27.817665452987789</v>
      </c>
      <c r="DC48" s="1091">
        <v>28.936665282392028</v>
      </c>
      <c r="DD48" s="1091">
        <v>29.566802564102563</v>
      </c>
      <c r="DE48" s="1091">
        <v>31.035346555323592</v>
      </c>
      <c r="DF48" s="1091">
        <v>37.059133906633903</v>
      </c>
      <c r="DG48" s="1091">
        <v>36.134635514018697</v>
      </c>
      <c r="DH48" s="1091">
        <v>27.79</v>
      </c>
      <c r="DI48" s="1091">
        <v>26.075232059645852</v>
      </c>
      <c r="DJ48" s="1091">
        <v>21.047982074263764</v>
      </c>
      <c r="DK48" s="1091">
        <v>19.846618671620995</v>
      </c>
      <c r="DL48" s="1091">
        <v>31.060288555273932</v>
      </c>
      <c r="DM48" s="1091">
        <v>30.091994015233951</v>
      </c>
      <c r="DN48" s="1092">
        <v>26.66507438016529</v>
      </c>
      <c r="DO48" s="1091">
        <v>28.933324803509414</v>
      </c>
      <c r="DP48" s="1091">
        <v>29.931840544695802</v>
      </c>
      <c r="DQ48" s="1091">
        <v>30.889109482567179</v>
      </c>
      <c r="DR48" s="1091">
        <v>32.926191881918818</v>
      </c>
      <c r="DS48" s="1091">
        <v>35.750403386454181</v>
      </c>
      <c r="DT48" s="1091">
        <v>41.060596760443303</v>
      </c>
      <c r="DU48" s="1091">
        <v>32.95650780081214</v>
      </c>
      <c r="DV48" s="1091">
        <v>40.729124463519305</v>
      </c>
      <c r="DW48" s="1091">
        <v>23.417498264290675</v>
      </c>
      <c r="DX48" s="1091">
        <v>43.701149963950968</v>
      </c>
      <c r="DY48" s="1091">
        <v>36.90946112710818</v>
      </c>
      <c r="DZ48" s="1091">
        <v>31.984945750452077</v>
      </c>
      <c r="EA48" s="1099"/>
      <c r="EB48" s="1111">
        <v>14.377912828309929</v>
      </c>
      <c r="EC48" s="1112">
        <v>17.138044366319239</v>
      </c>
      <c r="ED48" s="1112">
        <v>16.854014227891579</v>
      </c>
      <c r="EE48" s="1112">
        <v>21.380199470838612</v>
      </c>
      <c r="EF48" s="1112">
        <v>20.527402057177447</v>
      </c>
      <c r="EG48" s="1112">
        <v>19.060607633695252</v>
      </c>
      <c r="EH48" s="1112">
        <v>21.225540149663171</v>
      </c>
      <c r="EI48" s="1112">
        <v>22.509160692522769</v>
      </c>
      <c r="EJ48" s="1112">
        <f t="shared" ref="EJ48:EJ55" si="6">AVERAGE(CQ48:DB48)</f>
        <v>26.137744325896332</v>
      </c>
      <c r="EK48" s="1113">
        <v>28.991805614750298</v>
      </c>
      <c r="EL48" s="1112">
        <f t="shared" ref="EL48:EL55" si="7">AVERAGE(DO48:DZ48)</f>
        <v>34.099179519143505</v>
      </c>
      <c r="EM48" s="1318">
        <v>34.859022449030853</v>
      </c>
    </row>
    <row r="49" spans="1:143">
      <c r="A49" s="998"/>
      <c r="B49" s="1166" t="s">
        <v>709</v>
      </c>
      <c r="C49" s="1115" t="s">
        <v>710</v>
      </c>
      <c r="D49" s="1098">
        <v>30.663554603854386</v>
      </c>
      <c r="E49" s="1099">
        <v>36.955094001790506</v>
      </c>
      <c r="F49" s="1099">
        <v>32.616737495913696</v>
      </c>
      <c r="G49" s="1099">
        <v>40.25921903599756</v>
      </c>
      <c r="H49" s="1099">
        <v>36.518493526873286</v>
      </c>
      <c r="I49" s="1099">
        <v>26.230894495412844</v>
      </c>
      <c r="J49" s="1100">
        <v>21.697181079789775</v>
      </c>
      <c r="K49" s="1101">
        <v>30.682429045337258</v>
      </c>
      <c r="L49" s="1102">
        <v>31.169600725952812</v>
      </c>
      <c r="M49" s="1102">
        <v>36.80977803738319</v>
      </c>
      <c r="N49" s="1102">
        <v>32.026247689463951</v>
      </c>
      <c r="O49" s="1102">
        <v>35.08398034398035</v>
      </c>
      <c r="P49" s="1102">
        <v>37.247542461005203</v>
      </c>
      <c r="Q49" s="1102">
        <v>38.826372549019609</v>
      </c>
      <c r="R49" s="1102">
        <v>40.134462081128746</v>
      </c>
      <c r="S49" s="1102">
        <v>37.091331828442442</v>
      </c>
      <c r="T49" s="1102">
        <v>37.020278637770893</v>
      </c>
      <c r="U49" s="1102">
        <v>35.055601659751034</v>
      </c>
      <c r="V49" s="1103">
        <v>36.44918115712931</v>
      </c>
      <c r="W49" s="1098">
        <v>37.095568459657699</v>
      </c>
      <c r="X49" s="1099">
        <v>40.605187349604677</v>
      </c>
      <c r="Y49" s="1099">
        <v>44.158534875569579</v>
      </c>
      <c r="Z49" s="1099">
        <v>42.1514800952705</v>
      </c>
      <c r="AA49" s="1099">
        <v>38.51913017575216</v>
      </c>
      <c r="AB49" s="1099">
        <v>35.613318559556788</v>
      </c>
      <c r="AC49" s="1099">
        <v>34.167202380952382</v>
      </c>
      <c r="AD49" s="1099">
        <v>34.257249812827553</v>
      </c>
      <c r="AE49" s="1099">
        <v>30.647767517653449</v>
      </c>
      <c r="AF49" s="1099">
        <v>38.741236062440265</v>
      </c>
      <c r="AG49" s="1099">
        <v>31.957315664288139</v>
      </c>
      <c r="AH49" s="1100">
        <v>35.809381663112994</v>
      </c>
      <c r="AI49" s="1104">
        <v>36.910688760806913</v>
      </c>
      <c r="AJ49" s="1104">
        <v>35.369221025965807</v>
      </c>
      <c r="AK49" s="1104">
        <v>34.362456973293774</v>
      </c>
      <c r="AL49" s="1104">
        <v>35.819912868632699</v>
      </c>
      <c r="AM49" s="1104">
        <v>36.516101040118876</v>
      </c>
      <c r="AN49" s="1104">
        <v>36.099358308605332</v>
      </c>
      <c r="AO49" s="1104">
        <v>39.794124012869254</v>
      </c>
      <c r="AP49" s="1104">
        <v>25.603870238863781</v>
      </c>
      <c r="AQ49" s="1104">
        <v>36.921202027516308</v>
      </c>
      <c r="AR49" s="1104">
        <v>40.598134328358199</v>
      </c>
      <c r="AS49" s="1104">
        <v>41.814983277591978</v>
      </c>
      <c r="AT49" s="1104">
        <v>39.692854874563352</v>
      </c>
      <c r="AU49" s="1098">
        <v>41.000099667774073</v>
      </c>
      <c r="AV49" s="1099">
        <v>34.773553491572066</v>
      </c>
      <c r="AW49" s="1099">
        <v>38.338818843089719</v>
      </c>
      <c r="AX49" s="1099">
        <v>42.430687522735546</v>
      </c>
      <c r="AY49" s="1099">
        <v>57.748418310383329</v>
      </c>
      <c r="AZ49" s="1099">
        <v>38.104858019953951</v>
      </c>
      <c r="BA49" s="1099">
        <v>47.011846927775792</v>
      </c>
      <c r="BB49" s="1099">
        <v>47.567380867072735</v>
      </c>
      <c r="BC49" s="1099">
        <v>38.049636433218517</v>
      </c>
      <c r="BD49" s="1099">
        <v>42.102387495705948</v>
      </c>
      <c r="BE49" s="1099">
        <v>39.87061569688769</v>
      </c>
      <c r="BF49" s="1099">
        <v>42.350243751928424</v>
      </c>
      <c r="BG49" s="1105">
        <v>38.424931846344485</v>
      </c>
      <c r="BH49" s="1105">
        <v>37.963675507020277</v>
      </c>
      <c r="BI49" s="1105">
        <v>32.891568381430368</v>
      </c>
      <c r="BJ49" s="1105">
        <v>36.098321812595998</v>
      </c>
      <c r="BK49" s="1105">
        <v>41.425926855503761</v>
      </c>
      <c r="BL49" s="1105">
        <v>39.941505039972192</v>
      </c>
      <c r="BM49" s="1105">
        <v>45.4436496350365</v>
      </c>
      <c r="BN49" s="1105">
        <v>44.659014844804311</v>
      </c>
      <c r="BO49" s="1105">
        <v>42.842230533832023</v>
      </c>
      <c r="BP49" s="1105">
        <v>39.770917169152654</v>
      </c>
      <c r="BQ49" s="1105">
        <v>40.370394736842115</v>
      </c>
      <c r="BR49" s="1105">
        <v>42.50162629757785</v>
      </c>
      <c r="BS49" s="1106">
        <v>47.069896454345773</v>
      </c>
      <c r="BT49" s="1107">
        <v>41.410822981366472</v>
      </c>
      <c r="BU49" s="1107">
        <v>44.992888563049853</v>
      </c>
      <c r="BV49" s="1107">
        <v>48.578899789768741</v>
      </c>
      <c r="BW49" s="1107">
        <v>45.133519713261656</v>
      </c>
      <c r="BX49" s="1107">
        <v>46.101032015065918</v>
      </c>
      <c r="BY49" s="1107">
        <v>45.394342937456081</v>
      </c>
      <c r="BZ49" s="1107">
        <v>45.680224069389226</v>
      </c>
      <c r="CA49" s="1107">
        <v>40.628307581746313</v>
      </c>
      <c r="CB49" s="1107">
        <v>53.763592567102549</v>
      </c>
      <c r="CC49" s="1107">
        <v>44.784411869860563</v>
      </c>
      <c r="CD49" s="1107">
        <v>48.615955013343495</v>
      </c>
      <c r="CE49" s="1087">
        <v>46.311208751793394</v>
      </c>
      <c r="CF49" s="1088">
        <v>44.097790277219772</v>
      </c>
      <c r="CG49" s="1088">
        <v>45.586119873817026</v>
      </c>
      <c r="CH49" s="1088">
        <v>49.79773598553345</v>
      </c>
      <c r="CI49" s="1088">
        <v>44.554300878477306</v>
      </c>
      <c r="CJ49" s="1088">
        <v>45.927278106508872</v>
      </c>
      <c r="CK49" s="1088">
        <v>41.859754182314788</v>
      </c>
      <c r="CL49" s="1088">
        <v>47.554809540761831</v>
      </c>
      <c r="CM49" s="1088">
        <v>45.47017673048601</v>
      </c>
      <c r="CN49" s="1088">
        <v>51.191899966431677</v>
      </c>
      <c r="CO49" s="1088">
        <v>51.155749588138384</v>
      </c>
      <c r="CP49" s="1088">
        <v>46.428254649499287</v>
      </c>
      <c r="CQ49" s="1108">
        <v>57.629416751441177</v>
      </c>
      <c r="CR49" s="1109">
        <v>59.348713826366556</v>
      </c>
      <c r="CS49" s="1109">
        <v>58.816780303030313</v>
      </c>
      <c r="CT49" s="1109">
        <v>62.699776649746191</v>
      </c>
      <c r="CU49" s="1109">
        <v>61.597632898696077</v>
      </c>
      <c r="CV49" s="1109">
        <v>66.623090007087171</v>
      </c>
      <c r="CW49" s="1109">
        <v>63.47</v>
      </c>
      <c r="CX49" s="1109">
        <v>63.206713656387663</v>
      </c>
      <c r="CY49" s="1109">
        <v>64.990323741007202</v>
      </c>
      <c r="CZ49" s="1109">
        <v>58.795153432458086</v>
      </c>
      <c r="DA49" s="1109">
        <v>52.209481668773698</v>
      </c>
      <c r="DB49" s="1110">
        <v>54.818362124120284</v>
      </c>
      <c r="DC49" s="1091">
        <v>55.219605399792314</v>
      </c>
      <c r="DD49" s="1091">
        <v>56.237237181851725</v>
      </c>
      <c r="DE49" s="1091">
        <v>54.164639142767093</v>
      </c>
      <c r="DF49" s="1091">
        <v>55.134077966101692</v>
      </c>
      <c r="DG49" s="1091">
        <v>52.215605468749999</v>
      </c>
      <c r="DH49" s="1091">
        <v>57.77</v>
      </c>
      <c r="DI49" s="1091">
        <v>74.142298611111116</v>
      </c>
      <c r="DJ49" s="1091">
        <v>58.686059957173448</v>
      </c>
      <c r="DK49" s="1091">
        <v>48.022385694884562</v>
      </c>
      <c r="DL49" s="1091">
        <v>53.128899937849596</v>
      </c>
      <c r="DM49" s="1091">
        <v>50.72749271986023</v>
      </c>
      <c r="DN49" s="1092">
        <v>68.461944743451738</v>
      </c>
      <c r="DO49" s="1091">
        <v>48.628437061300893</v>
      </c>
      <c r="DP49" s="1091">
        <v>49.105038481272445</v>
      </c>
      <c r="DQ49" s="1091">
        <v>44.231554677206852</v>
      </c>
      <c r="DR49" s="1091">
        <v>59.292321200510855</v>
      </c>
      <c r="DS49" s="1091">
        <v>49.950301257677687</v>
      </c>
      <c r="DT49" s="1091">
        <v>50.420594554084438</v>
      </c>
      <c r="DU49" s="1091">
        <v>46.134241272856798</v>
      </c>
      <c r="DV49" s="1091">
        <v>46.669425400739826</v>
      </c>
      <c r="DW49" s="1091">
        <v>44.400818249442104</v>
      </c>
      <c r="DX49" s="1091">
        <v>42.714694052203683</v>
      </c>
      <c r="DY49" s="1091">
        <v>45.742691054873461</v>
      </c>
      <c r="DZ49" s="1091">
        <v>43.663227443194351</v>
      </c>
      <c r="EA49" s="1099"/>
      <c r="EB49" s="1111">
        <v>31.567459111184537</v>
      </c>
      <c r="EC49" s="1112">
        <v>35.686224168721829</v>
      </c>
      <c r="ED49" s="1112">
        <v>36.694902292893815</v>
      </c>
      <c r="EE49" s="1112">
        <v>36.543562238749288</v>
      </c>
      <c r="EF49" s="1112">
        <v>42.382688556281295</v>
      </c>
      <c r="EG49" s="1112">
        <v>40.301120501403823</v>
      </c>
      <c r="EH49" s="1112">
        <v>46.075086237765589</v>
      </c>
      <c r="EI49" s="1112">
        <v>46.705840492596373</v>
      </c>
      <c r="EJ49" s="1112">
        <f t="shared" si="6"/>
        <v>60.350453754926207</v>
      </c>
      <c r="EK49" s="1113">
        <v>56.943267219205488</v>
      </c>
      <c r="EL49" s="1112">
        <f t="shared" si="7"/>
        <v>47.579445392113627</v>
      </c>
      <c r="EM49" s="1318">
        <v>48.125164872009584</v>
      </c>
    </row>
    <row r="50" spans="1:143">
      <c r="A50" s="998"/>
      <c r="B50" s="1166" t="s">
        <v>711</v>
      </c>
      <c r="C50" s="1115" t="s">
        <v>712</v>
      </c>
      <c r="D50" s="1098">
        <v>48.815710920177381</v>
      </c>
      <c r="E50" s="1099">
        <v>51.727302320974609</v>
      </c>
      <c r="F50" s="1099">
        <v>52.256752594246677</v>
      </c>
      <c r="G50" s="1099">
        <v>52.342234687083888</v>
      </c>
      <c r="H50" s="1099">
        <v>53.700575129857938</v>
      </c>
      <c r="I50" s="1099">
        <v>52.004917211931314</v>
      </c>
      <c r="J50" s="1100">
        <v>49.81668501615939</v>
      </c>
      <c r="K50" s="1101">
        <v>51.478076847932265</v>
      </c>
      <c r="L50" s="1102">
        <v>50.264289362831271</v>
      </c>
      <c r="M50" s="1102">
        <v>52.660708397329422</v>
      </c>
      <c r="N50" s="1102">
        <v>50.590336558824475</v>
      </c>
      <c r="O50" s="1102">
        <v>50.886000389004145</v>
      </c>
      <c r="P50" s="1102">
        <v>54.572606571659726</v>
      </c>
      <c r="Q50" s="1102">
        <v>52.670814451928962</v>
      </c>
      <c r="R50" s="1102">
        <v>50.252015441722342</v>
      </c>
      <c r="S50" s="1102">
        <v>54.776814264386516</v>
      </c>
      <c r="T50" s="1102">
        <v>55.297603433165094</v>
      </c>
      <c r="U50" s="1102">
        <v>52.772208797927163</v>
      </c>
      <c r="V50" s="1103">
        <v>50.028892427971641</v>
      </c>
      <c r="W50" s="1098">
        <v>53.945819163832773</v>
      </c>
      <c r="X50" s="1099">
        <v>57.355443968370075</v>
      </c>
      <c r="Y50" s="1099">
        <v>53.644768769160528</v>
      </c>
      <c r="Z50" s="1099">
        <v>56.252877994011939</v>
      </c>
      <c r="AA50" s="1099">
        <v>56.719937337432036</v>
      </c>
      <c r="AB50" s="1099">
        <v>57.222680514630802</v>
      </c>
      <c r="AC50" s="1099">
        <v>56.047555671061993</v>
      </c>
      <c r="AD50" s="1099">
        <v>55.92149503232929</v>
      </c>
      <c r="AE50" s="1099">
        <v>60.130479862896316</v>
      </c>
      <c r="AF50" s="1099">
        <v>61.70072212172493</v>
      </c>
      <c r="AG50" s="1099">
        <v>58.112622391316506</v>
      </c>
      <c r="AH50" s="1100">
        <v>53.478427700643415</v>
      </c>
      <c r="AI50" s="1104">
        <v>54.44476752573938</v>
      </c>
      <c r="AJ50" s="1104">
        <v>56.909100688628335</v>
      </c>
      <c r="AK50" s="1104">
        <v>56.620923051948076</v>
      </c>
      <c r="AL50" s="1104">
        <v>59.1947342264477</v>
      </c>
      <c r="AM50" s="1104">
        <v>55.213897151844655</v>
      </c>
      <c r="AN50" s="1104">
        <v>57.100632881674279</v>
      </c>
      <c r="AO50" s="1104">
        <v>55.129714268454784</v>
      </c>
      <c r="AP50" s="1104">
        <v>58.069099743597882</v>
      </c>
      <c r="AQ50" s="1104">
        <v>56.48076968476601</v>
      </c>
      <c r="AR50" s="1104">
        <v>57.873386627442194</v>
      </c>
      <c r="AS50" s="1104">
        <v>55.566167213114738</v>
      </c>
      <c r="AT50" s="1104">
        <v>51.109163557111273</v>
      </c>
      <c r="AU50" s="1098">
        <v>54.612597843249233</v>
      </c>
      <c r="AV50" s="1099">
        <v>56.798254607352114</v>
      </c>
      <c r="AW50" s="1099">
        <v>59.336869995848403</v>
      </c>
      <c r="AX50" s="1099">
        <v>54.406786863098283</v>
      </c>
      <c r="AY50" s="1099">
        <v>56.634850862950273</v>
      </c>
      <c r="AZ50" s="1099">
        <v>57.751981371969265</v>
      </c>
      <c r="BA50" s="1099">
        <v>55.058291978047635</v>
      </c>
      <c r="BB50" s="1099">
        <v>56.716845950758291</v>
      </c>
      <c r="BC50" s="1099">
        <v>56.20253326476827</v>
      </c>
      <c r="BD50" s="1099">
        <v>56.484649241146734</v>
      </c>
      <c r="BE50" s="1099">
        <v>54.980398592507164</v>
      </c>
      <c r="BF50" s="1099">
        <v>64.895020405600548</v>
      </c>
      <c r="BG50" s="1105">
        <v>62.710001961168871</v>
      </c>
      <c r="BH50" s="1105">
        <v>66.046117442928576</v>
      </c>
      <c r="BI50" s="1105">
        <v>63.107802460802091</v>
      </c>
      <c r="BJ50" s="1105">
        <v>55.550875408523972</v>
      </c>
      <c r="BK50" s="1105">
        <v>61.137853277579637</v>
      </c>
      <c r="BL50" s="1105">
        <v>57.804141536596454</v>
      </c>
      <c r="BM50" s="1105">
        <v>58.694559518944487</v>
      </c>
      <c r="BN50" s="1105">
        <v>60.268327397910745</v>
      </c>
      <c r="BO50" s="1105">
        <v>62.199787260629172</v>
      </c>
      <c r="BP50" s="1105">
        <v>59.787139757460473</v>
      </c>
      <c r="BQ50" s="1105">
        <v>61.902791254866727</v>
      </c>
      <c r="BR50" s="1105">
        <v>69.315164482643837</v>
      </c>
      <c r="BS50" s="1106">
        <v>62.237329620866731</v>
      </c>
      <c r="BT50" s="1107">
        <v>68.565813032702664</v>
      </c>
      <c r="BU50" s="1107">
        <v>69.942267780524503</v>
      </c>
      <c r="BV50" s="1107">
        <v>68.52014874032551</v>
      </c>
      <c r="BW50" s="1107">
        <v>65.421532650520575</v>
      </c>
      <c r="BX50" s="1107">
        <v>66.241077787684745</v>
      </c>
      <c r="BY50" s="1107">
        <v>64.51521370151012</v>
      </c>
      <c r="BZ50" s="1107">
        <v>64.723022358092194</v>
      </c>
      <c r="CA50" s="1107">
        <v>67.145676188319229</v>
      </c>
      <c r="CB50" s="1107">
        <v>71.810248753566029</v>
      </c>
      <c r="CC50" s="1107">
        <v>71.053559665568756</v>
      </c>
      <c r="CD50" s="1107">
        <v>87.964627995808428</v>
      </c>
      <c r="CE50" s="1087">
        <v>85.583227629987888</v>
      </c>
      <c r="CF50" s="1088">
        <v>86.761049830528663</v>
      </c>
      <c r="CG50" s="1088">
        <v>94.079647327637602</v>
      </c>
      <c r="CH50" s="1088">
        <v>57.324347607755598</v>
      </c>
      <c r="CI50" s="1088">
        <v>66.865699917840033</v>
      </c>
      <c r="CJ50" s="1088">
        <v>73.365094088259781</v>
      </c>
      <c r="CK50" s="1088">
        <v>72.295689968467755</v>
      </c>
      <c r="CL50" s="1088">
        <v>67.19919546390588</v>
      </c>
      <c r="CM50" s="1088">
        <v>70.901039314488969</v>
      </c>
      <c r="CN50" s="1088">
        <v>67.158503697936936</v>
      </c>
      <c r="CO50" s="1088">
        <v>71.234302151329672</v>
      </c>
      <c r="CP50" s="1088">
        <v>69.063824325915448</v>
      </c>
      <c r="CQ50" s="1108">
        <v>73.601822725758069</v>
      </c>
      <c r="CR50" s="1109">
        <v>79.694318577798768</v>
      </c>
      <c r="CS50" s="1109">
        <v>73.905118364822329</v>
      </c>
      <c r="CT50" s="1109">
        <v>77.249600461123094</v>
      </c>
      <c r="CU50" s="1109">
        <v>67.929841690818606</v>
      </c>
      <c r="CV50" s="1109">
        <v>67.262922689958259</v>
      </c>
      <c r="CW50" s="1109">
        <v>74.040000000000006</v>
      </c>
      <c r="CX50" s="1109">
        <v>71.802248654936761</v>
      </c>
      <c r="CY50" s="1109">
        <v>75.119684068634328</v>
      </c>
      <c r="CZ50" s="1109">
        <v>72.931713120691043</v>
      </c>
      <c r="DA50" s="1109">
        <v>74.299057773936923</v>
      </c>
      <c r="DB50" s="1110">
        <v>75.647766928770992</v>
      </c>
      <c r="DC50" s="1091">
        <v>76.703590847035088</v>
      </c>
      <c r="DD50" s="1091">
        <v>76.529944480102685</v>
      </c>
      <c r="DE50" s="1091">
        <v>75.407682203624674</v>
      </c>
      <c r="DF50" s="1091">
        <v>76.039366102523374</v>
      </c>
      <c r="DG50" s="1091">
        <v>77.279673835762509</v>
      </c>
      <c r="DH50" s="1091">
        <v>78.3</v>
      </c>
      <c r="DI50" s="1091">
        <v>80.191781516132878</v>
      </c>
      <c r="DJ50" s="1091">
        <v>74.571132693068606</v>
      </c>
      <c r="DK50" s="1091">
        <v>75.214338020695152</v>
      </c>
      <c r="DL50" s="1091">
        <v>75.976604294292471</v>
      </c>
      <c r="DM50" s="1091">
        <v>75.074646374766047</v>
      </c>
      <c r="DN50" s="1092">
        <v>73.570599204093241</v>
      </c>
      <c r="DO50" s="1091">
        <v>74.208191732866581</v>
      </c>
      <c r="DP50" s="1091">
        <v>79.766781995661603</v>
      </c>
      <c r="DQ50" s="1091">
        <v>82.028359295631574</v>
      </c>
      <c r="DR50" s="1091">
        <v>81.032361520074829</v>
      </c>
      <c r="DS50" s="1091">
        <v>78.781147017543873</v>
      </c>
      <c r="DT50" s="1091">
        <v>79.55399917444592</v>
      </c>
      <c r="DU50" s="1091">
        <v>76.29442075910147</v>
      </c>
      <c r="DV50" s="1091">
        <v>77.327578902144822</v>
      </c>
      <c r="DW50" s="1091">
        <v>77.270342236062035</v>
      </c>
      <c r="DX50" s="1091">
        <v>95.095398510953089</v>
      </c>
      <c r="DY50" s="1091">
        <v>77.847768769051882</v>
      </c>
      <c r="DZ50" s="1091">
        <v>78.058390613973188</v>
      </c>
      <c r="EA50" s="1099"/>
      <c r="EB50" s="1111">
        <v>51.567370203624755</v>
      </c>
      <c r="EC50" s="1112">
        <v>52.22411503455627</v>
      </c>
      <c r="ED50" s="1112">
        <v>56.79512585219765</v>
      </c>
      <c r="EE50" s="1112">
        <v>56.112689856794368</v>
      </c>
      <c r="EF50" s="1112">
        <v>56.996282559318942</v>
      </c>
      <c r="EG50" s="1112">
        <v>61.52841068399659</v>
      </c>
      <c r="EH50" s="1112">
        <v>68.724860057159759</v>
      </c>
      <c r="EI50" s="1112">
        <v>73.514571638265224</v>
      </c>
      <c r="EJ50" s="1112">
        <f t="shared" si="6"/>
        <v>73.623674588104109</v>
      </c>
      <c r="EK50" s="1113">
        <v>76.31684360137757</v>
      </c>
      <c r="EL50" s="1112">
        <f t="shared" si="7"/>
        <v>79.77206171062592</v>
      </c>
      <c r="EM50" s="1318">
        <v>79.360874343402529</v>
      </c>
    </row>
    <row r="51" spans="1:143">
      <c r="A51" s="998"/>
      <c r="B51" s="1166" t="s">
        <v>713</v>
      </c>
      <c r="C51" s="1115" t="s">
        <v>714</v>
      </c>
      <c r="D51" s="1098">
        <v>21.019566736547869</v>
      </c>
      <c r="E51" s="1099">
        <v>24.185719267654751</v>
      </c>
      <c r="F51" s="1099">
        <v>24.08273231622746</v>
      </c>
      <c r="G51" s="1099">
        <v>24.277854232684472</v>
      </c>
      <c r="H51" s="1099">
        <v>22.923637515842838</v>
      </c>
      <c r="I51" s="1099">
        <v>21.179868959868958</v>
      </c>
      <c r="J51" s="1100">
        <v>22.989872302950243</v>
      </c>
      <c r="K51" s="1101">
        <v>24.038530465949822</v>
      </c>
      <c r="L51" s="1102">
        <v>25.803008752735224</v>
      </c>
      <c r="M51" s="1102">
        <v>20.811996507566935</v>
      </c>
      <c r="N51" s="1102">
        <v>15.761279896574015</v>
      </c>
      <c r="O51" s="1102">
        <v>17.077643120187474</v>
      </c>
      <c r="P51" s="1102">
        <v>19.278106587222773</v>
      </c>
      <c r="Q51" s="1102">
        <v>19.977914248871695</v>
      </c>
      <c r="R51" s="1102">
        <v>19.383770099213134</v>
      </c>
      <c r="S51" s="1102">
        <v>22.716121399176956</v>
      </c>
      <c r="T51" s="1102">
        <v>22.71800496688741</v>
      </c>
      <c r="U51" s="1102">
        <v>22.04919117647059</v>
      </c>
      <c r="V51" s="1103">
        <v>22.262660503338466</v>
      </c>
      <c r="W51" s="1098">
        <v>22.714119019836641</v>
      </c>
      <c r="X51" s="1099">
        <v>21.698373117884685</v>
      </c>
      <c r="Y51" s="1099">
        <v>21.464406779661019</v>
      </c>
      <c r="Z51" s="1099">
        <v>19.565527055516515</v>
      </c>
      <c r="AA51" s="1099">
        <v>21.054112808460633</v>
      </c>
      <c r="AB51" s="1099">
        <v>20.999411080976365</v>
      </c>
      <c r="AC51" s="1099">
        <v>20.360399866711091</v>
      </c>
      <c r="AD51" s="1099">
        <v>22.96928475033738</v>
      </c>
      <c r="AE51" s="1099">
        <v>22.651949331456724</v>
      </c>
      <c r="AF51" s="1099">
        <v>22.445490076335876</v>
      </c>
      <c r="AG51" s="1099">
        <v>23.61590964098427</v>
      </c>
      <c r="AH51" s="1100">
        <v>21.195568987077944</v>
      </c>
      <c r="AI51" s="1104">
        <v>24.144574923547403</v>
      </c>
      <c r="AJ51" s="1104">
        <v>22.262437613019891</v>
      </c>
      <c r="AK51" s="1104">
        <v>19.956879844961239</v>
      </c>
      <c r="AL51" s="1104">
        <v>22.128384865744511</v>
      </c>
      <c r="AM51" s="1104">
        <v>21.284387218045111</v>
      </c>
      <c r="AN51" s="1104">
        <v>21.927624071903082</v>
      </c>
      <c r="AO51" s="1104">
        <v>22.907436281859074</v>
      </c>
      <c r="AP51" s="1104">
        <v>22.09811861743912</v>
      </c>
      <c r="AQ51" s="1104">
        <v>27.290032979113224</v>
      </c>
      <c r="AR51" s="1104">
        <v>22.637001315212625</v>
      </c>
      <c r="AS51" s="1104">
        <v>25.242012808783166</v>
      </c>
      <c r="AT51" s="1104">
        <v>21.067488027862431</v>
      </c>
      <c r="AU51" s="1098">
        <v>19.969397542608004</v>
      </c>
      <c r="AV51" s="1099">
        <v>23.476007312614264</v>
      </c>
      <c r="AW51" s="1099">
        <v>20.775332302936633</v>
      </c>
      <c r="AX51" s="1099">
        <v>25.121093394077445</v>
      </c>
      <c r="AY51" s="1099">
        <v>21.557007077856419</v>
      </c>
      <c r="AZ51" s="1099">
        <v>21.46512350035286</v>
      </c>
      <c r="BA51" s="1099">
        <v>21.557246627464551</v>
      </c>
      <c r="BB51" s="1099">
        <v>22.575876879026485</v>
      </c>
      <c r="BC51" s="1099">
        <v>22.354652849740933</v>
      </c>
      <c r="BD51" s="1099">
        <v>22.221959055118109</v>
      </c>
      <c r="BE51" s="1099">
        <v>22.815721271393649</v>
      </c>
      <c r="BF51" s="1099">
        <v>22.540032025620498</v>
      </c>
      <c r="BG51" s="1105">
        <v>21.395281456953644</v>
      </c>
      <c r="BH51" s="1105">
        <v>21.480344440284536</v>
      </c>
      <c r="BI51" s="1105">
        <v>21.935934144595564</v>
      </c>
      <c r="BJ51" s="1105">
        <v>20.299403943145347</v>
      </c>
      <c r="BK51" s="1105">
        <v>22.496320523303357</v>
      </c>
      <c r="BL51" s="1105">
        <v>27.489988623435725</v>
      </c>
      <c r="BM51" s="1105">
        <v>22.537563822027717</v>
      </c>
      <c r="BN51" s="1105">
        <v>22.463028936490044</v>
      </c>
      <c r="BO51" s="1105">
        <v>23.396771771771771</v>
      </c>
      <c r="BP51" s="1105">
        <v>21.35009609224856</v>
      </c>
      <c r="BQ51" s="1105">
        <v>20.752374491180461</v>
      </c>
      <c r="BR51" s="1105">
        <v>20.409979770734996</v>
      </c>
      <c r="BS51" s="1106">
        <v>23.258446534308604</v>
      </c>
      <c r="BT51" s="1107">
        <v>22.981035163966808</v>
      </c>
      <c r="BU51" s="1107">
        <v>21.887952697708791</v>
      </c>
      <c r="BV51" s="1107">
        <v>22.206168446026098</v>
      </c>
      <c r="BW51" s="1107">
        <v>23.39031210986267</v>
      </c>
      <c r="BX51" s="1107">
        <v>23.450890840652448</v>
      </c>
      <c r="BY51" s="1107">
        <v>23.88469730586371</v>
      </c>
      <c r="BZ51" s="1107">
        <v>23.627123834886813</v>
      </c>
      <c r="CA51" s="1107">
        <v>23.439910799617714</v>
      </c>
      <c r="CB51" s="1107">
        <v>23.798634812286686</v>
      </c>
      <c r="CC51" s="1107">
        <v>25.152152481104174</v>
      </c>
      <c r="CD51" s="1107">
        <v>19.155114116652577</v>
      </c>
      <c r="CE51" s="1087">
        <v>23.412094513416097</v>
      </c>
      <c r="CF51" s="1088">
        <v>25.250107991360693</v>
      </c>
      <c r="CG51" s="1088">
        <v>25.257812500000007</v>
      </c>
      <c r="CH51" s="1088">
        <v>24.799290220820183</v>
      </c>
      <c r="CI51" s="1088">
        <v>23.311332904056666</v>
      </c>
      <c r="CJ51" s="1088">
        <v>24.324456114028507</v>
      </c>
      <c r="CK51" s="1088">
        <v>24.205582798943791</v>
      </c>
      <c r="CL51" s="1088">
        <v>25.950078003120126</v>
      </c>
      <c r="CM51" s="1088">
        <v>26.526189384010486</v>
      </c>
      <c r="CN51" s="1088">
        <v>25.745081174438692</v>
      </c>
      <c r="CO51" s="1088">
        <v>29.508292313517611</v>
      </c>
      <c r="CP51" s="1088">
        <v>29.438227091633461</v>
      </c>
      <c r="CQ51" s="1108">
        <v>31.177754532775456</v>
      </c>
      <c r="CR51" s="1109">
        <v>33.028493862134091</v>
      </c>
      <c r="CS51" s="1109">
        <v>31.137540792540793</v>
      </c>
      <c r="CT51" s="1109">
        <v>38.953478260869552</v>
      </c>
      <c r="CU51" s="1109">
        <v>34.735225382932171</v>
      </c>
      <c r="CV51" s="1109">
        <v>36.286044150110378</v>
      </c>
      <c r="CW51" s="1109">
        <v>36.76</v>
      </c>
      <c r="CX51" s="1109">
        <v>38.649972131908967</v>
      </c>
      <c r="CY51" s="1109">
        <v>37.20886496350365</v>
      </c>
      <c r="CZ51" s="1109">
        <v>77.318894230769217</v>
      </c>
      <c r="DA51" s="1109">
        <v>41.036731813246476</v>
      </c>
      <c r="DB51" s="1110">
        <v>32.389066381156319</v>
      </c>
      <c r="DC51" s="1091">
        <v>35.769762693156729</v>
      </c>
      <c r="DD51" s="1091">
        <v>34.971859479103571</v>
      </c>
      <c r="DE51" s="1091">
        <v>29.717440119760479</v>
      </c>
      <c r="DF51" s="1091">
        <v>33.506112722751759</v>
      </c>
      <c r="DG51" s="1091">
        <v>32.729995869475424</v>
      </c>
      <c r="DH51" s="1091">
        <v>20.85</v>
      </c>
      <c r="DI51" s="1091">
        <v>18.952360329146817</v>
      </c>
      <c r="DJ51" s="1091">
        <v>23.078235294117647</v>
      </c>
      <c r="DK51" s="1091">
        <v>28.729933598937581</v>
      </c>
      <c r="DL51" s="1091">
        <v>23.625152380952382</v>
      </c>
      <c r="DM51" s="1091">
        <v>25.21047952047952</v>
      </c>
      <c r="DN51" s="1092">
        <v>24.481665198237884</v>
      </c>
      <c r="DO51" s="1091">
        <v>19.124705882352941</v>
      </c>
      <c r="DP51" s="1091">
        <v>19.127229488703925</v>
      </c>
      <c r="DQ51" s="1091">
        <v>20.37120470127326</v>
      </c>
      <c r="DR51" s="1091">
        <v>27.15178306092125</v>
      </c>
      <c r="DS51" s="1091">
        <v>22.237400530503979</v>
      </c>
      <c r="DT51" s="1091">
        <v>22.293729372937293</v>
      </c>
      <c r="DU51" s="1091">
        <v>15.616740088105727</v>
      </c>
      <c r="DV51" s="1091">
        <v>16.317523056653492</v>
      </c>
      <c r="DW51" s="1091">
        <v>15.985294117647058</v>
      </c>
      <c r="DX51" s="1091">
        <v>16.032818532818531</v>
      </c>
      <c r="DY51" s="1091">
        <v>20.127610208816705</v>
      </c>
      <c r="DZ51" s="1091">
        <v>21.498017446471053</v>
      </c>
      <c r="EA51" s="1099"/>
      <c r="EB51" s="1111">
        <v>23.02054432512108</v>
      </c>
      <c r="EC51" s="1112">
        <v>20.579579462875202</v>
      </c>
      <c r="ED51" s="1112">
        <v>21.755483215257229</v>
      </c>
      <c r="EE51" s="1112">
        <v>22.734416627003014</v>
      </c>
      <c r="EF51" s="1112">
        <v>22.178812125484669</v>
      </c>
      <c r="EG51" s="1112">
        <v>22.153752790870751</v>
      </c>
      <c r="EH51" s="1112">
        <v>23.121536375699538</v>
      </c>
      <c r="EI51" s="1112">
        <v>25.560273885954651</v>
      </c>
      <c r="EJ51" s="1112">
        <f t="shared" si="6"/>
        <v>39.056838875162256</v>
      </c>
      <c r="EK51" s="1113">
        <v>27.418153293787071</v>
      </c>
      <c r="EL51" s="1112">
        <f t="shared" si="7"/>
        <v>19.657004707267106</v>
      </c>
      <c r="EM51" s="1318">
        <v>20.331502209581874</v>
      </c>
    </row>
    <row r="52" spans="1:143">
      <c r="A52" s="998"/>
      <c r="B52" s="1166" t="s">
        <v>715</v>
      </c>
      <c r="C52" s="1115" t="s">
        <v>716</v>
      </c>
      <c r="D52" s="1098">
        <v>92.343905890095428</v>
      </c>
      <c r="E52" s="1099">
        <v>94.204297965360681</v>
      </c>
      <c r="F52" s="1099">
        <v>91.512443977591033</v>
      </c>
      <c r="G52" s="1099">
        <v>98.864451219512191</v>
      </c>
      <c r="H52" s="1099">
        <v>99.5836951639467</v>
      </c>
      <c r="I52" s="1099">
        <v>88.91393956670467</v>
      </c>
      <c r="J52" s="1100">
        <v>80.275349922239513</v>
      </c>
      <c r="K52" s="1101">
        <v>99.402064516129045</v>
      </c>
      <c r="L52" s="1102">
        <v>85.602799664710815</v>
      </c>
      <c r="M52" s="1102">
        <v>93.226607387140902</v>
      </c>
      <c r="N52" s="1102">
        <v>91.447125353440157</v>
      </c>
      <c r="O52" s="1102">
        <v>94.291619477286872</v>
      </c>
      <c r="P52" s="1102">
        <v>101.53751813266518</v>
      </c>
      <c r="Q52" s="1102">
        <v>94.045496772161854</v>
      </c>
      <c r="R52" s="1102">
        <v>93.262006369426757</v>
      </c>
      <c r="S52" s="1102">
        <v>94.645177840730241</v>
      </c>
      <c r="T52" s="1102">
        <v>92.767725905583902</v>
      </c>
      <c r="U52" s="1102">
        <v>84.263103406765381</v>
      </c>
      <c r="V52" s="1103">
        <v>80.900876601483475</v>
      </c>
      <c r="W52" s="1098">
        <v>94.753411860276202</v>
      </c>
      <c r="X52" s="1099">
        <v>99.629672060718889</v>
      </c>
      <c r="Y52" s="1099">
        <v>97.477634444630596</v>
      </c>
      <c r="Z52" s="1099">
        <v>98.036525699414454</v>
      </c>
      <c r="AA52" s="1099">
        <v>101.24470682730924</v>
      </c>
      <c r="AB52" s="1099">
        <v>110.53189854859993</v>
      </c>
      <c r="AC52" s="1099">
        <v>106.85050671049028</v>
      </c>
      <c r="AD52" s="1099">
        <v>103.35514526201466</v>
      </c>
      <c r="AE52" s="1099">
        <v>112.55599095278484</v>
      </c>
      <c r="AF52" s="1099">
        <v>113.64046652572232</v>
      </c>
      <c r="AG52" s="1099">
        <v>108.42590994120791</v>
      </c>
      <c r="AH52" s="1100">
        <v>104.96004582651391</v>
      </c>
      <c r="AI52" s="1104">
        <v>100.94664666809514</v>
      </c>
      <c r="AJ52" s="1104">
        <v>94.859879670677643</v>
      </c>
      <c r="AK52" s="1104">
        <v>111.95393858477971</v>
      </c>
      <c r="AL52" s="1104">
        <v>94.069968539325842</v>
      </c>
      <c r="AM52" s="1104">
        <v>91.274771838331162</v>
      </c>
      <c r="AN52" s="1104">
        <v>90.295439739413681</v>
      </c>
      <c r="AO52" s="1104">
        <v>94.849317465873298</v>
      </c>
      <c r="AP52" s="1104">
        <v>94.850559270516726</v>
      </c>
      <c r="AQ52" s="1104">
        <v>91.826881909106859</v>
      </c>
      <c r="AR52" s="1104">
        <v>93.117399731623678</v>
      </c>
      <c r="AS52" s="1104">
        <v>93.093314203730273</v>
      </c>
      <c r="AT52" s="1104">
        <v>88.00629724535554</v>
      </c>
      <c r="AU52" s="1098">
        <v>87.266741309725319</v>
      </c>
      <c r="AV52" s="1099">
        <v>92.24767104666968</v>
      </c>
      <c r="AW52" s="1099">
        <v>95.732789212207237</v>
      </c>
      <c r="AX52" s="1099">
        <v>94.925695876288671</v>
      </c>
      <c r="AY52" s="1099">
        <v>93.025987290583473</v>
      </c>
      <c r="AZ52" s="1099">
        <v>91.753233219567676</v>
      </c>
      <c r="BA52" s="1099">
        <v>94.33199527744982</v>
      </c>
      <c r="BB52" s="1099">
        <v>94.42318946598391</v>
      </c>
      <c r="BC52" s="1099">
        <v>93.074763799104943</v>
      </c>
      <c r="BD52" s="1099">
        <v>97.067184296619388</v>
      </c>
      <c r="BE52" s="1099">
        <v>95.928607214428865</v>
      </c>
      <c r="BF52" s="1099">
        <v>93.689001165954139</v>
      </c>
      <c r="BG52" s="1105">
        <v>84.896178592904391</v>
      </c>
      <c r="BH52" s="1105">
        <v>99.38677705345502</v>
      </c>
      <c r="BI52" s="1105">
        <v>101.23788239109287</v>
      </c>
      <c r="BJ52" s="1105">
        <v>93.611214460311331</v>
      </c>
      <c r="BK52" s="1105">
        <v>89.818456781825518</v>
      </c>
      <c r="BL52" s="1105">
        <v>92.352750675913953</v>
      </c>
      <c r="BM52" s="1105">
        <v>88.606343612334797</v>
      </c>
      <c r="BN52" s="1105">
        <v>94.002564486411799</v>
      </c>
      <c r="BO52" s="1105">
        <v>89.506207501645108</v>
      </c>
      <c r="BP52" s="1105">
        <v>94.368901087519419</v>
      </c>
      <c r="BQ52" s="1105">
        <v>131.67107036771486</v>
      </c>
      <c r="BR52" s="1105">
        <v>120.93001960235226</v>
      </c>
      <c r="BS52" s="1106">
        <v>135.68780487804878</v>
      </c>
      <c r="BT52" s="1107">
        <v>136.19044294990724</v>
      </c>
      <c r="BU52" s="1107">
        <v>134.31385114581224</v>
      </c>
      <c r="BV52" s="1107">
        <v>137.45952657119187</v>
      </c>
      <c r="BW52" s="1107">
        <v>97.739192478970807</v>
      </c>
      <c r="BX52" s="1107">
        <v>98.005387971921834</v>
      </c>
      <c r="BY52" s="1107">
        <v>95.884451351605918</v>
      </c>
      <c r="BZ52" s="1107">
        <v>95.981701056869653</v>
      </c>
      <c r="CA52" s="1107">
        <v>96.059921138877499</v>
      </c>
      <c r="CB52" s="1107">
        <v>97.685911546928153</v>
      </c>
      <c r="CC52" s="1107">
        <v>106.06822025934974</v>
      </c>
      <c r="CD52" s="1107">
        <v>99.66298873965539</v>
      </c>
      <c r="CE52" s="1087">
        <v>103.22110774665657</v>
      </c>
      <c r="CF52" s="1088">
        <v>110.28583655913978</v>
      </c>
      <c r="CG52" s="1088">
        <v>114.32904589371979</v>
      </c>
      <c r="CH52" s="1088">
        <v>97.441100794272288</v>
      </c>
      <c r="CI52" s="1088">
        <v>101.74074947181141</v>
      </c>
      <c r="CJ52" s="1088">
        <v>101.78893513513512</v>
      </c>
      <c r="CK52" s="1088">
        <v>96.947561540079946</v>
      </c>
      <c r="CL52" s="1088">
        <v>98.725429139382612</v>
      </c>
      <c r="CM52" s="1088">
        <v>96.873078495502867</v>
      </c>
      <c r="CN52" s="1088">
        <v>94.791100645029189</v>
      </c>
      <c r="CO52" s="1088">
        <v>98.546361237950265</v>
      </c>
      <c r="CP52" s="1088">
        <v>94.084029363784666</v>
      </c>
      <c r="CQ52" s="1108">
        <v>110.87359695523158</v>
      </c>
      <c r="CR52" s="1109">
        <v>108.74323741845295</v>
      </c>
      <c r="CS52" s="1109">
        <v>105.91180981595092</v>
      </c>
      <c r="CT52" s="1109">
        <v>107.54753761969904</v>
      </c>
      <c r="CU52" s="1109">
        <v>104.68934547030776</v>
      </c>
      <c r="CV52" s="1109">
        <v>105.45280839587242</v>
      </c>
      <c r="CW52" s="1109">
        <v>104.65</v>
      </c>
      <c r="CX52" s="1109">
        <v>107.3406830477908</v>
      </c>
      <c r="CY52" s="1109">
        <v>110.65485128744089</v>
      </c>
      <c r="CZ52" s="1109">
        <v>102.32971064094586</v>
      </c>
      <c r="DA52" s="1109">
        <v>109.98851664776828</v>
      </c>
      <c r="DB52" s="1110">
        <v>103.06319018404909</v>
      </c>
      <c r="DC52" s="1091">
        <v>107.15794917635039</v>
      </c>
      <c r="DD52" s="1091">
        <v>109.31958964976477</v>
      </c>
      <c r="DE52" s="1091">
        <v>109.16498605688791</v>
      </c>
      <c r="DF52" s="1091">
        <v>107.28706401766004</v>
      </c>
      <c r="DG52" s="1091">
        <v>109.4662537276342</v>
      </c>
      <c r="DH52" s="1091">
        <v>106.2</v>
      </c>
      <c r="DI52" s="1091">
        <v>103.96026370485842</v>
      </c>
      <c r="DJ52" s="1091">
        <v>121.53031575672733</v>
      </c>
      <c r="DK52" s="1091">
        <v>102.758324278643</v>
      </c>
      <c r="DL52" s="1091">
        <v>102.25150921921238</v>
      </c>
      <c r="DM52" s="1091">
        <v>104.90606493771696</v>
      </c>
      <c r="DN52" s="1092">
        <v>84.206818109610793</v>
      </c>
      <c r="DO52" s="1091">
        <v>82.704339225589223</v>
      </c>
      <c r="DP52" s="1091">
        <v>97.445147427854437</v>
      </c>
      <c r="DQ52" s="1091">
        <v>94.177304516755711</v>
      </c>
      <c r="DR52" s="1091">
        <v>95.858297069915864</v>
      </c>
      <c r="DS52" s="1091">
        <v>90.616468736335804</v>
      </c>
      <c r="DT52" s="1091">
        <v>94.057603087930715</v>
      </c>
      <c r="DU52" s="1091">
        <v>95.537743800111869</v>
      </c>
      <c r="DV52" s="1091">
        <v>91.759096916299555</v>
      </c>
      <c r="DW52" s="1091">
        <v>93.215381932725847</v>
      </c>
      <c r="DX52" s="1091">
        <v>131.77419559311804</v>
      </c>
      <c r="DY52" s="1091">
        <v>94.724804435131844</v>
      </c>
      <c r="DZ52" s="1091">
        <v>91.978615837277744</v>
      </c>
      <c r="EA52" s="1099"/>
      <c r="EB52" s="1111">
        <v>93.726228667558473</v>
      </c>
      <c r="EC52" s="1112">
        <v>92.132110765292026</v>
      </c>
      <c r="ED52" s="1112">
        <v>104.75139583149907</v>
      </c>
      <c r="EE52" s="1112">
        <v>95.242758248150906</v>
      </c>
      <c r="EF52" s="1112">
        <v>93.663476247280911</v>
      </c>
      <c r="EG52" s="1112">
        <v>98.676079278137081</v>
      </c>
      <c r="EH52" s="1112">
        <v>110.01863371610705</v>
      </c>
      <c r="EI52" s="1112">
        <v>100.85798587446411</v>
      </c>
      <c r="EJ52" s="1112">
        <f t="shared" si="6"/>
        <v>106.7704406236258</v>
      </c>
      <c r="EK52" s="1113">
        <v>105.76149863875676</v>
      </c>
      <c r="EL52" s="1112">
        <f t="shared" si="7"/>
        <v>96.154083214920547</v>
      </c>
      <c r="EM52" s="1318">
        <v>94.882684209130147</v>
      </c>
    </row>
    <row r="53" spans="1:143">
      <c r="A53" s="998"/>
      <c r="B53" s="1166" t="s">
        <v>717</v>
      </c>
      <c r="C53" s="1115" t="s">
        <v>718</v>
      </c>
      <c r="D53" s="1098">
        <v>45.687967452572295</v>
      </c>
      <c r="E53" s="1099">
        <v>47.718710335359873</v>
      </c>
      <c r="F53" s="1099">
        <v>46.791080798326085</v>
      </c>
      <c r="G53" s="1099">
        <v>49.250836500253939</v>
      </c>
      <c r="H53" s="1099">
        <v>47.580639546488882</v>
      </c>
      <c r="I53" s="1099">
        <v>46.451141935015954</v>
      </c>
      <c r="J53" s="1100">
        <v>45.497040930549467</v>
      </c>
      <c r="K53" s="1101">
        <v>48.654772291569046</v>
      </c>
      <c r="L53" s="1102">
        <v>49.798608304284528</v>
      </c>
      <c r="M53" s="1102">
        <v>47.711044688644684</v>
      </c>
      <c r="N53" s="1102">
        <v>47.039456799842554</v>
      </c>
      <c r="O53" s="1102">
        <v>47.571212705237016</v>
      </c>
      <c r="P53" s="1102">
        <v>45.928969024338016</v>
      </c>
      <c r="Q53" s="1102">
        <v>48.953356595242781</v>
      </c>
      <c r="R53" s="1102">
        <v>49.429625068794728</v>
      </c>
      <c r="S53" s="1102">
        <v>54.654578409241815</v>
      </c>
      <c r="T53" s="1102">
        <v>48.917046943781699</v>
      </c>
      <c r="U53" s="1102">
        <v>51.481315127560144</v>
      </c>
      <c r="V53" s="1103">
        <v>49.431742007601159</v>
      </c>
      <c r="W53" s="1098">
        <v>50.679052924791073</v>
      </c>
      <c r="X53" s="1099">
        <v>55.415017595640833</v>
      </c>
      <c r="Y53" s="1099">
        <v>55.384701413800386</v>
      </c>
      <c r="Z53" s="1099">
        <v>56.886536100762825</v>
      </c>
      <c r="AA53" s="1099">
        <v>54.890666829762672</v>
      </c>
      <c r="AB53" s="1099">
        <v>55.540363135398636</v>
      </c>
      <c r="AC53" s="1099">
        <v>54.832079986993975</v>
      </c>
      <c r="AD53" s="1099">
        <v>53.362287901891449</v>
      </c>
      <c r="AE53" s="1099">
        <v>55.199305130875956</v>
      </c>
      <c r="AF53" s="1099">
        <v>55.661216510492288</v>
      </c>
      <c r="AG53" s="1099">
        <v>59.968669096352251</v>
      </c>
      <c r="AH53" s="1100">
        <v>57.840616609608794</v>
      </c>
      <c r="AI53" s="1104">
        <v>55.151040280633865</v>
      </c>
      <c r="AJ53" s="1104">
        <v>59.278709253633295</v>
      </c>
      <c r="AK53" s="1104">
        <v>55.137322856034125</v>
      </c>
      <c r="AL53" s="1104">
        <v>53.294933478142816</v>
      </c>
      <c r="AM53" s="1104">
        <v>53.723045345104339</v>
      </c>
      <c r="AN53" s="1104">
        <v>53.065999999999995</v>
      </c>
      <c r="AO53" s="1104">
        <v>54.363774041937809</v>
      </c>
      <c r="AP53" s="1104">
        <v>53.324050664932081</v>
      </c>
      <c r="AQ53" s="1104">
        <v>55.935927058309701</v>
      </c>
      <c r="AR53" s="1104">
        <v>54.688603517831218</v>
      </c>
      <c r="AS53" s="1104">
        <v>55.629755554782847</v>
      </c>
      <c r="AT53" s="1104">
        <v>52.209314516129034</v>
      </c>
      <c r="AU53" s="1098">
        <v>58.200083283759675</v>
      </c>
      <c r="AV53" s="1099">
        <v>60.313548989455192</v>
      </c>
      <c r="AW53" s="1099">
        <v>59.942524143985963</v>
      </c>
      <c r="AX53" s="1099">
        <v>59.057691846099551</v>
      </c>
      <c r="AY53" s="1099">
        <v>59.042335671956948</v>
      </c>
      <c r="AZ53" s="1099">
        <v>58.690879997189619</v>
      </c>
      <c r="BA53" s="1099">
        <v>60.644870866444521</v>
      </c>
      <c r="BB53" s="1099">
        <v>58.141259731301126</v>
      </c>
      <c r="BC53" s="1099">
        <v>59.278136645962768</v>
      </c>
      <c r="BD53" s="1099">
        <v>60.769155937932091</v>
      </c>
      <c r="BE53" s="1099">
        <v>60.672764714922373</v>
      </c>
      <c r="BF53" s="1099">
        <v>58.27930987098248</v>
      </c>
      <c r="BG53" s="1105">
        <v>59.176160920424813</v>
      </c>
      <c r="BH53" s="1105">
        <v>60.618621134896372</v>
      </c>
      <c r="BI53" s="1105">
        <v>61.550008239581686</v>
      </c>
      <c r="BJ53" s="1105">
        <v>62.196669991401535</v>
      </c>
      <c r="BK53" s="1105">
        <v>60.785826027217986</v>
      </c>
      <c r="BL53" s="1105">
        <v>62.028211469054938</v>
      </c>
      <c r="BM53" s="1105">
        <v>61.70243065379173</v>
      </c>
      <c r="BN53" s="1105">
        <v>60.629015380888944</v>
      </c>
      <c r="BO53" s="1105">
        <v>60.252283154349627</v>
      </c>
      <c r="BP53" s="1105">
        <v>62.280251286449428</v>
      </c>
      <c r="BQ53" s="1105">
        <v>63.056866331096209</v>
      </c>
      <c r="BR53" s="1105">
        <v>59.832668180527968</v>
      </c>
      <c r="BS53" s="1106">
        <v>63.352322373967276</v>
      </c>
      <c r="BT53" s="1107">
        <v>63.633515512438741</v>
      </c>
      <c r="BU53" s="1107">
        <v>66.035301803607226</v>
      </c>
      <c r="BV53" s="1107">
        <v>64.625049791000762</v>
      </c>
      <c r="BW53" s="1107">
        <v>67.40667648713071</v>
      </c>
      <c r="BX53" s="1107">
        <v>68.801622399408586</v>
      </c>
      <c r="BY53" s="1107">
        <v>66.717828099726717</v>
      </c>
      <c r="BZ53" s="1107">
        <v>64.527497330303106</v>
      </c>
      <c r="CA53" s="1107">
        <v>66.501282904446285</v>
      </c>
      <c r="CB53" s="1107">
        <v>67.749213309259758</v>
      </c>
      <c r="CC53" s="1107">
        <v>70.313306653326663</v>
      </c>
      <c r="CD53" s="1107">
        <v>67.415192124065712</v>
      </c>
      <c r="CE53" s="1087">
        <v>67.396438957132105</v>
      </c>
      <c r="CF53" s="1088">
        <v>76.271758225173585</v>
      </c>
      <c r="CG53" s="1088">
        <v>82.289434577550168</v>
      </c>
      <c r="CH53" s="1088">
        <v>77.440365088909886</v>
      </c>
      <c r="CI53" s="1088">
        <v>75.248310754997519</v>
      </c>
      <c r="CJ53" s="1088">
        <v>72.159280416810645</v>
      </c>
      <c r="CK53" s="1088">
        <v>74.708897543125971</v>
      </c>
      <c r="CL53" s="1088">
        <v>73.966450865806706</v>
      </c>
      <c r="CM53" s="1088">
        <v>74.672490276304515</v>
      </c>
      <c r="CN53" s="1088">
        <v>78.934150573248431</v>
      </c>
      <c r="CO53" s="1088">
        <v>75.887374848944546</v>
      </c>
      <c r="CP53" s="1088">
        <v>72.24980237894539</v>
      </c>
      <c r="CQ53" s="1108">
        <v>77.737792385727602</v>
      </c>
      <c r="CR53" s="1109">
        <v>83.830449495355154</v>
      </c>
      <c r="CS53" s="1109">
        <v>82.563081202808334</v>
      </c>
      <c r="CT53" s="1109">
        <v>80.334561295792767</v>
      </c>
      <c r="CU53" s="1109">
        <v>81.248781370721531</v>
      </c>
      <c r="CV53" s="1109">
        <v>77.671650091214033</v>
      </c>
      <c r="CW53" s="1109">
        <v>79.540000000000006</v>
      </c>
      <c r="CX53" s="1109">
        <v>78.948223743420513</v>
      </c>
      <c r="CY53" s="1109">
        <v>83.64732662852451</v>
      </c>
      <c r="CZ53" s="1109">
        <v>82.675027599019884</v>
      </c>
      <c r="DA53" s="1109">
        <v>82.163050608002422</v>
      </c>
      <c r="DB53" s="1110">
        <v>79.041979395649449</v>
      </c>
      <c r="DC53" s="1091">
        <v>79.614139213437866</v>
      </c>
      <c r="DD53" s="1091">
        <v>80.999518626891231</v>
      </c>
      <c r="DE53" s="1091">
        <v>82.056510668866068</v>
      </c>
      <c r="DF53" s="1091">
        <v>81.41171302940549</v>
      </c>
      <c r="DG53" s="1091">
        <v>81.711920697493738</v>
      </c>
      <c r="DH53" s="1091">
        <v>79.38</v>
      </c>
      <c r="DI53" s="1091">
        <v>79.639609137911648</v>
      </c>
      <c r="DJ53" s="1091">
        <v>77.800997185855863</v>
      </c>
      <c r="DK53" s="1091">
        <v>77.563364377951714</v>
      </c>
      <c r="DL53" s="1091">
        <v>78.89389641104475</v>
      </c>
      <c r="DM53" s="1091">
        <v>78.594258526417519</v>
      </c>
      <c r="DN53" s="1092">
        <v>77.400153951051436</v>
      </c>
      <c r="DO53" s="1091">
        <v>79.124058246280455</v>
      </c>
      <c r="DP53" s="1091">
        <v>77.16277729371788</v>
      </c>
      <c r="DQ53" s="1091">
        <v>76.07903592506041</v>
      </c>
      <c r="DR53" s="1091">
        <v>77.276373910099053</v>
      </c>
      <c r="DS53" s="1091">
        <v>77.671362288505136</v>
      </c>
      <c r="DT53" s="1091">
        <v>77.804913509060967</v>
      </c>
      <c r="DU53" s="1091">
        <v>75.643094384707297</v>
      </c>
      <c r="DV53" s="1091">
        <v>77.36276777884494</v>
      </c>
      <c r="DW53" s="1091">
        <v>77.513937050210941</v>
      </c>
      <c r="DX53" s="1091">
        <v>96.5650518347869</v>
      </c>
      <c r="DY53" s="1091">
        <v>77.12365218868085</v>
      </c>
      <c r="DZ53" s="1091">
        <v>71.885257261190461</v>
      </c>
      <c r="EA53" s="1099"/>
      <c r="EB53" s="1111">
        <v>47.210752175819025</v>
      </c>
      <c r="EC53" s="1112">
        <v>49.199036619787385</v>
      </c>
      <c r="ED53" s="1112">
        <v>55.511042934961459</v>
      </c>
      <c r="EE53" s="1112">
        <v>54.663457994114999</v>
      </c>
      <c r="EF53" s="1112">
        <v>59.468921732211783</v>
      </c>
      <c r="EG53" s="1112">
        <v>61.242265117428083</v>
      </c>
      <c r="EH53" s="1112">
        <v>66.557117216574241</v>
      </c>
      <c r="EI53" s="1112">
        <v>75.219396402303616</v>
      </c>
      <c r="EJ53" s="1112">
        <f t="shared" si="6"/>
        <v>80.783493651353027</v>
      </c>
      <c r="EK53" s="1113">
        <v>79.649219199179967</v>
      </c>
      <c r="EL53" s="1112">
        <f t="shared" si="7"/>
        <v>78.434356805928772</v>
      </c>
      <c r="EM53" s="1318">
        <v>78.07604850071651</v>
      </c>
    </row>
    <row r="54" spans="1:143">
      <c r="A54" s="998"/>
      <c r="B54" s="1166" t="s">
        <v>719</v>
      </c>
      <c r="C54" s="1115" t="s">
        <v>720</v>
      </c>
      <c r="D54" s="1098">
        <v>12.760456002850017</v>
      </c>
      <c r="E54" s="1099">
        <v>13.307280666931323</v>
      </c>
      <c r="F54" s="1099">
        <v>14.55310668670173</v>
      </c>
      <c r="G54" s="1099">
        <v>12.816423440453686</v>
      </c>
      <c r="H54" s="1099">
        <v>11.329575289575288</v>
      </c>
      <c r="I54" s="1099">
        <v>9.9757070902750868</v>
      </c>
      <c r="J54" s="1100">
        <v>9.9401278170198459</v>
      </c>
      <c r="K54" s="1101">
        <v>10.558316766070243</v>
      </c>
      <c r="L54" s="1102">
        <v>12.587107632093938</v>
      </c>
      <c r="M54" s="1102">
        <v>10.798019662921348</v>
      </c>
      <c r="N54" s="1102">
        <v>11.966239813736903</v>
      </c>
      <c r="O54" s="1102">
        <v>10.500844880027035</v>
      </c>
      <c r="P54" s="1102">
        <v>10.431318681318681</v>
      </c>
      <c r="Q54" s="1102">
        <v>11.068367989918087</v>
      </c>
      <c r="R54" s="1102">
        <v>12.148509174311927</v>
      </c>
      <c r="S54" s="1102">
        <v>10.845065895210544</v>
      </c>
      <c r="T54" s="1102">
        <v>11.75562372188139</v>
      </c>
      <c r="U54" s="1102">
        <v>11.569003955411723</v>
      </c>
      <c r="V54" s="1103">
        <v>11.392795883361922</v>
      </c>
      <c r="W54" s="1098">
        <v>11.746473302570863</v>
      </c>
      <c r="X54" s="1099">
        <v>11.667702828722412</v>
      </c>
      <c r="Y54" s="1099">
        <v>11.633485540334856</v>
      </c>
      <c r="Z54" s="1099">
        <v>10.807329842931937</v>
      </c>
      <c r="AA54" s="1099">
        <v>11.428259286234523</v>
      </c>
      <c r="AB54" s="1099">
        <v>11.256722151088349</v>
      </c>
      <c r="AC54" s="1099">
        <v>11.585253456221198</v>
      </c>
      <c r="AD54" s="1099">
        <v>12.039644607843137</v>
      </c>
      <c r="AE54" s="1099">
        <v>12.118791946308725</v>
      </c>
      <c r="AF54" s="1099">
        <v>11.948104722132992</v>
      </c>
      <c r="AG54" s="1099">
        <v>11.096865203761755</v>
      </c>
      <c r="AH54" s="1100">
        <v>12.576827018121913</v>
      </c>
      <c r="AI54" s="1104">
        <v>12.883247282608695</v>
      </c>
      <c r="AJ54" s="1104">
        <v>12.481027940669197</v>
      </c>
      <c r="AK54" s="1104">
        <v>13.006363347120585</v>
      </c>
      <c r="AL54" s="1104">
        <v>12.665488215488214</v>
      </c>
      <c r="AM54" s="1104">
        <v>12.643562439496614</v>
      </c>
      <c r="AN54" s="1104">
        <v>12.610482044645746</v>
      </c>
      <c r="AO54" s="1104">
        <v>12.536676902081199</v>
      </c>
      <c r="AP54" s="1104">
        <v>12.665035587188614</v>
      </c>
      <c r="AQ54" s="1104">
        <v>12.972513743128436</v>
      </c>
      <c r="AR54" s="1104">
        <v>12.894571556751906</v>
      </c>
      <c r="AS54" s="1104">
        <v>13.043095004897161</v>
      </c>
      <c r="AT54" s="1104">
        <v>13.037981009495249</v>
      </c>
      <c r="AU54" s="1098">
        <v>13.026377767310409</v>
      </c>
      <c r="AV54" s="1099">
        <v>12.936197916666666</v>
      </c>
      <c r="AW54" s="1099">
        <v>12.673803526448363</v>
      </c>
      <c r="AX54" s="1099">
        <v>15.99361022364217</v>
      </c>
      <c r="AY54" s="1099">
        <v>12.97968149368479</v>
      </c>
      <c r="AZ54" s="1099">
        <v>13.233891425672244</v>
      </c>
      <c r="BA54" s="1099">
        <v>13.18025316455696</v>
      </c>
      <c r="BB54" s="1099">
        <v>13.412900188323917</v>
      </c>
      <c r="BC54" s="1099">
        <v>13.25378233284529</v>
      </c>
      <c r="BD54" s="1099">
        <v>12.930388219544847</v>
      </c>
      <c r="BE54" s="1099">
        <v>13.158194774346793</v>
      </c>
      <c r="BF54" s="1099">
        <v>13.101167315175097</v>
      </c>
      <c r="BG54" s="1105">
        <v>13.048748267898384</v>
      </c>
      <c r="BH54" s="1105">
        <v>13.063610851262862</v>
      </c>
      <c r="BI54" s="1105">
        <v>13.081501831501834</v>
      </c>
      <c r="BJ54" s="1105">
        <v>12.777204130262113</v>
      </c>
      <c r="BK54" s="1105">
        <v>12.747542272906017</v>
      </c>
      <c r="BL54" s="1105">
        <v>12.98386429458006</v>
      </c>
      <c r="BM54" s="1105">
        <v>13.022158391464915</v>
      </c>
      <c r="BN54" s="1105">
        <v>13.022501081782782</v>
      </c>
      <c r="BO54" s="1105">
        <v>12.838483724763083</v>
      </c>
      <c r="BP54" s="1105">
        <v>12.848236259228877</v>
      </c>
      <c r="BQ54" s="1105">
        <v>13.756017951856386</v>
      </c>
      <c r="BR54" s="1105">
        <v>13.678462210572302</v>
      </c>
      <c r="BS54" s="1106">
        <v>13.719506624029236</v>
      </c>
      <c r="BT54" s="1107">
        <v>13.753379953379955</v>
      </c>
      <c r="BU54" s="1107">
        <v>13.849929211892402</v>
      </c>
      <c r="BV54" s="1107">
        <v>13.816683831101956</v>
      </c>
      <c r="BW54" s="1107">
        <v>13.54837117472853</v>
      </c>
      <c r="BX54" s="1107">
        <v>13.584435401831129</v>
      </c>
      <c r="BY54" s="1107">
        <v>13.685796269727405</v>
      </c>
      <c r="BZ54" s="1107">
        <v>13.890686274509804</v>
      </c>
      <c r="CA54" s="1107">
        <v>13.857007575757574</v>
      </c>
      <c r="CB54" s="1107">
        <v>13.949071870537837</v>
      </c>
      <c r="CC54" s="1107">
        <v>14.159553831231818</v>
      </c>
      <c r="CD54" s="1107">
        <v>13.724554039874086</v>
      </c>
      <c r="CE54" s="1087">
        <v>13.807</v>
      </c>
      <c r="CF54" s="1088">
        <v>13.845819236346061</v>
      </c>
      <c r="CG54" s="1088">
        <v>13.667604313173934</v>
      </c>
      <c r="CH54" s="1088">
        <v>14.285785785785787</v>
      </c>
      <c r="CI54" s="1088">
        <v>14.088536335721596</v>
      </c>
      <c r="CJ54" s="1088">
        <v>14.068619979402678</v>
      </c>
      <c r="CK54" s="1088">
        <v>14.52987087517934</v>
      </c>
      <c r="CL54" s="1088">
        <v>21.371079691516709</v>
      </c>
      <c r="CM54" s="1088">
        <v>14.796340533672174</v>
      </c>
      <c r="CN54" s="1088">
        <v>14.125578547297303</v>
      </c>
      <c r="CO54" s="1088">
        <v>14.487249406175772</v>
      </c>
      <c r="CP54" s="1088">
        <v>14.371010242085662</v>
      </c>
      <c r="CQ54" s="1108">
        <v>15.135441035474594</v>
      </c>
      <c r="CR54" s="1109">
        <v>15.149701353243119</v>
      </c>
      <c r="CS54" s="1109">
        <v>15.857938053097349</v>
      </c>
      <c r="CT54" s="1109">
        <v>14.6367478180983</v>
      </c>
      <c r="CU54" s="1109">
        <v>16.026502602934215</v>
      </c>
      <c r="CV54" s="1109">
        <v>15.880821231847772</v>
      </c>
      <c r="CW54" s="1109">
        <v>15.54</v>
      </c>
      <c r="CX54" s="1109">
        <v>15.400932400932401</v>
      </c>
      <c r="CY54" s="1109">
        <v>15.600094517958414</v>
      </c>
      <c r="CZ54" s="1109">
        <v>15.720772946859903</v>
      </c>
      <c r="DA54" s="1109">
        <v>19.951028806584361</v>
      </c>
      <c r="DB54" s="1110">
        <v>20.918205804749341</v>
      </c>
      <c r="DC54" s="1091">
        <v>21.24760164458657</v>
      </c>
      <c r="DD54" s="1091">
        <v>21.256744186046511</v>
      </c>
      <c r="DE54" s="1091">
        <v>20.218195836545874</v>
      </c>
      <c r="DF54" s="1091">
        <v>21.817670682730924</v>
      </c>
      <c r="DG54" s="1091">
        <v>17.337622756518794</v>
      </c>
      <c r="DH54" s="1091">
        <v>17.100000000000001</v>
      </c>
      <c r="DI54" s="1091">
        <v>14.179790748898679</v>
      </c>
      <c r="DJ54" s="1091">
        <v>16.210207601405305</v>
      </c>
      <c r="DK54" s="1091">
        <v>15.64997342192691</v>
      </c>
      <c r="DL54" s="1091">
        <v>15.564185613119642</v>
      </c>
      <c r="DM54" s="1091">
        <v>15.582753303964758</v>
      </c>
      <c r="DN54" s="1092">
        <v>19.175045153521975</v>
      </c>
      <c r="DO54" s="1091">
        <v>14.878201124297314</v>
      </c>
      <c r="DP54" s="1091">
        <v>14.869658119658119</v>
      </c>
      <c r="DQ54" s="1091">
        <v>14.863543788187373</v>
      </c>
      <c r="DR54" s="1091">
        <v>14.642696629213484</v>
      </c>
      <c r="DS54" s="1091">
        <v>15.099653979238754</v>
      </c>
      <c r="DT54" s="1091">
        <v>15.152866242038217</v>
      </c>
      <c r="DU54" s="1091">
        <v>15.309432314410481</v>
      </c>
      <c r="DV54" s="1091">
        <v>15.171466845277964</v>
      </c>
      <c r="DW54" s="1091">
        <v>15.135834411384216</v>
      </c>
      <c r="DX54" s="1091">
        <v>15.21982210927573</v>
      </c>
      <c r="DY54" s="1091">
        <v>15.168089297439264</v>
      </c>
      <c r="DZ54" s="1091">
        <v>15.218434343434344</v>
      </c>
      <c r="EA54" s="1099"/>
      <c r="EB54" s="1111">
        <v>11.855876019426372</v>
      </c>
      <c r="EC54" s="1112">
        <v>11.280116174654854</v>
      </c>
      <c r="ED54" s="1112">
        <v>11.662433221701281</v>
      </c>
      <c r="EE54" s="1112">
        <v>12.766842205202861</v>
      </c>
      <c r="EF54" s="1112">
        <v>13.290358301036147</v>
      </c>
      <c r="EG54" s="1112">
        <v>13.068067660145486</v>
      </c>
      <c r="EH54" s="1112">
        <v>13.796186080408107</v>
      </c>
      <c r="EI54" s="1112">
        <v>14.853838371956236</v>
      </c>
      <c r="EJ54" s="1112">
        <f t="shared" si="6"/>
        <v>16.318182214314984</v>
      </c>
      <c r="EK54" s="1113">
        <v>17.681633930175458</v>
      </c>
      <c r="EL54" s="1112">
        <f t="shared" si="7"/>
        <v>15.060808266987939</v>
      </c>
      <c r="EM54" s="1318">
        <v>15.116717533490673</v>
      </c>
    </row>
    <row r="55" spans="1:143">
      <c r="A55" s="998"/>
      <c r="B55" s="1143" t="s">
        <v>33</v>
      </c>
      <c r="C55" s="1167"/>
      <c r="D55" s="1098">
        <v>45.354991523505866</v>
      </c>
      <c r="E55" s="1099">
        <v>49.3347963832042</v>
      </c>
      <c r="F55" s="1099">
        <v>46.82747578860905</v>
      </c>
      <c r="G55" s="1099">
        <v>51.648411919542795</v>
      </c>
      <c r="H55" s="1099">
        <v>50.745314250653578</v>
      </c>
      <c r="I55" s="1099">
        <v>48.656137536849414</v>
      </c>
      <c r="J55" s="1100">
        <v>45.436904984132909</v>
      </c>
      <c r="K55" s="1101">
        <v>49.672226040848415</v>
      </c>
      <c r="L55" s="1102">
        <v>48.779385025189654</v>
      </c>
      <c r="M55" s="1102">
        <v>49.267541524415989</v>
      </c>
      <c r="N55" s="1102">
        <v>47.806372344295212</v>
      </c>
      <c r="O55" s="1102">
        <v>48.650531140362475</v>
      </c>
      <c r="P55" s="1102">
        <v>50.857958974485634</v>
      </c>
      <c r="Q55" s="1102">
        <v>49.680798395352689</v>
      </c>
      <c r="R55" s="1102">
        <v>48.466501241295802</v>
      </c>
      <c r="S55" s="1102">
        <v>53.225324283559608</v>
      </c>
      <c r="T55" s="1102">
        <v>51.618410031653276</v>
      </c>
      <c r="U55" s="1102">
        <v>50.622973255328034</v>
      </c>
      <c r="V55" s="1103">
        <v>48.117804555363435</v>
      </c>
      <c r="W55" s="1098">
        <v>50.220688554175076</v>
      </c>
      <c r="X55" s="1099">
        <v>55.163374571006123</v>
      </c>
      <c r="Y55" s="1099">
        <v>53.105907068387346</v>
      </c>
      <c r="Z55" s="1099">
        <v>54.54248233113934</v>
      </c>
      <c r="AA55" s="1099">
        <v>54.238855886132313</v>
      </c>
      <c r="AB55" s="1099">
        <v>55.407459508644223</v>
      </c>
      <c r="AC55" s="1099">
        <v>54.137631897711969</v>
      </c>
      <c r="AD55" s="1099">
        <v>53.205026785924979</v>
      </c>
      <c r="AE55" s="1099">
        <v>56.830067733540886</v>
      </c>
      <c r="AF55" s="1099">
        <v>58.041173192967534</v>
      </c>
      <c r="AG55" s="1099">
        <v>57.683805096100521</v>
      </c>
      <c r="AH55" s="1100">
        <v>54.356085771795499</v>
      </c>
      <c r="AI55" s="1104">
        <v>52.023622431541995</v>
      </c>
      <c r="AJ55" s="1104">
        <v>54.12581519983555</v>
      </c>
      <c r="AK55" s="1104">
        <v>55.570077161494488</v>
      </c>
      <c r="AL55" s="1104">
        <v>54.485315605338975</v>
      </c>
      <c r="AM55" s="1104">
        <v>51.944736813366802</v>
      </c>
      <c r="AN55" s="1104">
        <v>53.012039696870204</v>
      </c>
      <c r="AO55" s="1104">
        <v>52.398791307605819</v>
      </c>
      <c r="AP55" s="1104">
        <v>54.051287487139085</v>
      </c>
      <c r="AQ55" s="1104">
        <v>54.584326860617729</v>
      </c>
      <c r="AR55" s="1104">
        <v>55.582602263713831</v>
      </c>
      <c r="AS55" s="1104">
        <v>54.996763255394768</v>
      </c>
      <c r="AT55" s="1104">
        <v>49.568027358116922</v>
      </c>
      <c r="AU55" s="1098">
        <v>54.361183610307478</v>
      </c>
      <c r="AV55" s="1099">
        <v>57.17584497850121</v>
      </c>
      <c r="AW55" s="1099">
        <v>57.809979575452729</v>
      </c>
      <c r="AX55" s="1099">
        <v>55.572790644753468</v>
      </c>
      <c r="AY55" s="1099">
        <v>57.03416820702401</v>
      </c>
      <c r="AZ55" s="1099">
        <v>57.073838299418632</v>
      </c>
      <c r="BA55" s="1099">
        <v>56.928096618020206</v>
      </c>
      <c r="BB55" s="1099">
        <v>56.272585844345173</v>
      </c>
      <c r="BC55" s="1099">
        <v>55.960112151417007</v>
      </c>
      <c r="BD55" s="1099">
        <v>57.745355501786939</v>
      </c>
      <c r="BE55" s="1099">
        <v>56.623313324637202</v>
      </c>
      <c r="BF55" s="1099">
        <v>58.677996762649052</v>
      </c>
      <c r="BG55" s="1105">
        <v>56.835504663623738</v>
      </c>
      <c r="BH55" s="1105">
        <v>60.819767119101598</v>
      </c>
      <c r="BI55" s="1105">
        <v>60.487809366493735</v>
      </c>
      <c r="BJ55" s="1105">
        <v>56.43053454623665</v>
      </c>
      <c r="BK55" s="1105">
        <v>57.471709478153016</v>
      </c>
      <c r="BL55" s="1105">
        <v>57.902127121876823</v>
      </c>
      <c r="BM55" s="1105">
        <v>58.395446760729548</v>
      </c>
      <c r="BN55" s="1105">
        <v>58.918308012391819</v>
      </c>
      <c r="BO55" s="1105">
        <v>58.663322941842679</v>
      </c>
      <c r="BP55" s="1105">
        <v>59.090717132344118</v>
      </c>
      <c r="BQ55" s="1105">
        <v>63.986152010586963</v>
      </c>
      <c r="BR55" s="1105">
        <v>63.049415358299207</v>
      </c>
      <c r="BS55" s="1106">
        <v>64.61570157123036</v>
      </c>
      <c r="BT55" s="1107">
        <v>67.684043029606613</v>
      </c>
      <c r="BU55" s="1107">
        <v>69.390421062646737</v>
      </c>
      <c r="BV55" s="1107">
        <v>67.991833200707873</v>
      </c>
      <c r="BW55" s="1107">
        <v>64.593272089421731</v>
      </c>
      <c r="BX55" s="1107">
        <v>65.704860083398088</v>
      </c>
      <c r="BY55" s="1107">
        <v>63.6239852863472</v>
      </c>
      <c r="BZ55" s="1107">
        <v>62.870873914917226</v>
      </c>
      <c r="CA55" s="1107">
        <v>64.484068985212872</v>
      </c>
      <c r="CB55" s="1107">
        <v>67.37256352818352</v>
      </c>
      <c r="CC55" s="1107">
        <v>68.917867435158499</v>
      </c>
      <c r="CD55" s="1107">
        <v>72.284458979225306</v>
      </c>
      <c r="CE55" s="1087">
        <v>72.05220487505315</v>
      </c>
      <c r="CF55" s="1088">
        <v>77.429037031946194</v>
      </c>
      <c r="CG55" s="1088">
        <v>83.138671907819671</v>
      </c>
      <c r="CH55" s="1088">
        <v>64.885820169183347</v>
      </c>
      <c r="CI55" s="1088">
        <v>68.055627421854823</v>
      </c>
      <c r="CJ55" s="1088">
        <v>69.668789306846946</v>
      </c>
      <c r="CK55" s="1088">
        <v>69.414229199820426</v>
      </c>
      <c r="CL55" s="1088">
        <v>67.770541532123985</v>
      </c>
      <c r="CM55" s="1088">
        <v>69.036603635927506</v>
      </c>
      <c r="CN55" s="1088">
        <v>69.265451512985464</v>
      </c>
      <c r="CO55" s="1088">
        <v>71.053971990524147</v>
      </c>
      <c r="CP55" s="1088">
        <v>67.601332781163109</v>
      </c>
      <c r="CQ55" s="1108">
        <v>73.150548651246808</v>
      </c>
      <c r="CR55" s="1109">
        <v>78.246934422113313</v>
      </c>
      <c r="CS55" s="1109">
        <v>74.874938285882507</v>
      </c>
      <c r="CT55" s="1109">
        <v>76.380911007673333</v>
      </c>
      <c r="CU55" s="1109">
        <v>71.947848472345811</v>
      </c>
      <c r="CV55" s="1109">
        <v>70.926206923419414</v>
      </c>
      <c r="CW55" s="1109">
        <v>74.11</v>
      </c>
      <c r="CX55" s="1109">
        <v>73.43063050155753</v>
      </c>
      <c r="CY55" s="1109">
        <v>77.032264384045192</v>
      </c>
      <c r="CZ55" s="1109">
        <v>75.382922767109491</v>
      </c>
      <c r="DA55" s="1109">
        <v>76.067921016795268</v>
      </c>
      <c r="DB55" s="1110">
        <v>73.00996187002653</v>
      </c>
      <c r="DC55" s="1091">
        <v>74.887463449437405</v>
      </c>
      <c r="DD55" s="1091">
        <v>75.889696820629652</v>
      </c>
      <c r="DE55" s="1091">
        <v>75.805428580432363</v>
      </c>
      <c r="DF55" s="1091">
        <v>74.846309357172245</v>
      </c>
      <c r="DG55" s="1091">
        <v>75.644117994165981</v>
      </c>
      <c r="DH55" s="1091">
        <v>74.62</v>
      </c>
      <c r="DI55" s="1091">
        <v>74.404552851794776</v>
      </c>
      <c r="DJ55" s="1091">
        <v>72.840954712051854</v>
      </c>
      <c r="DK55" s="1091">
        <v>71.692456458545564</v>
      </c>
      <c r="DL55" s="1091">
        <v>73.199285360025243</v>
      </c>
      <c r="DM55" s="1091">
        <v>73.904639274426273</v>
      </c>
      <c r="DN55" s="1092">
        <v>69.394878505961017</v>
      </c>
      <c r="DO55" s="1091">
        <v>70.000101467607905</v>
      </c>
      <c r="DP55" s="1091">
        <v>74.416049326974615</v>
      </c>
      <c r="DQ55" s="1091">
        <v>74.335870169531347</v>
      </c>
      <c r="DR55" s="1091">
        <v>76.535392079290403</v>
      </c>
      <c r="DS55" s="1091">
        <v>74.696368188024977</v>
      </c>
      <c r="DT55" s="1091">
        <v>75.516376215795617</v>
      </c>
      <c r="DU55" s="1091">
        <v>72.855751649356591</v>
      </c>
      <c r="DV55" s="1091">
        <v>73.48265070980959</v>
      </c>
      <c r="DW55" s="1091">
        <v>72.657848010902725</v>
      </c>
      <c r="DX55" s="1091">
        <v>92.992497789072431</v>
      </c>
      <c r="DY55" s="1091">
        <v>74.054377321753392</v>
      </c>
      <c r="DZ55" s="1091">
        <v>70.00282204455624</v>
      </c>
      <c r="EA55" s="1099"/>
      <c r="EB55" s="1111">
        <v>48.483432266432551</v>
      </c>
      <c r="EC55" s="1112">
        <v>49.779483393362412</v>
      </c>
      <c r="ED55" s="1112">
        <v>54.815508419813476</v>
      </c>
      <c r="EE55" s="1112">
        <v>53.558617307014622</v>
      </c>
      <c r="EF55" s="1112">
        <v>56.797273477080203</v>
      </c>
      <c r="EG55" s="1112">
        <v>59.405705592675858</v>
      </c>
      <c r="EH55" s="1112">
        <v>66.535870535674107</v>
      </c>
      <c r="EI55" s="1112">
        <v>70.816867591603824</v>
      </c>
      <c r="EJ55" s="1112">
        <f t="shared" si="6"/>
        <v>74.546757358517937</v>
      </c>
      <c r="EK55" s="1113">
        <v>74.014241640131232</v>
      </c>
      <c r="EL55" s="1112">
        <f t="shared" si="7"/>
        <v>75.128842081056305</v>
      </c>
      <c r="EM55" s="1318">
        <v>74.830703976826754</v>
      </c>
    </row>
    <row r="56" spans="1:143">
      <c r="A56" s="998"/>
      <c r="B56" s="1143"/>
      <c r="C56" s="1167"/>
      <c r="D56" s="1098"/>
      <c r="E56" s="1099"/>
      <c r="F56" s="1099"/>
      <c r="G56" s="1099"/>
      <c r="H56" s="1099"/>
      <c r="I56" s="1099"/>
      <c r="J56" s="1100"/>
      <c r="K56" s="1101"/>
      <c r="L56" s="1102"/>
      <c r="M56" s="1102"/>
      <c r="N56" s="1102"/>
      <c r="O56" s="1102"/>
      <c r="P56" s="1102"/>
      <c r="Q56" s="1102"/>
      <c r="R56" s="1102"/>
      <c r="S56" s="1102"/>
      <c r="T56" s="1102"/>
      <c r="U56" s="1102"/>
      <c r="V56" s="1103"/>
      <c r="W56" s="1098"/>
      <c r="X56" s="1099"/>
      <c r="Y56" s="1099"/>
      <c r="Z56" s="1099"/>
      <c r="AA56" s="1099"/>
      <c r="AB56" s="1099"/>
      <c r="AC56" s="1099"/>
      <c r="AD56" s="1099"/>
      <c r="AE56" s="1099"/>
      <c r="AF56" s="1099"/>
      <c r="AG56" s="1099"/>
      <c r="AH56" s="1100"/>
      <c r="AI56" s="1104"/>
      <c r="AJ56" s="1104"/>
      <c r="AK56" s="1104"/>
      <c r="AL56" s="1104"/>
      <c r="AM56" s="1104"/>
      <c r="AN56" s="1104"/>
      <c r="AO56" s="1104"/>
      <c r="AP56" s="1104"/>
      <c r="AQ56" s="1104"/>
      <c r="AR56" s="1104"/>
      <c r="AS56" s="1104"/>
      <c r="AT56" s="1104"/>
      <c r="AU56" s="1098"/>
      <c r="AV56" s="1099"/>
      <c r="AW56" s="1099"/>
      <c r="AX56" s="1099"/>
      <c r="AY56" s="1099"/>
      <c r="AZ56" s="1099"/>
      <c r="BA56" s="1099"/>
      <c r="BB56" s="1099"/>
      <c r="BC56" s="1099"/>
      <c r="BD56" s="1099"/>
      <c r="BE56" s="1099"/>
      <c r="BF56" s="1099"/>
      <c r="BG56" s="1105"/>
      <c r="BH56" s="1105"/>
      <c r="BI56" s="1105"/>
      <c r="BJ56" s="1105"/>
      <c r="BK56" s="1105"/>
      <c r="BL56" s="1105"/>
      <c r="BM56" s="1105"/>
      <c r="BN56" s="1105"/>
      <c r="BO56" s="1105"/>
      <c r="BP56" s="1105"/>
      <c r="BQ56" s="1105"/>
      <c r="BR56" s="1105"/>
      <c r="BS56" s="1106"/>
      <c r="BT56" s="1107"/>
      <c r="BU56" s="1107"/>
      <c r="BV56" s="1107"/>
      <c r="BW56" s="1107"/>
      <c r="BX56" s="1107"/>
      <c r="BY56" s="1107"/>
      <c r="BZ56" s="1107"/>
      <c r="CA56" s="1107"/>
      <c r="CB56" s="1107"/>
      <c r="CC56" s="1107"/>
      <c r="CD56" s="1107"/>
      <c r="CE56" s="1087"/>
      <c r="CF56" s="1088"/>
      <c r="CG56" s="1088"/>
      <c r="CH56" s="1088"/>
      <c r="CI56" s="1088"/>
      <c r="CJ56" s="1088"/>
      <c r="CK56" s="1088"/>
      <c r="CL56" s="1088"/>
      <c r="CM56" s="1088"/>
      <c r="CN56" s="1088"/>
      <c r="CO56" s="1088"/>
      <c r="CP56" s="1088"/>
      <c r="CQ56" s="1108"/>
      <c r="CR56" s="1109"/>
      <c r="CS56" s="1109"/>
      <c r="CT56" s="1109"/>
      <c r="CU56" s="1109"/>
      <c r="CV56" s="1109"/>
      <c r="CW56" s="1109"/>
      <c r="CX56" s="1109"/>
      <c r="CY56" s="1109"/>
      <c r="CZ56" s="1109"/>
      <c r="DA56" s="1109"/>
      <c r="DB56" s="1110"/>
      <c r="DC56" s="1091"/>
      <c r="DD56" s="1091"/>
      <c r="DE56" s="1091"/>
      <c r="DF56" s="1091"/>
      <c r="DG56" s="1091"/>
      <c r="DH56" s="1091"/>
      <c r="DI56" s="1091"/>
      <c r="DJ56" s="1091"/>
      <c r="DK56" s="1091"/>
      <c r="DL56" s="1091"/>
      <c r="DM56" s="1091"/>
      <c r="DN56" s="1092"/>
      <c r="DO56" s="1091"/>
      <c r="DP56" s="1091"/>
      <c r="DQ56" s="1091"/>
      <c r="DR56" s="1091"/>
      <c r="DS56" s="1091"/>
      <c r="DT56" s="1091"/>
      <c r="DU56" s="1091"/>
      <c r="DV56" s="1091"/>
      <c r="DW56" s="1091"/>
      <c r="DX56" s="1091"/>
      <c r="DY56" s="1091"/>
      <c r="DZ56" s="1091"/>
      <c r="EA56" s="1099"/>
      <c r="EB56" s="1111"/>
      <c r="EC56" s="1112"/>
      <c r="ED56" s="1112"/>
      <c r="EE56" s="1112"/>
      <c r="EF56" s="1112"/>
      <c r="EG56" s="1112"/>
      <c r="EH56" s="1112"/>
      <c r="EI56" s="1112"/>
      <c r="EJ56" s="1112"/>
      <c r="EK56" s="1113"/>
      <c r="EL56" s="1112"/>
      <c r="EM56" s="1318"/>
    </row>
    <row r="57" spans="1:143">
      <c r="A57" s="998"/>
      <c r="B57" s="1143" t="s">
        <v>725</v>
      </c>
      <c r="C57" s="1144"/>
      <c r="D57" s="1145"/>
      <c r="E57" s="1146"/>
      <c r="F57" s="1099"/>
      <c r="G57" s="1146"/>
      <c r="H57" s="1146"/>
      <c r="I57" s="1099"/>
      <c r="J57" s="1100"/>
      <c r="K57" s="1101"/>
      <c r="L57" s="1102"/>
      <c r="M57" s="1102"/>
      <c r="N57" s="1102"/>
      <c r="O57" s="1102"/>
      <c r="P57" s="1102"/>
      <c r="Q57" s="1102"/>
      <c r="R57" s="1102"/>
      <c r="S57" s="1102"/>
      <c r="T57" s="1102"/>
      <c r="U57" s="1102"/>
      <c r="V57" s="1103"/>
      <c r="W57" s="1098"/>
      <c r="X57" s="1099"/>
      <c r="Y57" s="1099"/>
      <c r="Z57" s="1099"/>
      <c r="AA57" s="1099"/>
      <c r="AB57" s="1099"/>
      <c r="AC57" s="1099"/>
      <c r="AD57" s="1099"/>
      <c r="AE57" s="1099"/>
      <c r="AF57" s="1099"/>
      <c r="AG57" s="1099"/>
      <c r="AH57" s="1100"/>
      <c r="AI57" s="1104"/>
      <c r="AJ57" s="1104"/>
      <c r="AK57" s="1104"/>
      <c r="AL57" s="1104"/>
      <c r="AM57" s="1104"/>
      <c r="AN57" s="1104"/>
      <c r="AO57" s="1104"/>
      <c r="AP57" s="1104"/>
      <c r="AQ57" s="1104"/>
      <c r="AR57" s="1104"/>
      <c r="AS57" s="1104"/>
      <c r="AT57" s="1104"/>
      <c r="AU57" s="1098"/>
      <c r="AV57" s="1099"/>
      <c r="AW57" s="1099"/>
      <c r="AX57" s="1099"/>
      <c r="AY57" s="1099"/>
      <c r="AZ57" s="1099"/>
      <c r="BA57" s="1099"/>
      <c r="BB57" s="1099"/>
      <c r="BC57" s="1099"/>
      <c r="BD57" s="1099"/>
      <c r="BE57" s="1099"/>
      <c r="BF57" s="1099"/>
      <c r="BG57" s="1105"/>
      <c r="BH57" s="1105"/>
      <c r="BI57" s="1105"/>
      <c r="BJ57" s="1105"/>
      <c r="BK57" s="1105"/>
      <c r="BL57" s="1105"/>
      <c r="BM57" s="1105"/>
      <c r="BN57" s="1105"/>
      <c r="BO57" s="1105"/>
      <c r="BP57" s="1105"/>
      <c r="BQ57" s="1105"/>
      <c r="BR57" s="1105"/>
      <c r="BS57" s="1106"/>
      <c r="BT57" s="1107"/>
      <c r="BU57" s="1107"/>
      <c r="BV57" s="1107"/>
      <c r="BW57" s="1107"/>
      <c r="BX57" s="1107"/>
      <c r="BY57" s="1107"/>
      <c r="BZ57" s="1107"/>
      <c r="CA57" s="1107"/>
      <c r="CB57" s="1107"/>
      <c r="CC57" s="1107"/>
      <c r="CD57" s="1107"/>
      <c r="CE57" s="1087"/>
      <c r="CF57" s="1088"/>
      <c r="CG57" s="1088"/>
      <c r="CH57" s="1088"/>
      <c r="CI57" s="1088"/>
      <c r="CJ57" s="1088"/>
      <c r="CK57" s="1088"/>
      <c r="CL57" s="1088"/>
      <c r="CM57" s="1088"/>
      <c r="CN57" s="1088"/>
      <c r="CO57" s="1088"/>
      <c r="CP57" s="1088"/>
      <c r="CQ57" s="1108"/>
      <c r="CR57" s="1109"/>
      <c r="CS57" s="1109"/>
      <c r="CT57" s="1109"/>
      <c r="CU57" s="1109"/>
      <c r="CV57" s="1109"/>
      <c r="CW57" s="1109"/>
      <c r="CX57" s="1109"/>
      <c r="CY57" s="1109"/>
      <c r="CZ57" s="1109"/>
      <c r="DA57" s="1109"/>
      <c r="DB57" s="1110"/>
      <c r="DC57" s="1091"/>
      <c r="DD57" s="1091"/>
      <c r="DE57" s="1091"/>
      <c r="DF57" s="1091"/>
      <c r="DG57" s="1091"/>
      <c r="DH57" s="1091"/>
      <c r="DI57" s="1091"/>
      <c r="DJ57" s="1091"/>
      <c r="DK57" s="1091"/>
      <c r="DL57" s="1091"/>
      <c r="DM57" s="1091"/>
      <c r="DN57" s="1092"/>
      <c r="DO57" s="1091"/>
      <c r="DP57" s="1091"/>
      <c r="DQ57" s="1091"/>
      <c r="DR57" s="1091"/>
      <c r="DS57" s="1091"/>
      <c r="DT57" s="1091"/>
      <c r="DU57" s="1091"/>
      <c r="DV57" s="1091"/>
      <c r="DW57" s="1091"/>
      <c r="DX57" s="1091"/>
      <c r="DY57" s="1091"/>
      <c r="DZ57" s="1091"/>
      <c r="EA57" s="1099"/>
      <c r="EB57" s="1111"/>
      <c r="EC57" s="1112"/>
      <c r="ED57" s="1112"/>
      <c r="EE57" s="1112"/>
      <c r="EF57" s="1112"/>
      <c r="EG57" s="1112"/>
      <c r="EH57" s="1112"/>
      <c r="EI57" s="1112"/>
      <c r="EJ57" s="1112"/>
      <c r="EK57" s="1113"/>
      <c r="EL57" s="1112"/>
      <c r="EM57" s="1318"/>
    </row>
    <row r="58" spans="1:143">
      <c r="A58" s="998"/>
      <c r="B58" s="1168"/>
      <c r="C58" s="1115" t="s">
        <v>162</v>
      </c>
      <c r="D58" s="1145"/>
      <c r="E58" s="1146"/>
      <c r="F58" s="1099"/>
      <c r="G58" s="1146"/>
      <c r="H58" s="1146"/>
      <c r="I58" s="1099"/>
      <c r="J58" s="1100"/>
      <c r="K58" s="1101"/>
      <c r="L58" s="1102"/>
      <c r="M58" s="1102"/>
      <c r="N58" s="1102"/>
      <c r="O58" s="1102"/>
      <c r="P58" s="1102"/>
      <c r="Q58" s="1102"/>
      <c r="R58" s="1102"/>
      <c r="S58" s="1102"/>
      <c r="T58" s="1102"/>
      <c r="U58" s="1102"/>
      <c r="V58" s="1103"/>
      <c r="W58" s="1098"/>
      <c r="X58" s="1099"/>
      <c r="Y58" s="1099"/>
      <c r="Z58" s="1099"/>
      <c r="AA58" s="1099"/>
      <c r="AB58" s="1099"/>
      <c r="AC58" s="1099"/>
      <c r="AD58" s="1099"/>
      <c r="AE58" s="1099"/>
      <c r="AF58" s="1099"/>
      <c r="AG58" s="1099"/>
      <c r="AH58" s="1100"/>
      <c r="AI58" s="1104"/>
      <c r="AJ58" s="1104"/>
      <c r="AK58" s="1104"/>
      <c r="AL58" s="1104"/>
      <c r="AM58" s="1104"/>
      <c r="AN58" s="1104"/>
      <c r="AO58" s="1104"/>
      <c r="AP58" s="1104"/>
      <c r="AQ58" s="1104"/>
      <c r="AR58" s="1104"/>
      <c r="AS58" s="1104"/>
      <c r="AT58" s="1104"/>
      <c r="AU58" s="1098"/>
      <c r="AV58" s="1099"/>
      <c r="AW58" s="1099"/>
      <c r="AX58" s="1099"/>
      <c r="AY58" s="1099"/>
      <c r="AZ58" s="1099"/>
      <c r="BA58" s="1099"/>
      <c r="BB58" s="1099"/>
      <c r="BC58" s="1099"/>
      <c r="BD58" s="1099"/>
      <c r="BE58" s="1099"/>
      <c r="BF58" s="1099"/>
      <c r="BG58" s="1105"/>
      <c r="BH58" s="1105"/>
      <c r="BI58" s="1105"/>
      <c r="BJ58" s="1105"/>
      <c r="BK58" s="1105"/>
      <c r="BL58" s="1105"/>
      <c r="BM58" s="1105"/>
      <c r="BN58" s="1105"/>
      <c r="BO58" s="1105"/>
      <c r="BP58" s="1105"/>
      <c r="BQ58" s="1105"/>
      <c r="BR58" s="1105"/>
      <c r="BS58" s="1106"/>
      <c r="BT58" s="1107"/>
      <c r="BU58" s="1107"/>
      <c r="BV58" s="1107"/>
      <c r="BW58" s="1107"/>
      <c r="BX58" s="1107"/>
      <c r="BY58" s="1107"/>
      <c r="BZ58" s="1107"/>
      <c r="CA58" s="1107"/>
      <c r="CB58" s="1107"/>
      <c r="CC58" s="1107"/>
      <c r="CD58" s="1107"/>
      <c r="CE58" s="1087"/>
      <c r="CF58" s="1088"/>
      <c r="CG58" s="1088"/>
      <c r="CH58" s="1088"/>
      <c r="CI58" s="1088"/>
      <c r="CJ58" s="1088"/>
      <c r="CK58" s="1088"/>
      <c r="CL58" s="1088"/>
      <c r="CM58" s="1088"/>
      <c r="CN58" s="1088"/>
      <c r="CO58" s="1088"/>
      <c r="CP58" s="1088"/>
      <c r="CQ58" s="1108"/>
      <c r="CR58" s="1109"/>
      <c r="CS58" s="1109"/>
      <c r="CT58" s="1109"/>
      <c r="CU58" s="1109"/>
      <c r="CV58" s="1109"/>
      <c r="CW58" s="1109"/>
      <c r="CX58" s="1109"/>
      <c r="CY58" s="1109"/>
      <c r="CZ58" s="1109"/>
      <c r="DA58" s="1109"/>
      <c r="DB58" s="1110"/>
      <c r="DC58" s="1091"/>
      <c r="DD58" s="1091"/>
      <c r="DE58" s="1091"/>
      <c r="DF58" s="1091"/>
      <c r="DG58" s="1091"/>
      <c r="DH58" s="1091"/>
      <c r="DI58" s="1091"/>
      <c r="DJ58" s="1091"/>
      <c r="DK58" s="1091"/>
      <c r="DL58" s="1091"/>
      <c r="DM58" s="1091"/>
      <c r="DN58" s="1092"/>
      <c r="DO58" s="1091"/>
      <c r="DP58" s="1091"/>
      <c r="DQ58" s="1091"/>
      <c r="DR58" s="1091"/>
      <c r="DS58" s="1091"/>
      <c r="DT58" s="1091"/>
      <c r="DU58" s="1091"/>
      <c r="DV58" s="1091"/>
      <c r="DW58" s="1091"/>
      <c r="DX58" s="1091"/>
      <c r="DY58" s="1091"/>
      <c r="DZ58" s="1091"/>
      <c r="EA58" s="1099"/>
      <c r="EB58" s="1111"/>
      <c r="EC58" s="1112"/>
      <c r="ED58" s="1112"/>
      <c r="EE58" s="1112"/>
      <c r="EF58" s="1112"/>
      <c r="EG58" s="1112"/>
      <c r="EH58" s="1112"/>
      <c r="EI58" s="1112"/>
      <c r="EJ58" s="1112"/>
      <c r="EK58" s="1113"/>
      <c r="EL58" s="1112"/>
      <c r="EM58" s="1318"/>
    </row>
    <row r="59" spans="1:143">
      <c r="A59" s="998"/>
      <c r="B59" s="1166" t="s">
        <v>707</v>
      </c>
      <c r="C59" s="1115" t="s">
        <v>708</v>
      </c>
      <c r="D59" s="1098" t="s">
        <v>443</v>
      </c>
      <c r="E59" s="1099" t="s">
        <v>443</v>
      </c>
      <c r="F59" s="1099" t="s">
        <v>443</v>
      </c>
      <c r="G59" s="1099" t="s">
        <v>443</v>
      </c>
      <c r="H59" s="1099" t="s">
        <v>443</v>
      </c>
      <c r="I59" s="1099" t="s">
        <v>443</v>
      </c>
      <c r="J59" s="1100" t="s">
        <v>443</v>
      </c>
      <c r="K59" s="1101" t="s">
        <v>443</v>
      </c>
      <c r="L59" s="1102" t="s">
        <v>443</v>
      </c>
      <c r="M59" s="1102" t="s">
        <v>443</v>
      </c>
      <c r="N59" s="1102" t="s">
        <v>443</v>
      </c>
      <c r="O59" s="1102" t="s">
        <v>443</v>
      </c>
      <c r="P59" s="1102" t="s">
        <v>443</v>
      </c>
      <c r="Q59" s="1102" t="s">
        <v>443</v>
      </c>
      <c r="R59" s="1102" t="s">
        <v>443</v>
      </c>
      <c r="S59" s="1102" t="s">
        <v>443</v>
      </c>
      <c r="T59" s="1102" t="s">
        <v>443</v>
      </c>
      <c r="U59" s="1102" t="s">
        <v>443</v>
      </c>
      <c r="V59" s="1103" t="s">
        <v>443</v>
      </c>
      <c r="W59" s="1098" t="s">
        <v>443</v>
      </c>
      <c r="X59" s="1099" t="s">
        <v>443</v>
      </c>
      <c r="Y59" s="1099" t="s">
        <v>443</v>
      </c>
      <c r="Z59" s="1099" t="s">
        <v>443</v>
      </c>
      <c r="AA59" s="1099" t="s">
        <v>443</v>
      </c>
      <c r="AB59" s="1099" t="s">
        <v>443</v>
      </c>
      <c r="AC59" s="1099" t="s">
        <v>443</v>
      </c>
      <c r="AD59" s="1099" t="s">
        <v>443</v>
      </c>
      <c r="AE59" s="1099" t="s">
        <v>443</v>
      </c>
      <c r="AF59" s="1099" t="s">
        <v>443</v>
      </c>
      <c r="AG59" s="1099" t="s">
        <v>443</v>
      </c>
      <c r="AH59" s="1100" t="s">
        <v>443</v>
      </c>
      <c r="AI59" s="1104" t="s">
        <v>443</v>
      </c>
      <c r="AJ59" s="1104" t="s">
        <v>443</v>
      </c>
      <c r="AK59" s="1104" t="s">
        <v>443</v>
      </c>
      <c r="AL59" s="1104" t="s">
        <v>443</v>
      </c>
      <c r="AM59" s="1104" t="s">
        <v>443</v>
      </c>
      <c r="AN59" s="1104" t="s">
        <v>443</v>
      </c>
      <c r="AO59" s="1104" t="s">
        <v>443</v>
      </c>
      <c r="AP59" s="1104" t="s">
        <v>443</v>
      </c>
      <c r="AQ59" s="1104" t="s">
        <v>443</v>
      </c>
      <c r="AR59" s="1104" t="s">
        <v>443</v>
      </c>
      <c r="AS59" s="1104" t="s">
        <v>443</v>
      </c>
      <c r="AT59" s="1104" t="s">
        <v>443</v>
      </c>
      <c r="AU59" s="1098" t="s">
        <v>443</v>
      </c>
      <c r="AV59" s="1099" t="s">
        <v>443</v>
      </c>
      <c r="AW59" s="1099" t="s">
        <v>443</v>
      </c>
      <c r="AX59" s="1099" t="s">
        <v>443</v>
      </c>
      <c r="AY59" s="1099" t="s">
        <v>443</v>
      </c>
      <c r="AZ59" s="1099" t="s">
        <v>443</v>
      </c>
      <c r="BA59" s="1099" t="s">
        <v>443</v>
      </c>
      <c r="BB59" s="1099" t="s">
        <v>443</v>
      </c>
      <c r="BC59" s="1099" t="s">
        <v>443</v>
      </c>
      <c r="BD59" s="1099" t="s">
        <v>443</v>
      </c>
      <c r="BE59" s="1099" t="s">
        <v>443</v>
      </c>
      <c r="BF59" s="1099" t="s">
        <v>443</v>
      </c>
      <c r="BG59" s="1105" t="s">
        <v>443</v>
      </c>
      <c r="BH59" s="1105" t="s">
        <v>443</v>
      </c>
      <c r="BI59" s="1105" t="s">
        <v>443</v>
      </c>
      <c r="BJ59" s="1105" t="s">
        <v>443</v>
      </c>
      <c r="BK59" s="1105" t="s">
        <v>443</v>
      </c>
      <c r="BL59" s="1105" t="s">
        <v>443</v>
      </c>
      <c r="BM59" s="1105" t="s">
        <v>443</v>
      </c>
      <c r="BN59" s="1105" t="s">
        <v>443</v>
      </c>
      <c r="BO59" s="1105" t="s">
        <v>443</v>
      </c>
      <c r="BP59" s="1105" t="s">
        <v>443</v>
      </c>
      <c r="BQ59" s="1105" t="s">
        <v>443</v>
      </c>
      <c r="BR59" s="1105" t="s">
        <v>443</v>
      </c>
      <c r="BS59" s="1106" t="s">
        <v>443</v>
      </c>
      <c r="BT59" s="1107" t="s">
        <v>443</v>
      </c>
      <c r="BU59" s="1107" t="s">
        <v>443</v>
      </c>
      <c r="BV59" s="1107" t="s">
        <v>443</v>
      </c>
      <c r="BW59" s="1107" t="s">
        <v>443</v>
      </c>
      <c r="BX59" s="1107" t="s">
        <v>443</v>
      </c>
      <c r="BY59" s="1107" t="s">
        <v>443</v>
      </c>
      <c r="BZ59" s="1107" t="s">
        <v>443</v>
      </c>
      <c r="CA59" s="1107" t="s">
        <v>443</v>
      </c>
      <c r="CB59" s="1107" t="s">
        <v>443</v>
      </c>
      <c r="CC59" s="1107" t="s">
        <v>443</v>
      </c>
      <c r="CD59" s="1107" t="s">
        <v>443</v>
      </c>
      <c r="CE59" s="1087" t="s">
        <v>443</v>
      </c>
      <c r="CF59" s="1088" t="s">
        <v>443</v>
      </c>
      <c r="CG59" s="1088" t="s">
        <v>443</v>
      </c>
      <c r="CH59" s="1088" t="s">
        <v>443</v>
      </c>
      <c r="CI59" s="1088" t="s">
        <v>443</v>
      </c>
      <c r="CJ59" s="1088" t="s">
        <v>443</v>
      </c>
      <c r="CK59" s="1088" t="s">
        <v>443</v>
      </c>
      <c r="CL59" s="1088" t="s">
        <v>443</v>
      </c>
      <c r="CM59" s="1088" t="s">
        <v>443</v>
      </c>
      <c r="CN59" s="1088" t="s">
        <v>443</v>
      </c>
      <c r="CO59" s="1088" t="s">
        <v>443</v>
      </c>
      <c r="CP59" s="1088" t="s">
        <v>443</v>
      </c>
      <c r="CQ59" s="1108" t="s">
        <v>443</v>
      </c>
      <c r="CR59" s="1109" t="s">
        <v>443</v>
      </c>
      <c r="CS59" s="1109" t="s">
        <v>443</v>
      </c>
      <c r="CT59" s="1109" t="s">
        <v>443</v>
      </c>
      <c r="CU59" s="1109" t="s">
        <v>443</v>
      </c>
      <c r="CV59" s="1109" t="s">
        <v>443</v>
      </c>
      <c r="CW59" s="1109" t="s">
        <v>443</v>
      </c>
      <c r="CX59" s="1109" t="s">
        <v>443</v>
      </c>
      <c r="CY59" s="1109" t="s">
        <v>443</v>
      </c>
      <c r="CZ59" s="1109" t="s">
        <v>443</v>
      </c>
      <c r="DA59" s="1109" t="s">
        <v>443</v>
      </c>
      <c r="DB59" s="1110" t="s">
        <v>443</v>
      </c>
      <c r="DC59" s="1091" t="s">
        <v>443</v>
      </c>
      <c r="DD59" s="1091" t="s">
        <v>443</v>
      </c>
      <c r="DE59" s="1091" t="s">
        <v>443</v>
      </c>
      <c r="DF59" s="1091" t="s">
        <v>443</v>
      </c>
      <c r="DG59" s="1091" t="s">
        <v>443</v>
      </c>
      <c r="DH59" s="1091" t="s">
        <v>443</v>
      </c>
      <c r="DI59" s="1091" t="s">
        <v>443</v>
      </c>
      <c r="DJ59" s="1091" t="s">
        <v>443</v>
      </c>
      <c r="DK59" s="1091" t="s">
        <v>443</v>
      </c>
      <c r="DL59" s="1091" t="s">
        <v>443</v>
      </c>
      <c r="DM59" s="1091" t="s">
        <v>443</v>
      </c>
      <c r="DN59" s="1092" t="s">
        <v>443</v>
      </c>
      <c r="DO59" s="1091" t="s">
        <v>443</v>
      </c>
      <c r="DP59" s="1091" t="s">
        <v>443</v>
      </c>
      <c r="DQ59" s="1091" t="s">
        <v>443</v>
      </c>
      <c r="DR59" s="1091" t="s">
        <v>443</v>
      </c>
      <c r="DS59" s="1091" t="s">
        <v>443</v>
      </c>
      <c r="DT59" s="1091" t="s">
        <v>443</v>
      </c>
      <c r="DU59" s="1091" t="s">
        <v>443</v>
      </c>
      <c r="DV59" s="1091" t="s">
        <v>443</v>
      </c>
      <c r="DW59" s="1091" t="s">
        <v>443</v>
      </c>
      <c r="DX59" s="1091" t="s">
        <v>443</v>
      </c>
      <c r="DY59" s="1091" t="s">
        <v>443</v>
      </c>
      <c r="DZ59" s="1091" t="s">
        <v>443</v>
      </c>
      <c r="EA59" s="1099"/>
      <c r="EB59" s="1111" t="s">
        <v>443</v>
      </c>
      <c r="EC59" s="1112" t="s">
        <v>443</v>
      </c>
      <c r="ED59" s="1112" t="s">
        <v>443</v>
      </c>
      <c r="EE59" s="1112" t="s">
        <v>443</v>
      </c>
      <c r="EF59" s="1112" t="s">
        <v>443</v>
      </c>
      <c r="EG59" s="1112" t="s">
        <v>443</v>
      </c>
      <c r="EH59" s="1112" t="s">
        <v>443</v>
      </c>
      <c r="EI59" s="1112" t="s">
        <v>443</v>
      </c>
      <c r="EJ59" s="1112" t="s">
        <v>443</v>
      </c>
      <c r="EK59" s="1113" t="s">
        <v>443</v>
      </c>
      <c r="EL59" s="1113" t="s">
        <v>443</v>
      </c>
      <c r="EM59" s="1323" t="s">
        <v>443</v>
      </c>
    </row>
    <row r="60" spans="1:143">
      <c r="A60" s="998"/>
      <c r="B60" s="1166" t="s">
        <v>709</v>
      </c>
      <c r="C60" s="1115" t="s">
        <v>710</v>
      </c>
      <c r="D60" s="1098" t="s">
        <v>443</v>
      </c>
      <c r="E60" s="1099" t="s">
        <v>443</v>
      </c>
      <c r="F60" s="1099" t="s">
        <v>443</v>
      </c>
      <c r="G60" s="1099" t="s">
        <v>443</v>
      </c>
      <c r="H60" s="1099" t="s">
        <v>443</v>
      </c>
      <c r="I60" s="1099" t="s">
        <v>443</v>
      </c>
      <c r="J60" s="1100" t="s">
        <v>443</v>
      </c>
      <c r="K60" s="1101" t="s">
        <v>443</v>
      </c>
      <c r="L60" s="1102" t="s">
        <v>443</v>
      </c>
      <c r="M60" s="1102" t="s">
        <v>443</v>
      </c>
      <c r="N60" s="1102" t="s">
        <v>443</v>
      </c>
      <c r="O60" s="1102" t="s">
        <v>443</v>
      </c>
      <c r="P60" s="1102" t="s">
        <v>443</v>
      </c>
      <c r="Q60" s="1102" t="s">
        <v>443</v>
      </c>
      <c r="R60" s="1102" t="s">
        <v>443</v>
      </c>
      <c r="S60" s="1102" t="s">
        <v>443</v>
      </c>
      <c r="T60" s="1102" t="s">
        <v>443</v>
      </c>
      <c r="U60" s="1102" t="s">
        <v>443</v>
      </c>
      <c r="V60" s="1103" t="s">
        <v>443</v>
      </c>
      <c r="W60" s="1098" t="s">
        <v>443</v>
      </c>
      <c r="X60" s="1099" t="s">
        <v>443</v>
      </c>
      <c r="Y60" s="1099" t="s">
        <v>443</v>
      </c>
      <c r="Z60" s="1099" t="s">
        <v>443</v>
      </c>
      <c r="AA60" s="1099" t="s">
        <v>443</v>
      </c>
      <c r="AB60" s="1099" t="s">
        <v>443</v>
      </c>
      <c r="AC60" s="1099" t="s">
        <v>443</v>
      </c>
      <c r="AD60" s="1099" t="s">
        <v>443</v>
      </c>
      <c r="AE60" s="1099" t="s">
        <v>443</v>
      </c>
      <c r="AF60" s="1099" t="s">
        <v>443</v>
      </c>
      <c r="AG60" s="1099" t="s">
        <v>443</v>
      </c>
      <c r="AH60" s="1100" t="s">
        <v>443</v>
      </c>
      <c r="AI60" s="1104" t="s">
        <v>443</v>
      </c>
      <c r="AJ60" s="1104" t="s">
        <v>443</v>
      </c>
      <c r="AK60" s="1104" t="s">
        <v>443</v>
      </c>
      <c r="AL60" s="1104" t="s">
        <v>443</v>
      </c>
      <c r="AM60" s="1104" t="s">
        <v>443</v>
      </c>
      <c r="AN60" s="1104" t="s">
        <v>443</v>
      </c>
      <c r="AO60" s="1104" t="s">
        <v>443</v>
      </c>
      <c r="AP60" s="1104" t="s">
        <v>443</v>
      </c>
      <c r="AQ60" s="1104" t="s">
        <v>443</v>
      </c>
      <c r="AR60" s="1104" t="s">
        <v>443</v>
      </c>
      <c r="AS60" s="1104" t="s">
        <v>443</v>
      </c>
      <c r="AT60" s="1104" t="s">
        <v>443</v>
      </c>
      <c r="AU60" s="1098" t="s">
        <v>443</v>
      </c>
      <c r="AV60" s="1099" t="s">
        <v>443</v>
      </c>
      <c r="AW60" s="1099" t="s">
        <v>443</v>
      </c>
      <c r="AX60" s="1099" t="s">
        <v>443</v>
      </c>
      <c r="AY60" s="1099" t="s">
        <v>443</v>
      </c>
      <c r="AZ60" s="1099" t="s">
        <v>443</v>
      </c>
      <c r="BA60" s="1099" t="s">
        <v>443</v>
      </c>
      <c r="BB60" s="1099" t="s">
        <v>443</v>
      </c>
      <c r="BC60" s="1099" t="s">
        <v>443</v>
      </c>
      <c r="BD60" s="1099" t="s">
        <v>443</v>
      </c>
      <c r="BE60" s="1099" t="s">
        <v>443</v>
      </c>
      <c r="BF60" s="1099" t="s">
        <v>443</v>
      </c>
      <c r="BG60" s="1105" t="s">
        <v>443</v>
      </c>
      <c r="BH60" s="1105" t="s">
        <v>443</v>
      </c>
      <c r="BI60" s="1105" t="s">
        <v>443</v>
      </c>
      <c r="BJ60" s="1105" t="s">
        <v>443</v>
      </c>
      <c r="BK60" s="1105" t="s">
        <v>443</v>
      </c>
      <c r="BL60" s="1105" t="s">
        <v>443</v>
      </c>
      <c r="BM60" s="1105" t="s">
        <v>443</v>
      </c>
      <c r="BN60" s="1105" t="s">
        <v>443</v>
      </c>
      <c r="BO60" s="1105" t="s">
        <v>443</v>
      </c>
      <c r="BP60" s="1105" t="s">
        <v>443</v>
      </c>
      <c r="BQ60" s="1105" t="s">
        <v>443</v>
      </c>
      <c r="BR60" s="1105" t="s">
        <v>443</v>
      </c>
      <c r="BS60" s="1106" t="s">
        <v>443</v>
      </c>
      <c r="BT60" s="1107" t="s">
        <v>443</v>
      </c>
      <c r="BU60" s="1107" t="s">
        <v>443</v>
      </c>
      <c r="BV60" s="1107" t="s">
        <v>443</v>
      </c>
      <c r="BW60" s="1107" t="s">
        <v>443</v>
      </c>
      <c r="BX60" s="1107" t="s">
        <v>443</v>
      </c>
      <c r="BY60" s="1107" t="s">
        <v>443</v>
      </c>
      <c r="BZ60" s="1107" t="s">
        <v>443</v>
      </c>
      <c r="CA60" s="1107" t="s">
        <v>443</v>
      </c>
      <c r="CB60" s="1107" t="s">
        <v>443</v>
      </c>
      <c r="CC60" s="1107" t="s">
        <v>443</v>
      </c>
      <c r="CD60" s="1107" t="s">
        <v>443</v>
      </c>
      <c r="CE60" s="1087" t="s">
        <v>443</v>
      </c>
      <c r="CF60" s="1088" t="s">
        <v>443</v>
      </c>
      <c r="CG60" s="1088" t="s">
        <v>443</v>
      </c>
      <c r="CH60" s="1088" t="s">
        <v>443</v>
      </c>
      <c r="CI60" s="1088" t="s">
        <v>443</v>
      </c>
      <c r="CJ60" s="1088" t="s">
        <v>443</v>
      </c>
      <c r="CK60" s="1088" t="s">
        <v>443</v>
      </c>
      <c r="CL60" s="1088" t="s">
        <v>443</v>
      </c>
      <c r="CM60" s="1088" t="s">
        <v>443</v>
      </c>
      <c r="CN60" s="1088" t="s">
        <v>443</v>
      </c>
      <c r="CO60" s="1088" t="s">
        <v>443</v>
      </c>
      <c r="CP60" s="1088" t="s">
        <v>443</v>
      </c>
      <c r="CQ60" s="1108" t="s">
        <v>443</v>
      </c>
      <c r="CR60" s="1109" t="s">
        <v>443</v>
      </c>
      <c r="CS60" s="1109" t="s">
        <v>443</v>
      </c>
      <c r="CT60" s="1109" t="s">
        <v>443</v>
      </c>
      <c r="CU60" s="1109" t="s">
        <v>443</v>
      </c>
      <c r="CV60" s="1109" t="s">
        <v>443</v>
      </c>
      <c r="CW60" s="1109" t="s">
        <v>443</v>
      </c>
      <c r="CX60" s="1109" t="s">
        <v>443</v>
      </c>
      <c r="CY60" s="1109" t="s">
        <v>443</v>
      </c>
      <c r="CZ60" s="1109" t="s">
        <v>443</v>
      </c>
      <c r="DA60" s="1109" t="s">
        <v>443</v>
      </c>
      <c r="DB60" s="1110" t="s">
        <v>443</v>
      </c>
      <c r="DC60" s="1091" t="s">
        <v>443</v>
      </c>
      <c r="DD60" s="1091" t="s">
        <v>443</v>
      </c>
      <c r="DE60" s="1091" t="s">
        <v>443</v>
      </c>
      <c r="DF60" s="1091" t="s">
        <v>443</v>
      </c>
      <c r="DG60" s="1091" t="s">
        <v>443</v>
      </c>
      <c r="DH60" s="1091" t="s">
        <v>443</v>
      </c>
      <c r="DI60" s="1091" t="s">
        <v>443</v>
      </c>
      <c r="DJ60" s="1091" t="s">
        <v>443</v>
      </c>
      <c r="DK60" s="1091" t="s">
        <v>443</v>
      </c>
      <c r="DL60" s="1091" t="s">
        <v>443</v>
      </c>
      <c r="DM60" s="1091" t="s">
        <v>443</v>
      </c>
      <c r="DN60" s="1092" t="s">
        <v>443</v>
      </c>
      <c r="DO60" s="1091" t="s">
        <v>443</v>
      </c>
      <c r="DP60" s="1091" t="s">
        <v>443</v>
      </c>
      <c r="DQ60" s="1091" t="s">
        <v>443</v>
      </c>
      <c r="DR60" s="1091" t="s">
        <v>443</v>
      </c>
      <c r="DS60" s="1091" t="s">
        <v>443</v>
      </c>
      <c r="DT60" s="1091" t="s">
        <v>443</v>
      </c>
      <c r="DU60" s="1091" t="s">
        <v>443</v>
      </c>
      <c r="DV60" s="1091" t="s">
        <v>443</v>
      </c>
      <c r="DW60" s="1091" t="s">
        <v>443</v>
      </c>
      <c r="DX60" s="1091" t="s">
        <v>443</v>
      </c>
      <c r="DY60" s="1091" t="s">
        <v>443</v>
      </c>
      <c r="DZ60" s="1091" t="s">
        <v>443</v>
      </c>
      <c r="EA60" s="1099"/>
      <c r="EB60" s="1111" t="s">
        <v>443</v>
      </c>
      <c r="EC60" s="1112" t="s">
        <v>443</v>
      </c>
      <c r="ED60" s="1112" t="s">
        <v>443</v>
      </c>
      <c r="EE60" s="1112" t="s">
        <v>443</v>
      </c>
      <c r="EF60" s="1112" t="s">
        <v>443</v>
      </c>
      <c r="EG60" s="1112" t="s">
        <v>443</v>
      </c>
      <c r="EH60" s="1112" t="s">
        <v>443</v>
      </c>
      <c r="EI60" s="1112" t="s">
        <v>443</v>
      </c>
      <c r="EJ60" s="1112" t="s">
        <v>443</v>
      </c>
      <c r="EK60" s="1113" t="s">
        <v>443</v>
      </c>
      <c r="EL60" s="1113" t="s">
        <v>443</v>
      </c>
      <c r="EM60" s="1323" t="s">
        <v>443</v>
      </c>
    </row>
    <row r="61" spans="1:143">
      <c r="A61" s="998"/>
      <c r="B61" s="1166" t="s">
        <v>711</v>
      </c>
      <c r="C61" s="1115" t="s">
        <v>712</v>
      </c>
      <c r="D61" s="1098">
        <v>72.078803940613284</v>
      </c>
      <c r="E61" s="1099">
        <v>73.124743681838964</v>
      </c>
      <c r="F61" s="1099">
        <v>73.603873060289999</v>
      </c>
      <c r="G61" s="1099">
        <v>74.287101837922691</v>
      </c>
      <c r="H61" s="1099">
        <v>80.579145620634065</v>
      </c>
      <c r="I61" s="1099">
        <v>77.467297262645047</v>
      </c>
      <c r="J61" s="1100">
        <v>76.260898820402062</v>
      </c>
      <c r="K61" s="1101">
        <v>78.701518824871641</v>
      </c>
      <c r="L61" s="1102">
        <v>77.132648847511092</v>
      </c>
      <c r="M61" s="1102">
        <v>78.620408358285019</v>
      </c>
      <c r="N61" s="1102">
        <v>76.697340957827024</v>
      </c>
      <c r="O61" s="1102">
        <v>76.029049711617674</v>
      </c>
      <c r="P61" s="1102">
        <v>82.662846832914497</v>
      </c>
      <c r="Q61" s="1102">
        <v>82.614782551396942</v>
      </c>
      <c r="R61" s="1102">
        <v>78.490494190020513</v>
      </c>
      <c r="S61" s="1102">
        <v>85.720929051530973</v>
      </c>
      <c r="T61" s="1102">
        <v>83.176462663587373</v>
      </c>
      <c r="U61" s="1102">
        <v>82.190418926867522</v>
      </c>
      <c r="V61" s="1103">
        <v>78.891701635694076</v>
      </c>
      <c r="W61" s="1098">
        <v>87.184764565043906</v>
      </c>
      <c r="X61" s="1099">
        <v>88.726255774561139</v>
      </c>
      <c r="Y61" s="1099">
        <v>85.512726034652331</v>
      </c>
      <c r="Z61" s="1099">
        <v>88.638467408807671</v>
      </c>
      <c r="AA61" s="1099">
        <v>91.553231897839979</v>
      </c>
      <c r="AB61" s="1099">
        <v>92.820135731252122</v>
      </c>
      <c r="AC61" s="1099">
        <v>94.055865371734768</v>
      </c>
      <c r="AD61" s="1099">
        <v>91.032279608192354</v>
      </c>
      <c r="AE61" s="1099">
        <v>94.724269552385636</v>
      </c>
      <c r="AF61" s="1099">
        <v>97.647735975364839</v>
      </c>
      <c r="AG61" s="1099">
        <v>90.812073013415883</v>
      </c>
      <c r="AH61" s="1100">
        <v>84.625160682226209</v>
      </c>
      <c r="AI61" s="1104">
        <v>86.222399414776874</v>
      </c>
      <c r="AJ61" s="1104">
        <v>90.975152216156204</v>
      </c>
      <c r="AK61" s="1104">
        <v>89.826081271531478</v>
      </c>
      <c r="AL61" s="1104">
        <v>93.574735175083603</v>
      </c>
      <c r="AM61" s="1104">
        <v>87.614963665366901</v>
      </c>
      <c r="AN61" s="1104">
        <v>93.844970988063665</v>
      </c>
      <c r="AO61" s="1104">
        <v>93.35526869158879</v>
      </c>
      <c r="AP61" s="1104">
        <v>94.283580647596054</v>
      </c>
      <c r="AQ61" s="1104">
        <v>92.346711034778892</v>
      </c>
      <c r="AR61" s="1104">
        <v>96.393584001257267</v>
      </c>
      <c r="AS61" s="1104">
        <v>91.236818384649709</v>
      </c>
      <c r="AT61" s="1104">
        <v>86.627180306304609</v>
      </c>
      <c r="AU61" s="1098">
        <v>88.918926640926642</v>
      </c>
      <c r="AV61" s="1099">
        <v>94.918853333333331</v>
      </c>
      <c r="AW61" s="1099">
        <v>98.499570034485302</v>
      </c>
      <c r="AX61" s="1099">
        <v>86.684075551384311</v>
      </c>
      <c r="AY61" s="1099">
        <v>90.428561193156895</v>
      </c>
      <c r="AZ61" s="1099">
        <v>91.065127980108244</v>
      </c>
      <c r="BA61" s="1099">
        <v>90.927943840579701</v>
      </c>
      <c r="BB61" s="1099">
        <v>92.294797869946748</v>
      </c>
      <c r="BC61" s="1099">
        <v>93.928008860653691</v>
      </c>
      <c r="BD61" s="1099">
        <v>93.272345252092123</v>
      </c>
      <c r="BE61" s="1099">
        <v>84.974404745482133</v>
      </c>
      <c r="BF61" s="1099">
        <v>107.35987832188712</v>
      </c>
      <c r="BG61" s="1105">
        <v>106.33918751008554</v>
      </c>
      <c r="BH61" s="1105">
        <v>108.95745425434583</v>
      </c>
      <c r="BI61" s="1105">
        <v>101.25113602391629</v>
      </c>
      <c r="BJ61" s="1105">
        <v>82.443890865954927</v>
      </c>
      <c r="BK61" s="1105">
        <v>95.215140508641284</v>
      </c>
      <c r="BL61" s="1105">
        <v>95.187561173349067</v>
      </c>
      <c r="BM61" s="1105">
        <v>92.415851571268234</v>
      </c>
      <c r="BN61" s="1105">
        <v>92.573272938602486</v>
      </c>
      <c r="BO61" s="1105">
        <v>97.011776824034342</v>
      </c>
      <c r="BP61" s="1105">
        <v>94.096640149071874</v>
      </c>
      <c r="BQ61" s="1105">
        <v>94.706091302492837</v>
      </c>
      <c r="BR61" s="1105">
        <v>111.44698153654656</v>
      </c>
      <c r="BS61" s="1106">
        <v>93.231989511635533</v>
      </c>
      <c r="BT61" s="1107">
        <v>109.70350364963504</v>
      </c>
      <c r="BU61" s="1107">
        <v>110.93927245586708</v>
      </c>
      <c r="BV61" s="1107">
        <v>108.94171918900447</v>
      </c>
      <c r="BW61" s="1107">
        <v>100.87044652061854</v>
      </c>
      <c r="BX61" s="1107">
        <v>104.83677511961724</v>
      </c>
      <c r="BY61" s="1107">
        <v>100.18908928685234</v>
      </c>
      <c r="BZ61" s="1107">
        <v>96.253956654128601</v>
      </c>
      <c r="CA61" s="1107">
        <v>105.47686760103416</v>
      </c>
      <c r="CB61" s="1107">
        <v>108.78447033389382</v>
      </c>
      <c r="CC61" s="1107">
        <v>110.55651500714626</v>
      </c>
      <c r="CD61" s="1107">
        <v>149.4809248510177</v>
      </c>
      <c r="CE61" s="1087">
        <v>146.57538041525973</v>
      </c>
      <c r="CF61" s="1088">
        <v>139.42336394647072</v>
      </c>
      <c r="CG61" s="1088">
        <v>159.97369822993639</v>
      </c>
      <c r="CH61" s="1088">
        <v>78.659932763235204</v>
      </c>
      <c r="CI61" s="1088">
        <v>98.28448768539937</v>
      </c>
      <c r="CJ61" s="1088">
        <v>112.88152822395594</v>
      </c>
      <c r="CK61" s="1088">
        <v>111.46700025910093</v>
      </c>
      <c r="CL61" s="1088">
        <v>105.85989397446426</v>
      </c>
      <c r="CM61" s="1088">
        <v>110.09482717989003</v>
      </c>
      <c r="CN61" s="1088">
        <v>102.28654749478079</v>
      </c>
      <c r="CO61" s="1088">
        <v>110.10749265670896</v>
      </c>
      <c r="CP61" s="1088">
        <v>99.228373147458882</v>
      </c>
      <c r="CQ61" s="1108">
        <v>112.28253619498</v>
      </c>
      <c r="CR61" s="1109">
        <v>118.72426514854075</v>
      </c>
      <c r="CS61" s="1109">
        <v>111.04981812318609</v>
      </c>
      <c r="CT61" s="1109">
        <v>110.15775964689361</v>
      </c>
      <c r="CU61" s="1109">
        <v>90.929295389802917</v>
      </c>
      <c r="CV61" s="1109">
        <v>92.292887536124951</v>
      </c>
      <c r="CW61" s="1109">
        <v>111.24</v>
      </c>
      <c r="CX61" s="1109">
        <v>106.13737960042063</v>
      </c>
      <c r="CY61" s="1109">
        <v>113.51092616413686</v>
      </c>
      <c r="CZ61" s="1109">
        <v>108.13252401746726</v>
      </c>
      <c r="DA61" s="1109">
        <v>110.74094690265488</v>
      </c>
      <c r="DB61" s="1110">
        <v>114.63375114235501</v>
      </c>
      <c r="DC61" s="1091">
        <v>112.61419487968665</v>
      </c>
      <c r="DD61" s="1091">
        <v>110.1310978112175</v>
      </c>
      <c r="DE61" s="1091">
        <v>111.82833270154158</v>
      </c>
      <c r="DF61" s="1091">
        <v>111.94455986878076</v>
      </c>
      <c r="DG61" s="1091">
        <v>111.91264297541714</v>
      </c>
      <c r="DH61" s="1091">
        <v>111.38397733792313</v>
      </c>
      <c r="DI61" s="1091">
        <v>114.12700280504909</v>
      </c>
      <c r="DJ61" s="1091">
        <v>103.93283971426278</v>
      </c>
      <c r="DK61" s="1091">
        <v>112.05799876562259</v>
      </c>
      <c r="DL61" s="1091">
        <v>108.40099636123057</v>
      </c>
      <c r="DM61" s="1091">
        <v>107.48785495257791</v>
      </c>
      <c r="DN61" s="1092">
        <v>106.79926757348046</v>
      </c>
      <c r="DO61" s="1091">
        <v>106.79926757348046</v>
      </c>
      <c r="DP61" s="1091">
        <v>115.65675252525254</v>
      </c>
      <c r="DQ61" s="1091">
        <v>118.00072195960463</v>
      </c>
      <c r="DR61" s="1091">
        <v>115.07690609611141</v>
      </c>
      <c r="DS61" s="1091">
        <v>112.26576489930127</v>
      </c>
      <c r="DT61" s="1091">
        <v>112.8793527760449</v>
      </c>
      <c r="DU61" s="1091">
        <v>115.76946207731558</v>
      </c>
      <c r="DV61" s="1091">
        <v>114.32508390826031</v>
      </c>
      <c r="DW61" s="1091">
        <v>113.37100745955914</v>
      </c>
      <c r="DX61" s="1091">
        <v>154.05435139994864</v>
      </c>
      <c r="DY61" s="1091">
        <v>115.57789512500923</v>
      </c>
      <c r="DZ61" s="1091">
        <v>119.50246674727933</v>
      </c>
      <c r="EA61" s="1099"/>
      <c r="EB61" s="1111">
        <v>75.320091705805453</v>
      </c>
      <c r="EC61" s="1112">
        <v>80.136062530730314</v>
      </c>
      <c r="ED61" s="1112">
        <v>90.854864122283942</v>
      </c>
      <c r="EE61" s="1112">
        <v>91.45513197147676</v>
      </c>
      <c r="EF61" s="1112">
        <v>92.761408169581671</v>
      </c>
      <c r="EG61" s="1112">
        <v>97.590903279284845</v>
      </c>
      <c r="EH61" s="1112">
        <v>107.62655854928522</v>
      </c>
      <c r="EI61" s="1112">
        <v>115.02262862226327</v>
      </c>
      <c r="EJ61" s="1112">
        <f>AVERAGE(CQ61:DB61)</f>
        <v>108.31934082221359</v>
      </c>
      <c r="EK61" s="1113">
        <v>110.37362563408057</v>
      </c>
      <c r="EL61" s="1112">
        <f>AVERAGE(DO61:DZ61)</f>
        <v>117.77325271226397</v>
      </c>
      <c r="EM61" s="1318">
        <v>118.01756296339134</v>
      </c>
    </row>
    <row r="62" spans="1:143">
      <c r="A62" s="998"/>
      <c r="B62" s="1166" t="s">
        <v>713</v>
      </c>
      <c r="C62" s="1115" t="s">
        <v>714</v>
      </c>
      <c r="D62" s="1098" t="s">
        <v>443</v>
      </c>
      <c r="E62" s="1099" t="s">
        <v>443</v>
      </c>
      <c r="F62" s="1099" t="s">
        <v>443</v>
      </c>
      <c r="G62" s="1099" t="s">
        <v>443</v>
      </c>
      <c r="H62" s="1099" t="s">
        <v>443</v>
      </c>
      <c r="I62" s="1099" t="s">
        <v>443</v>
      </c>
      <c r="J62" s="1100" t="s">
        <v>443</v>
      </c>
      <c r="K62" s="1101"/>
      <c r="L62" s="1102"/>
      <c r="M62" s="1102"/>
      <c r="N62" s="1102"/>
      <c r="O62" s="1102"/>
      <c r="P62" s="1102"/>
      <c r="Q62" s="1102"/>
      <c r="R62" s="1102"/>
      <c r="S62" s="1102"/>
      <c r="T62" s="1102"/>
      <c r="U62" s="1102"/>
      <c r="V62" s="1103"/>
      <c r="W62" s="1098"/>
      <c r="X62" s="1099"/>
      <c r="Y62" s="1099"/>
      <c r="Z62" s="1099"/>
      <c r="AA62" s="1099"/>
      <c r="AB62" s="1099"/>
      <c r="AC62" s="1099"/>
      <c r="AD62" s="1099"/>
      <c r="AE62" s="1099"/>
      <c r="AF62" s="1099"/>
      <c r="AG62" s="1099"/>
      <c r="AH62" s="1100"/>
      <c r="AI62" s="1104"/>
      <c r="AJ62" s="1104"/>
      <c r="AK62" s="1104"/>
      <c r="AL62" s="1104"/>
      <c r="AM62" s="1104"/>
      <c r="AN62" s="1104"/>
      <c r="AO62" s="1104"/>
      <c r="AP62" s="1104"/>
      <c r="AQ62" s="1104"/>
      <c r="AR62" s="1104"/>
      <c r="AS62" s="1104"/>
      <c r="AT62" s="1104"/>
      <c r="AU62" s="1098" t="s">
        <v>443</v>
      </c>
      <c r="AV62" s="1099" t="s">
        <v>443</v>
      </c>
      <c r="AW62" s="1099" t="s">
        <v>443</v>
      </c>
      <c r="AX62" s="1099" t="s">
        <v>443</v>
      </c>
      <c r="AY62" s="1099" t="s">
        <v>443</v>
      </c>
      <c r="AZ62" s="1099" t="s">
        <v>443</v>
      </c>
      <c r="BA62" s="1099" t="s">
        <v>443</v>
      </c>
      <c r="BB62" s="1099" t="s">
        <v>443</v>
      </c>
      <c r="BC62" s="1099" t="s">
        <v>443</v>
      </c>
      <c r="BD62" s="1099" t="s">
        <v>443</v>
      </c>
      <c r="BE62" s="1099" t="s">
        <v>443</v>
      </c>
      <c r="BF62" s="1099" t="s">
        <v>443</v>
      </c>
      <c r="BG62" s="1105" t="s">
        <v>443</v>
      </c>
      <c r="BH62" s="1105" t="s">
        <v>443</v>
      </c>
      <c r="BI62" s="1105" t="s">
        <v>443</v>
      </c>
      <c r="BJ62" s="1105" t="s">
        <v>443</v>
      </c>
      <c r="BK62" s="1105" t="s">
        <v>443</v>
      </c>
      <c r="BL62" s="1105" t="s">
        <v>443</v>
      </c>
      <c r="BM62" s="1105" t="s">
        <v>443</v>
      </c>
      <c r="BN62" s="1105" t="s">
        <v>443</v>
      </c>
      <c r="BO62" s="1105" t="s">
        <v>443</v>
      </c>
      <c r="BP62" s="1105" t="s">
        <v>443</v>
      </c>
      <c r="BQ62" s="1105" t="s">
        <v>443</v>
      </c>
      <c r="BR62" s="1105" t="s">
        <v>443</v>
      </c>
      <c r="BS62" s="1106" t="s">
        <v>443</v>
      </c>
      <c r="BT62" s="1107" t="s">
        <v>443</v>
      </c>
      <c r="BU62" s="1107" t="s">
        <v>443</v>
      </c>
      <c r="BV62" s="1107" t="s">
        <v>443</v>
      </c>
      <c r="BW62" s="1107" t="s">
        <v>443</v>
      </c>
      <c r="BX62" s="1107" t="s">
        <v>443</v>
      </c>
      <c r="BY62" s="1107" t="s">
        <v>443</v>
      </c>
      <c r="BZ62" s="1107" t="s">
        <v>443</v>
      </c>
      <c r="CA62" s="1107" t="s">
        <v>443</v>
      </c>
      <c r="CB62" s="1107" t="s">
        <v>443</v>
      </c>
      <c r="CC62" s="1107" t="s">
        <v>443</v>
      </c>
      <c r="CD62" s="1107" t="s">
        <v>443</v>
      </c>
      <c r="CE62" s="1087" t="s">
        <v>443</v>
      </c>
      <c r="CF62" s="1088" t="s">
        <v>443</v>
      </c>
      <c r="CG62" s="1088" t="s">
        <v>443</v>
      </c>
      <c r="CH62" s="1088" t="s">
        <v>443</v>
      </c>
      <c r="CI62" s="1088" t="s">
        <v>443</v>
      </c>
      <c r="CJ62" s="1088" t="s">
        <v>443</v>
      </c>
      <c r="CK62" s="1088" t="s">
        <v>443</v>
      </c>
      <c r="CL62" s="1088" t="s">
        <v>443</v>
      </c>
      <c r="CM62" s="1088" t="s">
        <v>443</v>
      </c>
      <c r="CN62" s="1088" t="s">
        <v>443</v>
      </c>
      <c r="CO62" s="1088" t="s">
        <v>443</v>
      </c>
      <c r="CP62" s="1088" t="s">
        <v>443</v>
      </c>
      <c r="CQ62" s="1108" t="s">
        <v>443</v>
      </c>
      <c r="CR62" s="1109" t="s">
        <v>443</v>
      </c>
      <c r="CS62" s="1109" t="s">
        <v>443</v>
      </c>
      <c r="CT62" s="1109" t="s">
        <v>443</v>
      </c>
      <c r="CU62" s="1109" t="s">
        <v>443</v>
      </c>
      <c r="CV62" s="1109" t="s">
        <v>443</v>
      </c>
      <c r="CW62" s="1109" t="s">
        <v>443</v>
      </c>
      <c r="CX62" s="1109" t="s">
        <v>443</v>
      </c>
      <c r="CY62" s="1109" t="s">
        <v>443</v>
      </c>
      <c r="CZ62" s="1109" t="s">
        <v>443</v>
      </c>
      <c r="DA62" s="1109" t="s">
        <v>443</v>
      </c>
      <c r="DB62" s="1110" t="s">
        <v>443</v>
      </c>
      <c r="DC62" s="1091" t="s">
        <v>443</v>
      </c>
      <c r="DD62" s="1091" t="s">
        <v>443</v>
      </c>
      <c r="DE62" s="1091" t="s">
        <v>443</v>
      </c>
      <c r="DF62" s="1091" t="s">
        <v>443</v>
      </c>
      <c r="DG62" s="1091" t="s">
        <v>443</v>
      </c>
      <c r="DH62" s="1091" t="s">
        <v>443</v>
      </c>
      <c r="DI62" s="1091" t="s">
        <v>443</v>
      </c>
      <c r="DJ62" s="1091" t="s">
        <v>443</v>
      </c>
      <c r="DK62" s="1091" t="s">
        <v>443</v>
      </c>
      <c r="DL62" s="1091" t="s">
        <v>443</v>
      </c>
      <c r="DM62" s="1091" t="s">
        <v>443</v>
      </c>
      <c r="DN62" s="1092" t="s">
        <v>443</v>
      </c>
      <c r="DO62" s="1091" t="s">
        <v>443</v>
      </c>
      <c r="DP62" s="1091" t="s">
        <v>443</v>
      </c>
      <c r="DQ62" s="1091" t="s">
        <v>443</v>
      </c>
      <c r="DR62" s="1091" t="s">
        <v>443</v>
      </c>
      <c r="DS62" s="1091" t="s">
        <v>443</v>
      </c>
      <c r="DT62" s="1091" t="s">
        <v>443</v>
      </c>
      <c r="DU62" s="1091" t="s">
        <v>443</v>
      </c>
      <c r="DV62" s="1091" t="s">
        <v>443</v>
      </c>
      <c r="DW62" s="1091" t="s">
        <v>443</v>
      </c>
      <c r="DX62" s="1091" t="s">
        <v>443</v>
      </c>
      <c r="DY62" s="1091" t="s">
        <v>443</v>
      </c>
      <c r="DZ62" s="1091" t="s">
        <v>443</v>
      </c>
      <c r="EA62" s="1099"/>
      <c r="EB62" s="1111" t="s">
        <v>443</v>
      </c>
      <c r="EC62" s="1112"/>
      <c r="ED62" s="1112"/>
      <c r="EE62" s="1112"/>
      <c r="EF62" s="1112"/>
      <c r="EG62" s="1112"/>
      <c r="EH62" s="1112"/>
      <c r="EI62" s="1112"/>
      <c r="EJ62" s="1112"/>
      <c r="EK62" s="1113" t="s">
        <v>443</v>
      </c>
      <c r="EL62" s="1112"/>
      <c r="EM62" s="1318"/>
    </row>
    <row r="63" spans="1:143">
      <c r="A63" s="998"/>
      <c r="B63" s="1166" t="s">
        <v>715</v>
      </c>
      <c r="C63" s="1115" t="s">
        <v>716</v>
      </c>
      <c r="D63" s="1098">
        <v>99.14</v>
      </c>
      <c r="E63" s="1099">
        <v>99.14</v>
      </c>
      <c r="F63" s="1099">
        <v>100.42</v>
      </c>
      <c r="G63" s="1099">
        <v>105.92</v>
      </c>
      <c r="H63" s="1099">
        <v>105</v>
      </c>
      <c r="I63" s="1099">
        <v>96.49</v>
      </c>
      <c r="J63" s="1100">
        <v>89.6</v>
      </c>
      <c r="K63" s="1101">
        <v>111.68</v>
      </c>
      <c r="L63" s="1102">
        <v>100.94</v>
      </c>
      <c r="M63" s="1102">
        <v>103.25</v>
      </c>
      <c r="N63" s="1102">
        <v>102</v>
      </c>
      <c r="O63" s="1102">
        <v>104.72000000000001</v>
      </c>
      <c r="P63" s="1102">
        <v>108.41999999999999</v>
      </c>
      <c r="Q63" s="1102">
        <v>105.75999999999999</v>
      </c>
      <c r="R63" s="1102">
        <v>106.43</v>
      </c>
      <c r="S63" s="1102">
        <v>104.30000000000001</v>
      </c>
      <c r="T63" s="1102">
        <v>110.4</v>
      </c>
      <c r="U63" s="1102">
        <v>102.3</v>
      </c>
      <c r="V63" s="1103">
        <v>93.5</v>
      </c>
      <c r="W63" s="1098">
        <v>107.34</v>
      </c>
      <c r="X63" s="1099">
        <v>113</v>
      </c>
      <c r="Y63" s="1099">
        <v>107.8</v>
      </c>
      <c r="Z63" s="1099">
        <v>114.53000000000002</v>
      </c>
      <c r="AA63" s="1099">
        <v>107.62</v>
      </c>
      <c r="AB63" s="1099">
        <v>120.36</v>
      </c>
      <c r="AC63" s="1099">
        <v>120.4</v>
      </c>
      <c r="AD63" s="1099">
        <v>120.4</v>
      </c>
      <c r="AE63" s="1099">
        <v>125.64</v>
      </c>
      <c r="AF63" s="1099">
        <v>126.87</v>
      </c>
      <c r="AG63" s="1099">
        <v>126.87</v>
      </c>
      <c r="AH63" s="1100">
        <v>126.87</v>
      </c>
      <c r="AI63" s="1104">
        <v>126.87</v>
      </c>
      <c r="AJ63" s="1104">
        <v>115.25</v>
      </c>
      <c r="AK63" s="1104">
        <v>126.87</v>
      </c>
      <c r="AL63" s="1104">
        <v>115.06</v>
      </c>
      <c r="AM63" s="1104">
        <v>110</v>
      </c>
      <c r="AN63" s="1104">
        <v>106</v>
      </c>
      <c r="AO63" s="1104">
        <v>108.5</v>
      </c>
      <c r="AP63" s="1104">
        <v>113.47000000000001</v>
      </c>
      <c r="AQ63" s="1104">
        <v>105.58</v>
      </c>
      <c r="AR63" s="1104">
        <v>105.58</v>
      </c>
      <c r="AS63" s="1104">
        <v>105.54</v>
      </c>
      <c r="AT63" s="1104">
        <v>105.39</v>
      </c>
      <c r="AU63" s="1098">
        <v>94.754065997130567</v>
      </c>
      <c r="AV63" s="1099">
        <v>102.30526019690578</v>
      </c>
      <c r="AW63" s="1099">
        <v>103.4470207253886</v>
      </c>
      <c r="AX63" s="1099">
        <v>103.66619999999999</v>
      </c>
      <c r="AY63" s="1099">
        <v>100.94428589596845</v>
      </c>
      <c r="AZ63" s="1099">
        <v>100.94428589596845</v>
      </c>
      <c r="BA63" s="1099">
        <v>102.32623376623377</v>
      </c>
      <c r="BB63" s="1099">
        <v>102.4744966442953</v>
      </c>
      <c r="BC63" s="1099">
        <v>101.40390646492435</v>
      </c>
      <c r="BD63" s="1099">
        <v>104.69297735399284</v>
      </c>
      <c r="BE63" s="1099">
        <v>105.17538461538462</v>
      </c>
      <c r="BF63" s="1099">
        <v>103.59206765820937</v>
      </c>
      <c r="BG63" s="1105">
        <v>94.321560525866488</v>
      </c>
      <c r="BH63" s="1105">
        <v>107.4341016852328</v>
      </c>
      <c r="BI63" s="1105">
        <v>110.29751044776118</v>
      </c>
      <c r="BJ63" s="1105">
        <v>102.06719390660592</v>
      </c>
      <c r="BK63" s="1105">
        <v>98.880063243487427</v>
      </c>
      <c r="BL63" s="1105">
        <v>101.65462146148784</v>
      </c>
      <c r="BM63" s="1105">
        <v>100.18248255234298</v>
      </c>
      <c r="BN63" s="1105">
        <v>101.56052352718557</v>
      </c>
      <c r="BO63" s="1105">
        <v>97.095339290026573</v>
      </c>
      <c r="BP63" s="1105">
        <v>104.63522796352584</v>
      </c>
      <c r="BQ63" s="1105">
        <v>146.82526742301457</v>
      </c>
      <c r="BR63" s="1105">
        <v>140.30642476697736</v>
      </c>
      <c r="BS63" s="1106">
        <v>146.49529381836683</v>
      </c>
      <c r="BT63" s="1107">
        <v>146.94866531337223</v>
      </c>
      <c r="BU63" s="1107">
        <v>149.05272081567193</v>
      </c>
      <c r="BV63" s="1107">
        <v>151.56648197242842</v>
      </c>
      <c r="BW63" s="1107">
        <v>106.76236371661885</v>
      </c>
      <c r="BX63" s="1107">
        <v>106.90254676106943</v>
      </c>
      <c r="BY63" s="1107">
        <v>104.42003352540598</v>
      </c>
      <c r="BZ63" s="1107">
        <v>102.28948115783724</v>
      </c>
      <c r="CA63" s="1107">
        <v>104.61124572600868</v>
      </c>
      <c r="CB63" s="1107">
        <v>104.63576809695381</v>
      </c>
      <c r="CC63" s="1107">
        <v>115</v>
      </c>
      <c r="CD63" s="1107">
        <v>112.36496227601384</v>
      </c>
      <c r="CE63" s="1087">
        <v>112.50543554006968</v>
      </c>
      <c r="CF63" s="1088">
        <v>116.63305963302753</v>
      </c>
      <c r="CG63" s="1088">
        <v>123.16451895682664</v>
      </c>
      <c r="CH63" s="1088">
        <v>106.54226316444665</v>
      </c>
      <c r="CI63" s="1088">
        <v>109.65862840466927</v>
      </c>
      <c r="CJ63" s="1088">
        <v>110.25664922088734</v>
      </c>
      <c r="CK63" s="1088">
        <v>105.42864864864865</v>
      </c>
      <c r="CL63" s="1088">
        <v>107.30944206565459</v>
      </c>
      <c r="CM63" s="1088">
        <v>104.84685530988658</v>
      </c>
      <c r="CN63" s="1088">
        <v>102.56139904610492</v>
      </c>
      <c r="CO63" s="1088">
        <v>105.20892568390741</v>
      </c>
      <c r="CP63" s="1088">
        <v>101.79331006222492</v>
      </c>
      <c r="CQ63" s="1108">
        <v>118.75432976626303</v>
      </c>
      <c r="CR63" s="1109">
        <v>115.0309422378148</v>
      </c>
      <c r="CS63" s="1109">
        <v>113.83816075307747</v>
      </c>
      <c r="CT63" s="1109">
        <v>114.26060004959088</v>
      </c>
      <c r="CU63" s="1109">
        <v>115.82181157024793</v>
      </c>
      <c r="CV63" s="1109">
        <v>114.41368923157346</v>
      </c>
      <c r="CW63" s="1109">
        <v>114.33</v>
      </c>
      <c r="CX63" s="1109">
        <v>116.21246180816428</v>
      </c>
      <c r="CY63" s="1109">
        <v>119.15423357664233</v>
      </c>
      <c r="CZ63" s="1109">
        <v>111.16216399861798</v>
      </c>
      <c r="DA63" s="1109">
        <v>117.58536749077079</v>
      </c>
      <c r="DB63" s="1110">
        <v>114.43052596537952</v>
      </c>
      <c r="DC63" s="1091">
        <v>117.55666425992779</v>
      </c>
      <c r="DD63" s="1091">
        <v>117.31137852463685</v>
      </c>
      <c r="DE63" s="1091">
        <v>117.26392644014129</v>
      </c>
      <c r="DF63" s="1091">
        <v>117.82840570102751</v>
      </c>
      <c r="DG63" s="1091">
        <v>118.94632342681736</v>
      </c>
      <c r="DH63" s="1091">
        <v>114.33984449425608</v>
      </c>
      <c r="DI63" s="1091">
        <v>112.83645031011108</v>
      </c>
      <c r="DJ63" s="1091">
        <v>134.08509817671811</v>
      </c>
      <c r="DK63" s="1091">
        <v>109.39337002096435</v>
      </c>
      <c r="DL63" s="1091">
        <v>111.13615491709911</v>
      </c>
      <c r="DM63" s="1091">
        <v>110.38006571741512</v>
      </c>
      <c r="DN63" s="1092">
        <v>90.976481481481486</v>
      </c>
      <c r="DO63" s="1091">
        <v>88.351739583333313</v>
      </c>
      <c r="DP63" s="1091">
        <v>104.60680190058478</v>
      </c>
      <c r="DQ63" s="1091">
        <v>103.2012733103694</v>
      </c>
      <c r="DR63" s="1091">
        <v>103.10988054215485</v>
      </c>
      <c r="DS63" s="1091">
        <v>96.724038149350648</v>
      </c>
      <c r="DT63" s="1091">
        <v>99.716858012611439</v>
      </c>
      <c r="DU63" s="1091">
        <v>102.83241985068071</v>
      </c>
      <c r="DV63" s="1091">
        <v>99.790152897657208</v>
      </c>
      <c r="DW63" s="1091">
        <v>100.9199300315544</v>
      </c>
      <c r="DX63" s="1091">
        <v>143.91984535155547</v>
      </c>
      <c r="DY63" s="1091">
        <v>99.77458404074703</v>
      </c>
      <c r="DZ63" s="1091">
        <v>101.22458868894603</v>
      </c>
      <c r="EA63" s="1099"/>
      <c r="EB63" s="1111">
        <v>99.83273444325188</v>
      </c>
      <c r="EC63" s="1112">
        <v>104.6456378594831</v>
      </c>
      <c r="ED63" s="1112">
        <v>118.56923299398426</v>
      </c>
      <c r="EE63" s="1112">
        <v>111.95084248349629</v>
      </c>
      <c r="EF63" s="1112">
        <v>102.17817333851538</v>
      </c>
      <c r="EG63" s="1112">
        <v>108.90446072925819</v>
      </c>
      <c r="EH63" s="1112">
        <v>119.85633549462584</v>
      </c>
      <c r="EI63" s="1112">
        <v>108.98854189994853</v>
      </c>
      <c r="EJ63" s="1112">
        <f>AVERAGE(CQ63:DB63)</f>
        <v>115.4161905373452</v>
      </c>
      <c r="EK63" s="1113">
        <v>114.25783662908457</v>
      </c>
      <c r="EL63" s="1112">
        <f>AVERAGE(DO63:DZ63)</f>
        <v>103.68100936329544</v>
      </c>
      <c r="EM63" s="1318">
        <v>102.08533282872116</v>
      </c>
    </row>
    <row r="64" spans="1:143">
      <c r="A64" s="998"/>
      <c r="B64" s="1166" t="s">
        <v>717</v>
      </c>
      <c r="C64" s="1115" t="s">
        <v>718</v>
      </c>
      <c r="D64" s="1098">
        <v>57.447831485957167</v>
      </c>
      <c r="E64" s="1099">
        <v>57.074251584918251</v>
      </c>
      <c r="F64" s="1099">
        <v>71.266586690810328</v>
      </c>
      <c r="G64" s="1099">
        <v>58.115948974557753</v>
      </c>
      <c r="H64" s="1099">
        <v>57.009497333333336</v>
      </c>
      <c r="I64" s="1099">
        <v>56.242387170385392</v>
      </c>
      <c r="J64" s="1100">
        <v>55.706741775574585</v>
      </c>
      <c r="K64" s="1101">
        <v>61.375675916837686</v>
      </c>
      <c r="L64" s="1102">
        <v>58.645386772955426</v>
      </c>
      <c r="M64" s="1102">
        <v>57.635620723362656</v>
      </c>
      <c r="N64" s="1102">
        <v>57.448358612832017</v>
      </c>
      <c r="O64" s="1102">
        <v>58.29180329078433</v>
      </c>
      <c r="P64" s="1102">
        <v>54.780385271268877</v>
      </c>
      <c r="Q64" s="1102">
        <v>59.854971862853162</v>
      </c>
      <c r="R64" s="1102">
        <v>60.128073051654511</v>
      </c>
      <c r="S64" s="1102">
        <v>66.289595513068463</v>
      </c>
      <c r="T64" s="1102">
        <v>55.989476799242425</v>
      </c>
      <c r="U64" s="1102">
        <v>63.085324492430473</v>
      </c>
      <c r="V64" s="1103">
        <v>60.567684859154923</v>
      </c>
      <c r="W64" s="1098">
        <v>60.611326164874555</v>
      </c>
      <c r="X64" s="1099">
        <v>68.831358692025347</v>
      </c>
      <c r="Y64" s="1099">
        <v>66.712601372426704</v>
      </c>
      <c r="Z64" s="1099">
        <v>70.967543478260879</v>
      </c>
      <c r="AA64" s="1099">
        <v>67.435050326011265</v>
      </c>
      <c r="AB64" s="1099">
        <v>68.127130039176038</v>
      </c>
      <c r="AC64" s="1099">
        <v>65.994272273202469</v>
      </c>
      <c r="AD64" s="1099">
        <v>66.944061418947612</v>
      </c>
      <c r="AE64" s="1099">
        <v>70.340623635796689</v>
      </c>
      <c r="AF64" s="1099">
        <v>69.836972106824931</v>
      </c>
      <c r="AG64" s="1099">
        <v>78.351663355607727</v>
      </c>
      <c r="AH64" s="1100">
        <v>75.065062823880183</v>
      </c>
      <c r="AI64" s="1104">
        <v>72.021052211400288</v>
      </c>
      <c r="AJ64" s="1104">
        <v>75.027394933156074</v>
      </c>
      <c r="AK64" s="1104">
        <v>70.310160136044786</v>
      </c>
      <c r="AL64" s="1104">
        <v>68.391545715078109</v>
      </c>
      <c r="AM64" s="1104">
        <v>68.278166354556802</v>
      </c>
      <c r="AN64" s="1104">
        <v>67.264448039442271</v>
      </c>
      <c r="AO64" s="1104">
        <v>67.735529969995113</v>
      </c>
      <c r="AP64" s="1104">
        <v>70.130056768263827</v>
      </c>
      <c r="AQ64" s="1104">
        <v>72.121297065337771</v>
      </c>
      <c r="AR64" s="1104">
        <v>67.694526334086561</v>
      </c>
      <c r="AS64" s="1104">
        <v>69.565045202319354</v>
      </c>
      <c r="AT64" s="1104">
        <v>67.449615665881211</v>
      </c>
      <c r="AU64" s="1098">
        <v>75.279664891951143</v>
      </c>
      <c r="AV64" s="1099">
        <v>76.650518073386138</v>
      </c>
      <c r="AW64" s="1099">
        <v>77.094890037748243</v>
      </c>
      <c r="AX64" s="1099">
        <v>75.786675094816701</v>
      </c>
      <c r="AY64" s="1099">
        <v>74.605750765194585</v>
      </c>
      <c r="AZ64" s="1099">
        <v>74.089190016257049</v>
      </c>
      <c r="BA64" s="1099">
        <v>74.234339843097985</v>
      </c>
      <c r="BB64" s="1099">
        <v>73.491800593975384</v>
      </c>
      <c r="BC64" s="1099">
        <v>73.631687398593854</v>
      </c>
      <c r="BD64" s="1099">
        <v>74.082011724776294</v>
      </c>
      <c r="BE64" s="1099">
        <v>72.024037776745629</v>
      </c>
      <c r="BF64" s="1099">
        <v>75.529242142153109</v>
      </c>
      <c r="BG64" s="1105">
        <v>74.012441461130194</v>
      </c>
      <c r="BH64" s="1105">
        <v>75.505369493993442</v>
      </c>
      <c r="BI64" s="1105">
        <v>74.994659383033422</v>
      </c>
      <c r="BJ64" s="1105">
        <v>77.101872188045178</v>
      </c>
      <c r="BK64" s="1105">
        <v>76.388345358345362</v>
      </c>
      <c r="BL64" s="1105">
        <v>78.38338006884392</v>
      </c>
      <c r="BM64" s="1105">
        <v>78.654947270733146</v>
      </c>
      <c r="BN64" s="1105">
        <v>78.088044090833748</v>
      </c>
      <c r="BO64" s="1105">
        <v>77.515393595730472</v>
      </c>
      <c r="BP64" s="1105">
        <v>77.67291727363336</v>
      </c>
      <c r="BQ64" s="1105">
        <v>77.879741987650689</v>
      </c>
      <c r="BR64" s="1105">
        <v>76.039536288148383</v>
      </c>
      <c r="BS64" s="1106">
        <v>79.609081525375132</v>
      </c>
      <c r="BT64" s="1107">
        <v>83.055915133855407</v>
      </c>
      <c r="BU64" s="1107">
        <v>88.554333575054372</v>
      </c>
      <c r="BV64" s="1107">
        <v>86.38108590094464</v>
      </c>
      <c r="BW64" s="1107">
        <v>88.656081372039495</v>
      </c>
      <c r="BX64" s="1107">
        <v>92.869308311763021</v>
      </c>
      <c r="BY64" s="1107">
        <v>88.527243182366661</v>
      </c>
      <c r="BZ64" s="1107">
        <v>84.873242583995591</v>
      </c>
      <c r="CA64" s="1107">
        <v>89.655588344331576</v>
      </c>
      <c r="CB64" s="1107">
        <v>92.295316258667043</v>
      </c>
      <c r="CC64" s="1107">
        <v>94.546131730266595</v>
      </c>
      <c r="CD64" s="1107">
        <v>89.59870164917541</v>
      </c>
      <c r="CE64" s="1087">
        <v>89.193025618374563</v>
      </c>
      <c r="CF64" s="1088">
        <v>95.21527647301194</v>
      </c>
      <c r="CG64" s="1088">
        <v>107.35654836821308</v>
      </c>
      <c r="CH64" s="1088">
        <v>103.1212257718532</v>
      </c>
      <c r="CI64" s="1088">
        <v>98.765206624361554</v>
      </c>
      <c r="CJ64" s="1088">
        <v>93.841592452830199</v>
      </c>
      <c r="CK64" s="1088">
        <v>96.867654005265138</v>
      </c>
      <c r="CL64" s="1088">
        <v>95.629244319182661</v>
      </c>
      <c r="CM64" s="1088">
        <v>99.148459300099546</v>
      </c>
      <c r="CN64" s="1088">
        <v>101.00669359710056</v>
      </c>
      <c r="CO64" s="1088">
        <v>94.698438386385135</v>
      </c>
      <c r="CP64" s="1088">
        <v>90.39237327836598</v>
      </c>
      <c r="CQ64" s="1108">
        <v>97.763840028954036</v>
      </c>
      <c r="CR64" s="1109">
        <v>102.58229795299471</v>
      </c>
      <c r="CS64" s="1109">
        <v>102.09395720290408</v>
      </c>
      <c r="CT64" s="1109">
        <v>103.35267225481978</v>
      </c>
      <c r="CU64" s="1109">
        <v>108.40764020741923</v>
      </c>
      <c r="CV64" s="1109">
        <v>103.3045938773576</v>
      </c>
      <c r="CW64" s="1109">
        <v>101.24</v>
      </c>
      <c r="CX64" s="1109">
        <v>101.86525654269971</v>
      </c>
      <c r="CY64" s="1109">
        <v>106.42439904175221</v>
      </c>
      <c r="CZ64" s="1109">
        <v>106.33841535666325</v>
      </c>
      <c r="DA64" s="1109">
        <v>108.18426645697595</v>
      </c>
      <c r="DB64" s="1110">
        <v>110.2261518093557</v>
      </c>
      <c r="DC64" s="1091">
        <v>108.76608053568152</v>
      </c>
      <c r="DD64" s="1091">
        <v>109.50571148083084</v>
      </c>
      <c r="DE64" s="1091">
        <v>108.79173835125449</v>
      </c>
      <c r="DF64" s="1091">
        <v>109.93155707372618</v>
      </c>
      <c r="DG64" s="1091">
        <v>109.79315579001106</v>
      </c>
      <c r="DH64" s="1091">
        <v>102.63790210405845</v>
      </c>
      <c r="DI64" s="1091">
        <v>102.77663937885053</v>
      </c>
      <c r="DJ64" s="1091">
        <v>98.829955572010348</v>
      </c>
      <c r="DK64" s="1091">
        <v>112.4698654822335</v>
      </c>
      <c r="DL64" s="1091">
        <v>105.5081007928552</v>
      </c>
      <c r="DM64" s="1091">
        <v>103.60794724100511</v>
      </c>
      <c r="DN64" s="1092">
        <v>101.10395208937587</v>
      </c>
      <c r="DO64" s="1091">
        <v>105.32195819581958</v>
      </c>
      <c r="DP64" s="1091">
        <v>112.34833245103229</v>
      </c>
      <c r="DQ64" s="1091">
        <v>108.66594656054576</v>
      </c>
      <c r="DR64" s="1091">
        <v>107.28820098148562</v>
      </c>
      <c r="DS64" s="1091">
        <v>108.05411955347498</v>
      </c>
      <c r="DT64" s="1091">
        <v>106.35849524456522</v>
      </c>
      <c r="DU64" s="1091">
        <v>110.09268919814448</v>
      </c>
      <c r="DV64" s="1091">
        <v>108.76410700922924</v>
      </c>
      <c r="DW64" s="1091">
        <v>104.40243197448422</v>
      </c>
      <c r="DX64" s="1091">
        <v>140.80906148867314</v>
      </c>
      <c r="DY64" s="1091">
        <v>107.98886651664101</v>
      </c>
      <c r="DZ64" s="1091">
        <v>97.266073333333324</v>
      </c>
      <c r="EA64" s="1099"/>
      <c r="EB64" s="1111">
        <v>58.923730399385235</v>
      </c>
      <c r="EC64" s="1112">
        <v>59.578828837301948</v>
      </c>
      <c r="ED64" s="1112">
        <v>69.141268983567841</v>
      </c>
      <c r="EE64" s="1112">
        <v>69.667113687165966</v>
      </c>
      <c r="EF64" s="1112">
        <v>74.649484632447326</v>
      </c>
      <c r="EG64" s="1112">
        <v>76.933127889719728</v>
      </c>
      <c r="EH64" s="1112">
        <v>88.590806662763427</v>
      </c>
      <c r="EI64" s="1112">
        <v>97.374512255829273</v>
      </c>
      <c r="EJ64" s="1112">
        <f>AVERAGE(CQ64:DB64)</f>
        <v>104.31529089432469</v>
      </c>
      <c r="EK64" s="1113">
        <v>106.00244053999472</v>
      </c>
      <c r="EL64" s="1112">
        <f>AVERAGE(DO64:DZ64)</f>
        <v>109.78002354228573</v>
      </c>
      <c r="EM64" s="1318">
        <v>109.11002786110157</v>
      </c>
    </row>
    <row r="65" spans="1:143">
      <c r="A65" s="998"/>
      <c r="B65" s="1166" t="s">
        <v>719</v>
      </c>
      <c r="C65" s="1115" t="s">
        <v>720</v>
      </c>
      <c r="D65" s="1098" t="s">
        <v>443</v>
      </c>
      <c r="E65" s="1099" t="s">
        <v>443</v>
      </c>
      <c r="F65" s="1099" t="s">
        <v>443</v>
      </c>
      <c r="G65" s="1099" t="s">
        <v>443</v>
      </c>
      <c r="H65" s="1099" t="s">
        <v>443</v>
      </c>
      <c r="I65" s="1099" t="s">
        <v>443</v>
      </c>
      <c r="J65" s="1100" t="s">
        <v>443</v>
      </c>
      <c r="K65" s="1101"/>
      <c r="L65" s="1102"/>
      <c r="M65" s="1102"/>
      <c r="N65" s="1102"/>
      <c r="O65" s="1102"/>
      <c r="P65" s="1102"/>
      <c r="Q65" s="1102"/>
      <c r="R65" s="1102"/>
      <c r="S65" s="1102"/>
      <c r="T65" s="1102"/>
      <c r="U65" s="1102"/>
      <c r="V65" s="1103"/>
      <c r="W65" s="1098"/>
      <c r="X65" s="1099"/>
      <c r="Y65" s="1099"/>
      <c r="Z65" s="1099"/>
      <c r="AA65" s="1099"/>
      <c r="AB65" s="1099"/>
      <c r="AC65" s="1099"/>
      <c r="AD65" s="1099"/>
      <c r="AE65" s="1099"/>
      <c r="AF65" s="1099"/>
      <c r="AG65" s="1099"/>
      <c r="AH65" s="1100"/>
      <c r="AI65" s="1104"/>
      <c r="AJ65" s="1104"/>
      <c r="AK65" s="1104"/>
      <c r="AL65" s="1104"/>
      <c r="AM65" s="1104"/>
      <c r="AN65" s="1104"/>
      <c r="AO65" s="1104"/>
      <c r="AP65" s="1104"/>
      <c r="AQ65" s="1104"/>
      <c r="AR65" s="1104"/>
      <c r="AS65" s="1104"/>
      <c r="AT65" s="1104"/>
      <c r="AU65" s="1098" t="s">
        <v>443</v>
      </c>
      <c r="AV65" s="1099" t="s">
        <v>443</v>
      </c>
      <c r="AW65" s="1099" t="s">
        <v>443</v>
      </c>
      <c r="AX65" s="1099" t="s">
        <v>443</v>
      </c>
      <c r="AY65" s="1099" t="s">
        <v>443</v>
      </c>
      <c r="AZ65" s="1099" t="s">
        <v>443</v>
      </c>
      <c r="BA65" s="1099" t="s">
        <v>443</v>
      </c>
      <c r="BB65" s="1099" t="s">
        <v>443</v>
      </c>
      <c r="BC65" s="1099" t="s">
        <v>443</v>
      </c>
      <c r="BD65" s="1099" t="s">
        <v>443</v>
      </c>
      <c r="BE65" s="1099" t="s">
        <v>443</v>
      </c>
      <c r="BF65" s="1099" t="s">
        <v>443</v>
      </c>
      <c r="BG65" s="1105" t="s">
        <v>443</v>
      </c>
      <c r="BH65" s="1105" t="s">
        <v>443</v>
      </c>
      <c r="BI65" s="1105" t="s">
        <v>443</v>
      </c>
      <c r="BJ65" s="1105" t="s">
        <v>443</v>
      </c>
      <c r="BK65" s="1105" t="s">
        <v>443</v>
      </c>
      <c r="BL65" s="1105" t="s">
        <v>443</v>
      </c>
      <c r="BM65" s="1105" t="s">
        <v>443</v>
      </c>
      <c r="BN65" s="1105" t="s">
        <v>443</v>
      </c>
      <c r="BO65" s="1105" t="s">
        <v>443</v>
      </c>
      <c r="BP65" s="1105" t="s">
        <v>443</v>
      </c>
      <c r="BQ65" s="1105" t="s">
        <v>443</v>
      </c>
      <c r="BR65" s="1105" t="s">
        <v>443</v>
      </c>
      <c r="BS65" s="1106" t="s">
        <v>443</v>
      </c>
      <c r="BT65" s="1107" t="s">
        <v>443</v>
      </c>
      <c r="BU65" s="1107" t="s">
        <v>443</v>
      </c>
      <c r="BV65" s="1107" t="s">
        <v>443</v>
      </c>
      <c r="BW65" s="1107" t="s">
        <v>443</v>
      </c>
      <c r="BX65" s="1107" t="s">
        <v>443</v>
      </c>
      <c r="BY65" s="1107" t="s">
        <v>443</v>
      </c>
      <c r="BZ65" s="1107" t="s">
        <v>443</v>
      </c>
      <c r="CA65" s="1107" t="s">
        <v>443</v>
      </c>
      <c r="CB65" s="1107" t="s">
        <v>443</v>
      </c>
      <c r="CC65" s="1107" t="s">
        <v>443</v>
      </c>
      <c r="CD65" s="1107" t="s">
        <v>443</v>
      </c>
      <c r="CE65" s="1087" t="s">
        <v>443</v>
      </c>
      <c r="CF65" s="1088" t="s">
        <v>443</v>
      </c>
      <c r="CG65" s="1088" t="s">
        <v>443</v>
      </c>
      <c r="CH65" s="1088" t="s">
        <v>443</v>
      </c>
      <c r="CI65" s="1088" t="s">
        <v>443</v>
      </c>
      <c r="CJ65" s="1088" t="s">
        <v>443</v>
      </c>
      <c r="CK65" s="1088" t="s">
        <v>443</v>
      </c>
      <c r="CL65" s="1088" t="s">
        <v>443</v>
      </c>
      <c r="CM65" s="1088" t="s">
        <v>443</v>
      </c>
      <c r="CN65" s="1088" t="s">
        <v>443</v>
      </c>
      <c r="CO65" s="1088" t="s">
        <v>443</v>
      </c>
      <c r="CP65" s="1088" t="s">
        <v>443</v>
      </c>
      <c r="CQ65" s="1108" t="s">
        <v>443</v>
      </c>
      <c r="CR65" s="1109" t="s">
        <v>443</v>
      </c>
      <c r="CS65" s="1109" t="s">
        <v>443</v>
      </c>
      <c r="CT65" s="1109" t="s">
        <v>443</v>
      </c>
      <c r="CU65" s="1109" t="s">
        <v>443</v>
      </c>
      <c r="CV65" s="1109" t="s">
        <v>443</v>
      </c>
      <c r="CW65" s="1109" t="s">
        <v>443</v>
      </c>
      <c r="CX65" s="1109" t="s">
        <v>443</v>
      </c>
      <c r="CY65" s="1109" t="s">
        <v>443</v>
      </c>
      <c r="CZ65" s="1109" t="s">
        <v>443</v>
      </c>
      <c r="DA65" s="1109" t="s">
        <v>443</v>
      </c>
      <c r="DB65" s="1110" t="s">
        <v>443</v>
      </c>
      <c r="DC65" s="1091" t="s">
        <v>443</v>
      </c>
      <c r="DD65" s="1091" t="s">
        <v>443</v>
      </c>
      <c r="DE65" s="1091" t="s">
        <v>443</v>
      </c>
      <c r="DF65" s="1091" t="s">
        <v>443</v>
      </c>
      <c r="DG65" s="1091" t="s">
        <v>443</v>
      </c>
      <c r="DH65" s="1091" t="s">
        <v>443</v>
      </c>
      <c r="DI65" s="1091" t="s">
        <v>443</v>
      </c>
      <c r="DJ65" s="1091" t="s">
        <v>443</v>
      </c>
      <c r="DK65" s="1091" t="s">
        <v>443</v>
      </c>
      <c r="DL65" s="1091" t="s">
        <v>443</v>
      </c>
      <c r="DM65" s="1091" t="s">
        <v>443</v>
      </c>
      <c r="DN65" s="1092" t="s">
        <v>443</v>
      </c>
      <c r="DO65" s="1091" t="s">
        <v>443</v>
      </c>
      <c r="DP65" s="1091" t="s">
        <v>443</v>
      </c>
      <c r="DQ65" s="1091" t="s">
        <v>443</v>
      </c>
      <c r="DR65" s="1091" t="s">
        <v>443</v>
      </c>
      <c r="DS65" s="1091" t="s">
        <v>443</v>
      </c>
      <c r="DT65" s="1091" t="s">
        <v>443</v>
      </c>
      <c r="DU65" s="1091" t="s">
        <v>443</v>
      </c>
      <c r="DV65" s="1091" t="s">
        <v>443</v>
      </c>
      <c r="DW65" s="1091" t="s">
        <v>443</v>
      </c>
      <c r="DX65" s="1091" t="s">
        <v>443</v>
      </c>
      <c r="DY65" s="1091" t="s">
        <v>443</v>
      </c>
      <c r="DZ65" s="1091" t="s">
        <v>443</v>
      </c>
      <c r="EA65" s="1099"/>
      <c r="EB65" s="1111" t="s">
        <v>443</v>
      </c>
      <c r="EC65" s="1112"/>
      <c r="ED65" s="1112"/>
      <c r="EE65" s="1112"/>
      <c r="EF65" s="1112"/>
      <c r="EG65" s="1112"/>
      <c r="EH65" s="1112"/>
      <c r="EI65" s="1112"/>
      <c r="EJ65" s="1112"/>
      <c r="EK65" s="1113" t="s">
        <v>443</v>
      </c>
      <c r="EL65" s="1112"/>
      <c r="EM65" s="1318"/>
    </row>
    <row r="66" spans="1:143">
      <c r="A66" s="998"/>
      <c r="B66" s="1143" t="s">
        <v>726</v>
      </c>
      <c r="C66" s="1115"/>
      <c r="D66" s="1098">
        <v>71.33647710948722</v>
      </c>
      <c r="E66" s="1099">
        <v>70.490242014091962</v>
      </c>
      <c r="F66" s="1099">
        <v>71.708327470981345</v>
      </c>
      <c r="G66" s="1099">
        <v>73.645144857087303</v>
      </c>
      <c r="H66" s="1099">
        <v>75.055960975070477</v>
      </c>
      <c r="I66" s="1099">
        <v>71.812964375579398</v>
      </c>
      <c r="J66" s="1100">
        <v>70.187425387982486</v>
      </c>
      <c r="K66" s="1101">
        <v>77.886178213909375</v>
      </c>
      <c r="L66" s="1102">
        <v>72.924844202442401</v>
      </c>
      <c r="M66" s="1102">
        <v>73.789467762051942</v>
      </c>
      <c r="N66" s="1102">
        <v>72.873163262272172</v>
      </c>
      <c r="O66" s="1102">
        <v>73.743567434843072</v>
      </c>
      <c r="P66" s="1102">
        <v>75.882909839268493</v>
      </c>
      <c r="Q66" s="1102">
        <v>75.652569041846732</v>
      </c>
      <c r="R66" s="1102">
        <v>74.273768203054559</v>
      </c>
      <c r="S66" s="1102">
        <v>79.086043663185094</v>
      </c>
      <c r="T66" s="1102">
        <v>75.693917243516879</v>
      </c>
      <c r="U66" s="1102">
        <v>77.258481077613851</v>
      </c>
      <c r="V66" s="1103">
        <v>74.094527770850391</v>
      </c>
      <c r="W66" s="1098">
        <v>77.928289430894324</v>
      </c>
      <c r="X66" s="1099">
        <v>84.285242587205019</v>
      </c>
      <c r="Y66" s="1099">
        <v>80.224511817629519</v>
      </c>
      <c r="Z66" s="1099">
        <v>84.562057590876691</v>
      </c>
      <c r="AA66" s="1099">
        <v>83.63869846424835</v>
      </c>
      <c r="AB66" s="1099">
        <v>86.839797100660931</v>
      </c>
      <c r="AC66" s="1099">
        <v>85.895596399294391</v>
      </c>
      <c r="AD66" s="1099">
        <v>85.096122680383857</v>
      </c>
      <c r="AE66" s="1099">
        <v>89.315293376776282</v>
      </c>
      <c r="AF66" s="1099">
        <v>90.15187120674706</v>
      </c>
      <c r="AG66" s="1099">
        <v>91.312529175784107</v>
      </c>
      <c r="AH66" s="1100">
        <v>87.057600411263309</v>
      </c>
      <c r="AI66" s="1104">
        <v>85.112451370079839</v>
      </c>
      <c r="AJ66" s="1104">
        <v>86.574065176445501</v>
      </c>
      <c r="AK66" s="1104">
        <v>88.788407967650144</v>
      </c>
      <c r="AL66" s="1104">
        <v>87.790396839844192</v>
      </c>
      <c r="AM66" s="1104">
        <v>82.882589811593689</v>
      </c>
      <c r="AN66" s="1104">
        <v>84.446737132047915</v>
      </c>
      <c r="AO66" s="1104">
        <v>84.207298224815148</v>
      </c>
      <c r="AP66" s="1104">
        <v>86.65053279424977</v>
      </c>
      <c r="AQ66" s="1104">
        <v>84.963856999644293</v>
      </c>
      <c r="AR66" s="1104">
        <v>84.028994268139257</v>
      </c>
      <c r="AS66" s="1104">
        <v>83.865880264826046</v>
      </c>
      <c r="AT66" s="1104">
        <v>80.461051942709702</v>
      </c>
      <c r="AU66" s="1098">
        <v>85.728614380938879</v>
      </c>
      <c r="AV66" s="1099">
        <v>90.280753148941685</v>
      </c>
      <c r="AW66" s="1099">
        <v>91.860443417325186</v>
      </c>
      <c r="AX66" s="1099">
        <v>86.910784196348359</v>
      </c>
      <c r="AY66" s="1099">
        <v>87.449161208151381</v>
      </c>
      <c r="AZ66" s="1099">
        <v>87.944618991060807</v>
      </c>
      <c r="BA66" s="1099">
        <v>87.519017916793203</v>
      </c>
      <c r="BB66" s="1099">
        <v>87.819405858511416</v>
      </c>
      <c r="BC66" s="1099">
        <v>88.295482903023711</v>
      </c>
      <c r="BD66" s="1099">
        <v>89.001148186412749</v>
      </c>
      <c r="BE66" s="1099">
        <v>84.313181739281376</v>
      </c>
      <c r="BF66" s="1099">
        <v>96.589581078781691</v>
      </c>
      <c r="BG66" s="1105">
        <v>92.663130653266322</v>
      </c>
      <c r="BH66" s="1105">
        <v>96.797805889538992</v>
      </c>
      <c r="BI66" s="1105">
        <v>94.051169419591659</v>
      </c>
      <c r="BJ66" s="1105">
        <v>85.050375000000003</v>
      </c>
      <c r="BK66" s="1105">
        <v>88.902906533929027</v>
      </c>
      <c r="BL66" s="1105">
        <v>90.620914313357929</v>
      </c>
      <c r="BM66" s="1105">
        <v>89.463033135089205</v>
      </c>
      <c r="BN66" s="1105">
        <v>89.582521158901201</v>
      </c>
      <c r="BO66" s="1105">
        <v>90.206482162667143</v>
      </c>
      <c r="BP66" s="1105">
        <v>90.606695358649802</v>
      </c>
      <c r="BQ66" s="1105">
        <v>100.43197780020184</v>
      </c>
      <c r="BR66" s="1105">
        <v>106.23732163270795</v>
      </c>
      <c r="BS66" s="1106">
        <v>101.45770756402621</v>
      </c>
      <c r="BT66" s="1107">
        <v>109.73148081880215</v>
      </c>
      <c r="BU66" s="1107">
        <v>111.57217206739261</v>
      </c>
      <c r="BV66" s="1107">
        <v>111.0021722846442</v>
      </c>
      <c r="BW66" s="1107">
        <v>97.950083572048044</v>
      </c>
      <c r="BX66" s="1107">
        <v>101.0746706448804</v>
      </c>
      <c r="BY66" s="1107">
        <v>97.412546260652576</v>
      </c>
      <c r="BZ66" s="1107">
        <v>93.939133452464191</v>
      </c>
      <c r="CA66" s="1107">
        <v>99.497902811223256</v>
      </c>
      <c r="CB66" s="1107">
        <v>101.99874827888347</v>
      </c>
      <c r="CC66" s="1107">
        <v>105.712516172313</v>
      </c>
      <c r="CD66" s="1107">
        <v>120.96230299098607</v>
      </c>
      <c r="CE66" s="1087">
        <v>118.99408496328746</v>
      </c>
      <c r="CF66" s="1088">
        <v>119.057243136929</v>
      </c>
      <c r="CG66" s="1088">
        <v>133.76220129692661</v>
      </c>
      <c r="CH66" s="1088">
        <v>93.58293833264662</v>
      </c>
      <c r="CI66" s="1088">
        <v>101.06745787300524</v>
      </c>
      <c r="CJ66" s="1088">
        <v>105.44867786507719</v>
      </c>
      <c r="CK66" s="1088">
        <v>104.87666559476914</v>
      </c>
      <c r="CL66" s="1088">
        <v>102.62494207185556</v>
      </c>
      <c r="CM66" s="1088">
        <v>105.00206426721346</v>
      </c>
      <c r="CN66" s="1088">
        <v>101.89781502488094</v>
      </c>
      <c r="CO66" s="1088">
        <v>103.7504363501405</v>
      </c>
      <c r="CP66" s="1088">
        <v>96.81237210899215</v>
      </c>
      <c r="CQ66" s="1108">
        <v>108.69314618013104</v>
      </c>
      <c r="CR66" s="1109">
        <v>112.07490960963433</v>
      </c>
      <c r="CS66" s="1109">
        <v>108.49847760060744</v>
      </c>
      <c r="CT66" s="1109">
        <v>108.78172079315576</v>
      </c>
      <c r="CU66" s="1109">
        <v>101.25989325434527</v>
      </c>
      <c r="CV66" s="1109">
        <v>100.57504642256136</v>
      </c>
      <c r="CW66" s="1109">
        <v>108.4</v>
      </c>
      <c r="CX66" s="1109">
        <v>107.04784185195027</v>
      </c>
      <c r="CY66" s="1109">
        <v>112.09746422954962</v>
      </c>
      <c r="CZ66" s="1109">
        <v>108.22871213742908</v>
      </c>
      <c r="DA66" s="1109">
        <v>111.43007899699302</v>
      </c>
      <c r="DB66" s="1110">
        <v>113.34921602045162</v>
      </c>
      <c r="DC66" s="1091">
        <v>112.37369610559412</v>
      </c>
      <c r="DD66" s="1091">
        <v>111.54774801238864</v>
      </c>
      <c r="DE66" s="1091">
        <v>112.08139776826916</v>
      </c>
      <c r="DF66" s="1091">
        <v>112.40243807082199</v>
      </c>
      <c r="DG66" s="1091">
        <v>112.64917046964358</v>
      </c>
      <c r="DH66" s="1091">
        <v>108.97197743596068</v>
      </c>
      <c r="DI66" s="1091">
        <v>109.78592609406209</v>
      </c>
      <c r="DJ66" s="1091">
        <v>107.96697932129663</v>
      </c>
      <c r="DK66" s="1091">
        <v>111.45776919294795</v>
      </c>
      <c r="DL66" s="1091">
        <v>108.10286298508342</v>
      </c>
      <c r="DM66" s="1091">
        <v>106.91653734487078</v>
      </c>
      <c r="DN66" s="1092">
        <v>101.2218456639673</v>
      </c>
      <c r="DO66" s="1091">
        <v>101.11419785214237</v>
      </c>
      <c r="DP66" s="1091">
        <v>111.47152546664739</v>
      </c>
      <c r="DQ66" s="1091">
        <v>110.83597074421991</v>
      </c>
      <c r="DR66" s="1091">
        <v>109.16796027164686</v>
      </c>
      <c r="DS66" s="1091">
        <v>106.06299486030575</v>
      </c>
      <c r="DT66" s="1091">
        <v>107.08882835288779</v>
      </c>
      <c r="DU66" s="1091">
        <v>110.07546462999716</v>
      </c>
      <c r="DV66" s="1091">
        <v>108.27510240560066</v>
      </c>
      <c r="DW66" s="1091">
        <v>107.19257717157213</v>
      </c>
      <c r="DX66" s="1091">
        <v>147.23028819749928</v>
      </c>
      <c r="DY66" s="1091">
        <v>108.63387755739497</v>
      </c>
      <c r="DZ66" s="1091">
        <v>108.74382154515779</v>
      </c>
      <c r="EA66" s="1099"/>
      <c r="EB66" s="1111">
        <v>72.607937049942777</v>
      </c>
      <c r="EC66" s="1112">
        <v>75.322999796354253</v>
      </c>
      <c r="ED66" s="1112">
        <v>85.686550527563085</v>
      </c>
      <c r="EE66" s="1112">
        <v>85.012639471846796</v>
      </c>
      <c r="EF66" s="1112">
        <v>88.602935399599673</v>
      </c>
      <c r="EG66" s="1112">
        <v>92.869974859717232</v>
      </c>
      <c r="EH66" s="1112">
        <v>103.89964815030531</v>
      </c>
      <c r="EI66" s="1112">
        <v>107.48127913034406</v>
      </c>
      <c r="EJ66" s="1112">
        <f>AVERAGE(CQ66:DB66)</f>
        <v>108.36970892473407</v>
      </c>
      <c r="EK66" s="1113">
        <v>109.76973658136149</v>
      </c>
      <c r="EL66" s="1112">
        <f>AVERAGE(DO66:DZ66)</f>
        <v>111.32438408792268</v>
      </c>
      <c r="EM66" s="1318">
        <v>110.77102068584797</v>
      </c>
    </row>
    <row r="67" spans="1:143">
      <c r="A67" s="998"/>
      <c r="B67" s="1143"/>
      <c r="C67" s="1115"/>
      <c r="D67" s="1098"/>
      <c r="E67" s="1099"/>
      <c r="F67" s="1099"/>
      <c r="G67" s="1099"/>
      <c r="H67" s="1099"/>
      <c r="I67" s="1099"/>
      <c r="J67" s="1100"/>
      <c r="K67" s="1101"/>
      <c r="L67" s="1102"/>
      <c r="M67" s="1102"/>
      <c r="N67" s="1102"/>
      <c r="O67" s="1102"/>
      <c r="P67" s="1102"/>
      <c r="Q67" s="1102"/>
      <c r="R67" s="1102"/>
      <c r="S67" s="1102"/>
      <c r="T67" s="1102"/>
      <c r="U67" s="1102"/>
      <c r="V67" s="1103"/>
      <c r="W67" s="1098"/>
      <c r="X67" s="1099"/>
      <c r="Y67" s="1099"/>
      <c r="Z67" s="1099"/>
      <c r="AA67" s="1099"/>
      <c r="AB67" s="1099"/>
      <c r="AC67" s="1099"/>
      <c r="AD67" s="1099"/>
      <c r="AE67" s="1099"/>
      <c r="AF67" s="1099"/>
      <c r="AG67" s="1099"/>
      <c r="AH67" s="1100"/>
      <c r="AI67" s="1104"/>
      <c r="AJ67" s="1104"/>
      <c r="AK67" s="1104"/>
      <c r="AL67" s="1104"/>
      <c r="AM67" s="1104"/>
      <c r="AN67" s="1104"/>
      <c r="AO67" s="1104"/>
      <c r="AP67" s="1104"/>
      <c r="AQ67" s="1104"/>
      <c r="AR67" s="1104"/>
      <c r="AS67" s="1104"/>
      <c r="AT67" s="1104"/>
      <c r="AU67" s="1098"/>
      <c r="AV67" s="1099"/>
      <c r="AW67" s="1099"/>
      <c r="AX67" s="1099"/>
      <c r="AY67" s="1099"/>
      <c r="AZ67" s="1099"/>
      <c r="BA67" s="1099"/>
      <c r="BB67" s="1099"/>
      <c r="BC67" s="1099"/>
      <c r="BD67" s="1099"/>
      <c r="BE67" s="1099"/>
      <c r="BF67" s="1099"/>
      <c r="BG67" s="1105"/>
      <c r="BH67" s="1105"/>
      <c r="BI67" s="1105"/>
      <c r="BJ67" s="1105"/>
      <c r="BK67" s="1105"/>
      <c r="BL67" s="1105"/>
      <c r="BM67" s="1105"/>
      <c r="BN67" s="1105"/>
      <c r="BO67" s="1105"/>
      <c r="BP67" s="1105"/>
      <c r="BQ67" s="1105"/>
      <c r="BR67" s="1105"/>
      <c r="BS67" s="1106"/>
      <c r="BT67" s="1107"/>
      <c r="BU67" s="1107"/>
      <c r="BV67" s="1107"/>
      <c r="BW67" s="1107"/>
      <c r="BX67" s="1107"/>
      <c r="BY67" s="1107"/>
      <c r="BZ67" s="1107"/>
      <c r="CA67" s="1107"/>
      <c r="CB67" s="1107"/>
      <c r="CC67" s="1107"/>
      <c r="CD67" s="1107"/>
      <c r="CE67" s="1087"/>
      <c r="CF67" s="1088"/>
      <c r="CG67" s="1088"/>
      <c r="CH67" s="1088"/>
      <c r="CI67" s="1088"/>
      <c r="CJ67" s="1088"/>
      <c r="CK67" s="1088"/>
      <c r="CL67" s="1088"/>
      <c r="CM67" s="1088"/>
      <c r="CN67" s="1088"/>
      <c r="CO67" s="1088"/>
      <c r="CP67" s="1088"/>
      <c r="CQ67" s="1108"/>
      <c r="CR67" s="1109"/>
      <c r="CS67" s="1109"/>
      <c r="CT67" s="1109"/>
      <c r="CU67" s="1109"/>
      <c r="CV67" s="1109"/>
      <c r="CW67" s="1109"/>
      <c r="CX67" s="1109"/>
      <c r="CY67" s="1109"/>
      <c r="CZ67" s="1109"/>
      <c r="DA67" s="1109"/>
      <c r="DB67" s="1110"/>
      <c r="DC67" s="1091"/>
      <c r="DD67" s="1091"/>
      <c r="DE67" s="1091"/>
      <c r="DF67" s="1091"/>
      <c r="DG67" s="1091"/>
      <c r="DH67" s="1091"/>
      <c r="DI67" s="1091"/>
      <c r="DJ67" s="1091"/>
      <c r="DK67" s="1091"/>
      <c r="DL67" s="1091"/>
      <c r="DM67" s="1091"/>
      <c r="DN67" s="1092"/>
      <c r="DO67" s="1091"/>
      <c r="DP67" s="1091"/>
      <c r="DQ67" s="1091"/>
      <c r="DR67" s="1091"/>
      <c r="DS67" s="1091"/>
      <c r="DT67" s="1091"/>
      <c r="DU67" s="1091"/>
      <c r="DV67" s="1091"/>
      <c r="DW67" s="1091"/>
      <c r="DX67" s="1091"/>
      <c r="DY67" s="1091"/>
      <c r="DZ67" s="1091"/>
      <c r="EA67" s="1099"/>
      <c r="EB67" s="1111"/>
      <c r="EC67" s="1112"/>
      <c r="ED67" s="1112"/>
      <c r="EE67" s="1112"/>
      <c r="EF67" s="1112"/>
      <c r="EG67" s="1112"/>
      <c r="EH67" s="1112"/>
      <c r="EI67" s="1112"/>
      <c r="EJ67" s="1112"/>
      <c r="EK67" s="1113"/>
      <c r="EL67" s="1112"/>
      <c r="EM67" s="1318"/>
    </row>
    <row r="68" spans="1:143">
      <c r="A68" s="998"/>
      <c r="B68" s="1168"/>
      <c r="C68" s="1169" t="s">
        <v>163</v>
      </c>
      <c r="D68" s="1145"/>
      <c r="E68" s="1146"/>
      <c r="F68" s="1099"/>
      <c r="G68" s="1146"/>
      <c r="H68" s="1146"/>
      <c r="I68" s="1146"/>
      <c r="J68" s="1151"/>
      <c r="K68" s="1147"/>
      <c r="L68" s="1148"/>
      <c r="M68" s="1148"/>
      <c r="N68" s="1102"/>
      <c r="O68" s="1102"/>
      <c r="P68" s="1102"/>
      <c r="Q68" s="1102"/>
      <c r="R68" s="1102"/>
      <c r="S68" s="1102"/>
      <c r="T68" s="1102"/>
      <c r="U68" s="1102"/>
      <c r="V68" s="1103"/>
      <c r="W68" s="1098"/>
      <c r="X68" s="1099"/>
      <c r="Y68" s="1099"/>
      <c r="Z68" s="1099"/>
      <c r="AA68" s="1099"/>
      <c r="AB68" s="1099"/>
      <c r="AC68" s="1099"/>
      <c r="AD68" s="1099"/>
      <c r="AE68" s="1099"/>
      <c r="AF68" s="1099"/>
      <c r="AG68" s="1099"/>
      <c r="AH68" s="1100"/>
      <c r="AI68" s="1104"/>
      <c r="AJ68" s="1104"/>
      <c r="AK68" s="1104"/>
      <c r="AL68" s="1104"/>
      <c r="AM68" s="1104"/>
      <c r="AN68" s="1104"/>
      <c r="AO68" s="1104"/>
      <c r="AP68" s="1104"/>
      <c r="AQ68" s="1104"/>
      <c r="AR68" s="1104"/>
      <c r="AS68" s="1104"/>
      <c r="AT68" s="1104"/>
      <c r="AU68" s="1098"/>
      <c r="AV68" s="1099"/>
      <c r="AW68" s="1099"/>
      <c r="AX68" s="1099"/>
      <c r="AY68" s="1099"/>
      <c r="AZ68" s="1099"/>
      <c r="BA68" s="1099"/>
      <c r="BB68" s="1099"/>
      <c r="BC68" s="1099"/>
      <c r="BD68" s="1099"/>
      <c r="BE68" s="1099"/>
      <c r="BF68" s="1099"/>
      <c r="BG68" s="1105"/>
      <c r="BH68" s="1105"/>
      <c r="BI68" s="1105"/>
      <c r="BJ68" s="1105"/>
      <c r="BK68" s="1105"/>
      <c r="BL68" s="1105"/>
      <c r="BM68" s="1105"/>
      <c r="BN68" s="1105"/>
      <c r="BO68" s="1105"/>
      <c r="BP68" s="1105"/>
      <c r="BQ68" s="1105"/>
      <c r="BR68" s="1105"/>
      <c r="BS68" s="1106"/>
      <c r="BT68" s="1107"/>
      <c r="BU68" s="1107"/>
      <c r="BV68" s="1107"/>
      <c r="BW68" s="1107"/>
      <c r="BX68" s="1107"/>
      <c r="BY68" s="1107"/>
      <c r="BZ68" s="1107"/>
      <c r="CA68" s="1107"/>
      <c r="CB68" s="1107"/>
      <c r="CC68" s="1107"/>
      <c r="CD68" s="1107"/>
      <c r="CE68" s="1087"/>
      <c r="CF68" s="1088"/>
      <c r="CG68" s="1088"/>
      <c r="CH68" s="1088"/>
      <c r="CI68" s="1088"/>
      <c r="CJ68" s="1088"/>
      <c r="CK68" s="1088"/>
      <c r="CL68" s="1088"/>
      <c r="CM68" s="1088"/>
      <c r="CN68" s="1088"/>
      <c r="CO68" s="1088"/>
      <c r="CP68" s="1088"/>
      <c r="CQ68" s="1108"/>
      <c r="CR68" s="1109"/>
      <c r="CS68" s="1109"/>
      <c r="CT68" s="1109"/>
      <c r="CU68" s="1109"/>
      <c r="CV68" s="1109"/>
      <c r="CW68" s="1109"/>
      <c r="CX68" s="1109"/>
      <c r="CY68" s="1109"/>
      <c r="CZ68" s="1109"/>
      <c r="DA68" s="1109"/>
      <c r="DB68" s="1110"/>
      <c r="DC68" s="1091"/>
      <c r="DD68" s="1091"/>
      <c r="DE68" s="1091"/>
      <c r="DF68" s="1091"/>
      <c r="DG68" s="1091"/>
      <c r="DH68" s="1091"/>
      <c r="DI68" s="1091"/>
      <c r="DJ68" s="1091"/>
      <c r="DK68" s="1091"/>
      <c r="DL68" s="1091"/>
      <c r="DM68" s="1091"/>
      <c r="DN68" s="1092"/>
      <c r="DO68" s="1091"/>
      <c r="DP68" s="1091"/>
      <c r="DQ68" s="1091"/>
      <c r="DR68" s="1091"/>
      <c r="DS68" s="1091"/>
      <c r="DT68" s="1091"/>
      <c r="DU68" s="1091"/>
      <c r="DV68" s="1091"/>
      <c r="DW68" s="1091"/>
      <c r="DX68" s="1091"/>
      <c r="DY68" s="1091"/>
      <c r="DZ68" s="1091"/>
      <c r="EA68" s="1099"/>
      <c r="EB68" s="1170"/>
      <c r="EC68" s="1112"/>
      <c r="ED68" s="1112"/>
      <c r="EE68" s="1112"/>
      <c r="EF68" s="1112"/>
      <c r="EG68" s="1112"/>
      <c r="EH68" s="1112"/>
      <c r="EI68" s="1112"/>
      <c r="EJ68" s="1112"/>
      <c r="EK68" s="1113"/>
      <c r="EL68" s="1112"/>
      <c r="EM68" s="1318"/>
    </row>
    <row r="69" spans="1:143">
      <c r="A69" s="998"/>
      <c r="B69" s="1166" t="s">
        <v>707</v>
      </c>
      <c r="C69" s="1171" t="s">
        <v>708</v>
      </c>
      <c r="D69" s="1098">
        <v>31.592094196804037</v>
      </c>
      <c r="E69" s="1099">
        <v>30.534509151414312</v>
      </c>
      <c r="F69" s="1099">
        <v>29.36530448717949</v>
      </c>
      <c r="G69" s="1099">
        <v>29.994523809523809</v>
      </c>
      <c r="H69" s="1099">
        <v>29.691380243572397</v>
      </c>
      <c r="I69" s="1099">
        <v>31.520309523809527</v>
      </c>
      <c r="J69" s="1100">
        <v>31.283716814159291</v>
      </c>
      <c r="K69" s="1101">
        <v>33.194285714285712</v>
      </c>
      <c r="L69" s="1102">
        <v>25.425557830092121</v>
      </c>
      <c r="M69" s="1102">
        <v>28.594430693069306</v>
      </c>
      <c r="N69" s="1102">
        <v>26.196478121664885</v>
      </c>
      <c r="O69" s="1102">
        <v>23.077530168946101</v>
      </c>
      <c r="P69" s="1102">
        <v>45.576835443037972</v>
      </c>
      <c r="Q69" s="1102">
        <v>24.885947955390332</v>
      </c>
      <c r="R69" s="1102">
        <v>31.387303851640514</v>
      </c>
      <c r="S69" s="1102">
        <v>25.725559599636032</v>
      </c>
      <c r="T69" s="1102">
        <v>15.394327731092437</v>
      </c>
      <c r="U69" s="1102">
        <v>16.590697674418603</v>
      </c>
      <c r="V69" s="1103">
        <v>29.44611959287532</v>
      </c>
      <c r="W69" s="1098">
        <v>22.558055555555555</v>
      </c>
      <c r="X69" s="1099">
        <v>28.731963470319634</v>
      </c>
      <c r="Y69" s="1099">
        <v>29.817835051546393</v>
      </c>
      <c r="Z69" s="1099">
        <v>32.026423248882267</v>
      </c>
      <c r="AA69" s="1099">
        <v>28.583235004916421</v>
      </c>
      <c r="AB69" s="1099">
        <v>32.047094408799268</v>
      </c>
      <c r="AC69" s="1099">
        <v>35.023786644951144</v>
      </c>
      <c r="AD69" s="1099">
        <v>32.459131134352369</v>
      </c>
      <c r="AE69" s="1099">
        <v>32.526496350364965</v>
      </c>
      <c r="AF69" s="1099">
        <v>33.933877551020409</v>
      </c>
      <c r="AG69" s="1099">
        <v>34.233328519855597</v>
      </c>
      <c r="AH69" s="1100">
        <v>35.467623318385648</v>
      </c>
      <c r="AI69" s="1104">
        <v>33.111656333038084</v>
      </c>
      <c r="AJ69" s="1104">
        <v>35.702144772117961</v>
      </c>
      <c r="AK69" s="1104">
        <v>33.111656333038084</v>
      </c>
      <c r="AL69" s="1104">
        <v>33.014503950834062</v>
      </c>
      <c r="AM69" s="1104">
        <v>34.934503816793892</v>
      </c>
      <c r="AN69" s="1104">
        <v>35.904008097165992</v>
      </c>
      <c r="AO69" s="1104">
        <v>36.323923782639376</v>
      </c>
      <c r="AP69" s="1104">
        <v>48.359863920559029</v>
      </c>
      <c r="AQ69" s="1104">
        <v>37.253119429590015</v>
      </c>
      <c r="AR69" s="1104">
        <v>50.602597402597404</v>
      </c>
      <c r="AS69" s="1104">
        <v>42.7</v>
      </c>
      <c r="AT69" s="1104">
        <v>30.054655870445345</v>
      </c>
      <c r="AU69" s="1098">
        <v>35.075762426284754</v>
      </c>
      <c r="AV69" s="1099">
        <v>38.235707898658717</v>
      </c>
      <c r="AW69" s="1099">
        <v>47.644110225763612</v>
      </c>
      <c r="AX69" s="1099">
        <v>38.949788797061522</v>
      </c>
      <c r="AY69" s="1099">
        <v>37.883306188925076</v>
      </c>
      <c r="AZ69" s="1099">
        <v>47.000959409594095</v>
      </c>
      <c r="BA69" s="1099">
        <v>43.264621099554233</v>
      </c>
      <c r="BB69" s="1099">
        <v>41.336684250188391</v>
      </c>
      <c r="BC69" s="1099">
        <v>38.521415174765558</v>
      </c>
      <c r="BD69" s="1099">
        <v>51.098667676003025</v>
      </c>
      <c r="BE69" s="1099">
        <v>40.610075519194467</v>
      </c>
      <c r="BF69" s="1099">
        <v>40.654837925445705</v>
      </c>
      <c r="BG69" s="1105">
        <v>35.188424821002386</v>
      </c>
      <c r="BH69" s="1105">
        <v>34.105036555645817</v>
      </c>
      <c r="BI69" s="1105">
        <v>42.270293398533006</v>
      </c>
      <c r="BJ69" s="1105">
        <v>38.706971428571428</v>
      </c>
      <c r="BK69" s="1105">
        <v>37.654791666666668</v>
      </c>
      <c r="BL69" s="1105">
        <v>38.837996857816186</v>
      </c>
      <c r="BM69" s="1105">
        <v>37.364279105628377</v>
      </c>
      <c r="BN69" s="1105">
        <v>37.440303541315345</v>
      </c>
      <c r="BO69" s="1105">
        <v>40.577599729546989</v>
      </c>
      <c r="BP69" s="1105">
        <v>39.412841483979761</v>
      </c>
      <c r="BQ69" s="1105">
        <v>39.762002978406557</v>
      </c>
      <c r="BR69" s="1105">
        <v>39.560471976401182</v>
      </c>
      <c r="BS69" s="1106">
        <v>37.229362519201224</v>
      </c>
      <c r="BT69" s="1107">
        <v>40.945640243902439</v>
      </c>
      <c r="BU69" s="1107">
        <v>42.265157813702849</v>
      </c>
      <c r="BV69" s="1107">
        <v>41.170717614165888</v>
      </c>
      <c r="BW69" s="1107">
        <v>45.255057471264365</v>
      </c>
      <c r="BX69" s="1107">
        <v>48.273836234687302</v>
      </c>
      <c r="BY69" s="1107">
        <v>38.187720242098187</v>
      </c>
      <c r="BZ69" s="1107">
        <v>40.906497890295356</v>
      </c>
      <c r="CA69" s="1107">
        <v>43.572810457516333</v>
      </c>
      <c r="CB69" s="1107">
        <v>42.480384307445959</v>
      </c>
      <c r="CC69" s="1107">
        <v>37.419432709716354</v>
      </c>
      <c r="CD69" s="1107">
        <v>45.750184842883549</v>
      </c>
      <c r="CE69" s="1087">
        <v>37.807207678883067</v>
      </c>
      <c r="CF69" s="1088">
        <v>46.090347349177328</v>
      </c>
      <c r="CG69" s="1088">
        <v>42.34675767918089</v>
      </c>
      <c r="CH69" s="1088">
        <v>44.059230769230773</v>
      </c>
      <c r="CI69" s="1088">
        <v>39.961990704879938</v>
      </c>
      <c r="CJ69" s="1088">
        <v>34.004872389791188</v>
      </c>
      <c r="CK69" s="1088">
        <v>36.821728395061733</v>
      </c>
      <c r="CL69" s="1088">
        <v>46.808512396694212</v>
      </c>
      <c r="CM69" s="1088">
        <v>43.190468497576738</v>
      </c>
      <c r="CN69" s="1088">
        <v>44.273074295473954</v>
      </c>
      <c r="CO69" s="1088">
        <v>77.349999999999994</v>
      </c>
      <c r="CP69" s="1088">
        <v>80.041382181515402</v>
      </c>
      <c r="CQ69" s="1108">
        <v>57.650338983050844</v>
      </c>
      <c r="CR69" s="1109">
        <v>60.666666666666664</v>
      </c>
      <c r="CS69" s="1109">
        <v>58.729378238341972</v>
      </c>
      <c r="CT69" s="1109">
        <v>56.31</v>
      </c>
      <c r="CU69" s="1109">
        <v>54.330920502092049</v>
      </c>
      <c r="CV69" s="1109">
        <v>49.732538955087072</v>
      </c>
      <c r="CW69" s="1109">
        <v>54.13</v>
      </c>
      <c r="CX69" s="1109">
        <v>49.818697878566205</v>
      </c>
      <c r="CY69" s="1109">
        <v>47.047666417352282</v>
      </c>
      <c r="CZ69" s="1109">
        <v>47.705748031496064</v>
      </c>
      <c r="DA69" s="1109">
        <v>77.796914175506259</v>
      </c>
      <c r="DB69" s="1110">
        <v>67.226635071090058</v>
      </c>
      <c r="DC69" s="1091">
        <v>85.538041002277893</v>
      </c>
      <c r="DD69" s="1091">
        <v>87.655578512396687</v>
      </c>
      <c r="DE69" s="1091">
        <v>88.125202839756582</v>
      </c>
      <c r="DF69" s="1091">
        <v>105.10753968253968</v>
      </c>
      <c r="DG69" s="1091">
        <v>85.242293906810033</v>
      </c>
      <c r="DH69" s="1091">
        <v>58.451156363636358</v>
      </c>
      <c r="DI69" s="1091">
        <v>34.868658536585365</v>
      </c>
      <c r="DJ69" s="1091">
        <v>31.16617037037037</v>
      </c>
      <c r="DK69" s="1091">
        <v>31.279343971631203</v>
      </c>
      <c r="DL69" s="1091">
        <v>58.413658940397355</v>
      </c>
      <c r="DM69" s="1091">
        <v>74.853585972850667</v>
      </c>
      <c r="DN69" s="1092">
        <v>50.64329896907217</v>
      </c>
      <c r="DO69" s="1091">
        <v>55.242484039466049</v>
      </c>
      <c r="DP69" s="1091">
        <v>56.492798679867981</v>
      </c>
      <c r="DQ69" s="1091">
        <v>61.000453100158978</v>
      </c>
      <c r="DR69" s="1091">
        <v>67.369200614911605</v>
      </c>
      <c r="DS69" s="1091">
        <v>69.407749648382563</v>
      </c>
      <c r="DT69" s="1091">
        <v>79.989645232815974</v>
      </c>
      <c r="DU69" s="1091">
        <v>55.313272921108741</v>
      </c>
      <c r="DV69" s="1091">
        <v>65.065891748003551</v>
      </c>
      <c r="DW69" s="1091">
        <v>44.814546296296292</v>
      </c>
      <c r="DX69" s="1091">
        <v>87.049151809832509</v>
      </c>
      <c r="DY69" s="1091">
        <v>57.957466918714552</v>
      </c>
      <c r="DZ69" s="1091">
        <v>59.989960159362546</v>
      </c>
      <c r="EA69" s="1099"/>
      <c r="EB69" s="1111">
        <v>30.690616281123077</v>
      </c>
      <c r="EC69" s="1112">
        <v>28.125473830155972</v>
      </c>
      <c r="ED69" s="1112">
        <v>31.55912307203053</v>
      </c>
      <c r="EE69" s="1112">
        <v>39.146572828955655</v>
      </c>
      <c r="EF69" s="1112">
        <v>41.905778174173413</v>
      </c>
      <c r="EG69" s="1112">
        <v>38.528120166567504</v>
      </c>
      <c r="EH69" s="1112">
        <v>41.807118655027487</v>
      </c>
      <c r="EI69" s="1112">
        <v>47.480517543859662</v>
      </c>
      <c r="EJ69" s="1112">
        <f t="shared" ref="EJ69:EJ74" si="8">AVERAGE(CQ69:DB69)</f>
        <v>56.762125409937454</v>
      </c>
      <c r="EK69" s="1113">
        <v>62.082394167450602</v>
      </c>
      <c r="EL69" s="1112">
        <f t="shared" ref="EL69:EL74" si="9">AVERAGE(DO69:DZ69)</f>
        <v>63.307718430743449</v>
      </c>
      <c r="EM69" s="1318">
        <v>62.631350845595811</v>
      </c>
    </row>
    <row r="70" spans="1:143">
      <c r="A70" s="998"/>
      <c r="B70" s="1166" t="s">
        <v>709</v>
      </c>
      <c r="C70" s="1171" t="s">
        <v>710</v>
      </c>
      <c r="D70" s="1098">
        <v>50.536067297581496</v>
      </c>
      <c r="E70" s="1099">
        <v>58.914687499999999</v>
      </c>
      <c r="F70" s="1099">
        <v>63.86050566695728</v>
      </c>
      <c r="G70" s="1099">
        <v>63.796632124352328</v>
      </c>
      <c r="H70" s="1099">
        <v>56.303195635229933</v>
      </c>
      <c r="I70" s="1099">
        <v>35.311044444444448</v>
      </c>
      <c r="J70" s="1100">
        <v>29.158455882352943</v>
      </c>
      <c r="K70" s="1101">
        <v>55.400408580183864</v>
      </c>
      <c r="L70" s="1102">
        <v>54.967576961271106</v>
      </c>
      <c r="M70" s="1102">
        <v>57.061990212071777</v>
      </c>
      <c r="N70" s="1102">
        <v>53.621160409556317</v>
      </c>
      <c r="O70" s="1102">
        <v>57.604166666666664</v>
      </c>
      <c r="P70" s="1102">
        <v>63.504885993485345</v>
      </c>
      <c r="Q70" s="1102">
        <v>65.249624060150381</v>
      </c>
      <c r="R70" s="1102">
        <v>62.772113943028486</v>
      </c>
      <c r="S70" s="1102">
        <v>65.405197305101055</v>
      </c>
      <c r="T70" s="1102">
        <v>59.34714484679666</v>
      </c>
      <c r="U70" s="1102">
        <v>54.841599999999993</v>
      </c>
      <c r="V70" s="1103">
        <v>57.137026647966337</v>
      </c>
      <c r="W70" s="1098">
        <v>67.880030604437636</v>
      </c>
      <c r="X70" s="1099">
        <v>67.11554814814815</v>
      </c>
      <c r="Y70" s="1099">
        <v>78.241915085817524</v>
      </c>
      <c r="Z70" s="1099">
        <v>83.11363636363636</v>
      </c>
      <c r="AA70" s="1099">
        <v>65.196940671908493</v>
      </c>
      <c r="AB70" s="1099">
        <v>61.774304291287386</v>
      </c>
      <c r="AC70" s="1099">
        <v>59.423960273122283</v>
      </c>
      <c r="AD70" s="1099">
        <v>59.159174876847288</v>
      </c>
      <c r="AE70" s="1099">
        <v>51.238483146067416</v>
      </c>
      <c r="AF70" s="1099">
        <v>62.097668038408777</v>
      </c>
      <c r="AG70" s="1099">
        <v>54.038057040998218</v>
      </c>
      <c r="AH70" s="1100">
        <v>57.892971137521222</v>
      </c>
      <c r="AI70" s="1104">
        <v>61.778018628281117</v>
      </c>
      <c r="AJ70" s="1104">
        <v>51.553103448275863</v>
      </c>
      <c r="AK70" s="1104">
        <v>62.710552441953574</v>
      </c>
      <c r="AL70" s="1104">
        <v>61.968588235294114</v>
      </c>
      <c r="AM70" s="1104">
        <v>62.801381337252018</v>
      </c>
      <c r="AN70" s="1104">
        <v>62.328959931798799</v>
      </c>
      <c r="AO70" s="1104">
        <v>64.308690909090913</v>
      </c>
      <c r="AP70" s="1104">
        <v>44.059128386336866</v>
      </c>
      <c r="AQ70" s="1104">
        <v>62.955500878734625</v>
      </c>
      <c r="AR70" s="1104">
        <v>56.730395817774458</v>
      </c>
      <c r="AS70" s="1104">
        <v>60.787065134099613</v>
      </c>
      <c r="AT70" s="1104">
        <v>61.568406402226863</v>
      </c>
      <c r="AU70" s="1098">
        <v>61.196033994334279</v>
      </c>
      <c r="AV70" s="1099">
        <v>55.954048212801332</v>
      </c>
      <c r="AW70" s="1099">
        <v>68.878725065047703</v>
      </c>
      <c r="AX70" s="1099">
        <v>75.87904856293359</v>
      </c>
      <c r="AY70" s="1099">
        <v>75.245125348189418</v>
      </c>
      <c r="AZ70" s="1099">
        <v>59.007048543689315</v>
      </c>
      <c r="BA70" s="1099">
        <v>77.627166666666668</v>
      </c>
      <c r="BB70" s="1099">
        <v>76.796523235800336</v>
      </c>
      <c r="BC70" s="1099">
        <v>62.031334841628954</v>
      </c>
      <c r="BD70" s="1099">
        <v>62.830168269230775</v>
      </c>
      <c r="BE70" s="1099">
        <v>57.505791090629806</v>
      </c>
      <c r="BF70" s="1099">
        <v>59.681849935316947</v>
      </c>
      <c r="BG70" s="1105">
        <v>47.084083086053411</v>
      </c>
      <c r="BH70" s="1105">
        <v>48.169067484662577</v>
      </c>
      <c r="BI70" s="1105">
        <v>37.074033970276012</v>
      </c>
      <c r="BJ70" s="1105">
        <v>44.508950682056664</v>
      </c>
      <c r="BK70" s="1105">
        <v>56.262249602543726</v>
      </c>
      <c r="BL70" s="1105">
        <v>54.813925985518914</v>
      </c>
      <c r="BM70" s="1105">
        <v>63.377063670411985</v>
      </c>
      <c r="BN70" s="1105">
        <v>62.352274052478137</v>
      </c>
      <c r="BO70" s="1105">
        <v>62.231746031746034</v>
      </c>
      <c r="BP70" s="1105">
        <v>57.300269461077846</v>
      </c>
      <c r="BQ70" s="1105">
        <v>56.434034165571617</v>
      </c>
      <c r="BR70" s="1105">
        <v>62.807185185185183</v>
      </c>
      <c r="BS70" s="1106">
        <v>68.842469733656174</v>
      </c>
      <c r="BT70" s="1107">
        <v>56.232576687116563</v>
      </c>
      <c r="BU70" s="1107">
        <v>71.701391304347823</v>
      </c>
      <c r="BV70" s="1107">
        <v>76.468385615914301</v>
      </c>
      <c r="BW70" s="1107">
        <v>70.801571194762687</v>
      </c>
      <c r="BX70" s="1107">
        <v>70.788384819064433</v>
      </c>
      <c r="BY70" s="1107">
        <v>70.556021409455852</v>
      </c>
      <c r="BZ70" s="1107">
        <v>75.426544754571694</v>
      </c>
      <c r="CA70" s="1107">
        <v>60.354510166358594</v>
      </c>
      <c r="CB70" s="1107">
        <v>93.515611061552192</v>
      </c>
      <c r="CC70" s="1107">
        <v>64.732452518579692</v>
      </c>
      <c r="CD70" s="1107">
        <v>71.304151785714296</v>
      </c>
      <c r="CE70" s="1087">
        <v>71.304151785714296</v>
      </c>
      <c r="CF70" s="1088">
        <v>69.08116254036598</v>
      </c>
      <c r="CG70" s="1088">
        <v>70.83686723973257</v>
      </c>
      <c r="CH70" s="1088">
        <v>83.597694470477975</v>
      </c>
      <c r="CI70" s="1088">
        <v>65.321069182389948</v>
      </c>
      <c r="CJ70" s="1088">
        <v>67.677138643067835</v>
      </c>
      <c r="CK70" s="1088">
        <v>61.001892583120203</v>
      </c>
      <c r="CL70" s="1088">
        <v>74.80433219178083</v>
      </c>
      <c r="CM70" s="1088">
        <v>70.005198675496686</v>
      </c>
      <c r="CN70" s="1088">
        <v>85.182376470588238</v>
      </c>
      <c r="CO70" s="1088">
        <v>85.684812499999992</v>
      </c>
      <c r="CP70" s="1088">
        <v>81.65773833671399</v>
      </c>
      <c r="CQ70" s="1108">
        <v>91.210046189376442</v>
      </c>
      <c r="CR70" s="1109">
        <v>94.691998375304635</v>
      </c>
      <c r="CS70" s="1109">
        <v>93.969293139293143</v>
      </c>
      <c r="CT70" s="1109">
        <v>94.767042640990368</v>
      </c>
      <c r="CU70" s="1109">
        <v>95.447710184552292</v>
      </c>
      <c r="CV70" s="1109">
        <v>104.11743515850144</v>
      </c>
      <c r="CW70" s="1109">
        <v>104.91</v>
      </c>
      <c r="CX70" s="1109">
        <v>101.26345208845208</v>
      </c>
      <c r="CY70" s="1109">
        <v>96.073559322033901</v>
      </c>
      <c r="CZ70" s="1109">
        <v>94.620445062586938</v>
      </c>
      <c r="DA70" s="1109">
        <v>81.287076239822355</v>
      </c>
      <c r="DB70" s="1110">
        <v>82.169936930623692</v>
      </c>
      <c r="DC70" s="1091">
        <v>87.116444444444454</v>
      </c>
      <c r="DD70" s="1091">
        <v>88.971974025974035</v>
      </c>
      <c r="DE70" s="1091">
        <v>83.725845697329376</v>
      </c>
      <c r="DF70" s="1091">
        <v>88.943935075217738</v>
      </c>
      <c r="DG70" s="1091">
        <v>86.25433526011561</v>
      </c>
      <c r="DH70" s="1091">
        <v>102.58275261324042</v>
      </c>
      <c r="DI70" s="1091">
        <v>108.99018799272287</v>
      </c>
      <c r="DJ70" s="1091">
        <v>97.520052677787533</v>
      </c>
      <c r="DK70" s="1091">
        <v>95.406347150259066</v>
      </c>
      <c r="DL70" s="1091">
        <v>94.270223084384085</v>
      </c>
      <c r="DM70" s="1091">
        <v>96.464149659863949</v>
      </c>
      <c r="DN70" s="1092">
        <v>127.10774519716885</v>
      </c>
      <c r="DO70" s="1091">
        <v>100.87549645390071</v>
      </c>
      <c r="DP70" s="1091">
        <v>98.342634361233479</v>
      </c>
      <c r="DQ70" s="1091">
        <v>92.217874794069189</v>
      </c>
      <c r="DR70" s="1091">
        <v>94.11167232597623</v>
      </c>
      <c r="DS70" s="1091">
        <v>93.940462633451958</v>
      </c>
      <c r="DT70" s="1091">
        <v>94.832196007259526</v>
      </c>
      <c r="DU70" s="1091">
        <v>95.091165523996082</v>
      </c>
      <c r="DV70" s="1091">
        <v>87.602627257799668</v>
      </c>
      <c r="DW70" s="1091">
        <v>85.248372093023249</v>
      </c>
      <c r="DX70" s="1091">
        <v>92.247485604606524</v>
      </c>
      <c r="DY70" s="1091">
        <v>90.579202965708987</v>
      </c>
      <c r="DZ70" s="1091">
        <v>88.404117199391166</v>
      </c>
      <c r="EA70" s="1099"/>
      <c r="EB70" s="1111">
        <v>54.266182142278403</v>
      </c>
      <c r="EC70" s="1112">
        <v>58.941618090452252</v>
      </c>
      <c r="ED70" s="1112">
        <v>63.42255011683676</v>
      </c>
      <c r="EE70" s="1112">
        <v>59.78609822555989</v>
      </c>
      <c r="EF70" s="1112">
        <v>65.624584921643361</v>
      </c>
      <c r="EG70" s="1112">
        <v>54.759398841747441</v>
      </c>
      <c r="EH70" s="1112">
        <v>70.669775273129574</v>
      </c>
      <c r="EI70" s="1112">
        <v>73.976261600292247</v>
      </c>
      <c r="EJ70" s="1112">
        <f t="shared" si="8"/>
        <v>94.543999610961421</v>
      </c>
      <c r="EK70" s="1113">
        <v>96.253808158290909</v>
      </c>
      <c r="EL70" s="1112">
        <f t="shared" si="9"/>
        <v>92.791108935034728</v>
      </c>
      <c r="EM70" s="1318">
        <v>92.622139374203456</v>
      </c>
    </row>
    <row r="71" spans="1:143">
      <c r="A71" s="998"/>
      <c r="B71" s="1166" t="s">
        <v>711</v>
      </c>
      <c r="C71" s="1171" t="s">
        <v>712</v>
      </c>
      <c r="D71" s="1098">
        <v>32.218943974203953</v>
      </c>
      <c r="E71" s="1099">
        <v>37.049336602994323</v>
      </c>
      <c r="F71" s="1099">
        <v>36.237756209307932</v>
      </c>
      <c r="G71" s="1099">
        <v>37.649218287338627</v>
      </c>
      <c r="H71" s="1099">
        <v>36.481917274452989</v>
      </c>
      <c r="I71" s="1099">
        <v>36.910661408450707</v>
      </c>
      <c r="J71" s="1100">
        <v>38.96073634204275</v>
      </c>
      <c r="K71" s="1101">
        <v>36.029940062335172</v>
      </c>
      <c r="L71" s="1102">
        <v>37.561976102941173</v>
      </c>
      <c r="M71" s="1102">
        <v>37.267500608716823</v>
      </c>
      <c r="N71" s="1102">
        <v>37.325014059160942</v>
      </c>
      <c r="O71" s="1102">
        <v>37.487236397530012</v>
      </c>
      <c r="P71" s="1102">
        <v>37.357433806278614</v>
      </c>
      <c r="Q71" s="1102">
        <v>35.777074059861853</v>
      </c>
      <c r="R71" s="1102">
        <v>35.131838638330613</v>
      </c>
      <c r="S71" s="1102">
        <v>36.446445916114783</v>
      </c>
      <c r="T71" s="1102">
        <v>37.937194463531945</v>
      </c>
      <c r="U71" s="1102">
        <v>38.298323858067043</v>
      </c>
      <c r="V71" s="1103">
        <v>37.514823003645773</v>
      </c>
      <c r="W71" s="1098">
        <v>38.943828588673163</v>
      </c>
      <c r="X71" s="1099">
        <v>38.690320320320311</v>
      </c>
      <c r="Y71" s="1099">
        <v>38.981916050456725</v>
      </c>
      <c r="Z71" s="1099">
        <v>39.71929549699108</v>
      </c>
      <c r="AA71" s="1099">
        <v>38.773107271274469</v>
      </c>
      <c r="AB71" s="1099">
        <v>39.737636581764484</v>
      </c>
      <c r="AC71" s="1099">
        <v>39.89595320623917</v>
      </c>
      <c r="AD71" s="1099">
        <v>39.352371521932859</v>
      </c>
      <c r="AE71" s="1099">
        <v>45.513986133440518</v>
      </c>
      <c r="AF71" s="1099">
        <v>46.410755088640848</v>
      </c>
      <c r="AG71" s="1099">
        <v>43.949658859920461</v>
      </c>
      <c r="AH71" s="1100">
        <v>46.35097822959623</v>
      </c>
      <c r="AI71" s="1104">
        <v>45.888258091547087</v>
      </c>
      <c r="AJ71" s="1104">
        <v>46.607557243125072</v>
      </c>
      <c r="AK71" s="1104">
        <v>46.394609238178624</v>
      </c>
      <c r="AL71" s="1104">
        <v>49.228231244064567</v>
      </c>
      <c r="AM71" s="1104">
        <v>48.213661090124127</v>
      </c>
      <c r="AN71" s="1104">
        <v>42.967793072824158</v>
      </c>
      <c r="AO71" s="1104">
        <v>41.345635827146396</v>
      </c>
      <c r="AP71" s="1104">
        <v>44.664752441125792</v>
      </c>
      <c r="AQ71" s="1104">
        <v>42.705910335386726</v>
      </c>
      <c r="AR71" s="1104">
        <v>41.99435652902956</v>
      </c>
      <c r="AS71" s="1104">
        <v>41.725501959320766</v>
      </c>
      <c r="AT71" s="1104">
        <v>42.269019033674958</v>
      </c>
      <c r="AU71" s="1098">
        <v>42.491213148085393</v>
      </c>
      <c r="AV71" s="1099">
        <v>43.205012160070751</v>
      </c>
      <c r="AW71" s="1099">
        <v>43.152388258839224</v>
      </c>
      <c r="AX71" s="1099">
        <v>43.684840567345631</v>
      </c>
      <c r="AY71" s="1099">
        <v>43.231211426387702</v>
      </c>
      <c r="AZ71" s="1099">
        <v>45.76507841204409</v>
      </c>
      <c r="BA71" s="1099">
        <v>41.054810636583397</v>
      </c>
      <c r="BB71" s="1099">
        <v>41.033551411189791</v>
      </c>
      <c r="BC71" s="1099">
        <v>43.225486022560069</v>
      </c>
      <c r="BD71" s="1099">
        <v>42.29395128676471</v>
      </c>
      <c r="BE71" s="1099">
        <v>43.466034660421549</v>
      </c>
      <c r="BF71" s="1099">
        <v>46.693896920175995</v>
      </c>
      <c r="BG71" s="1105">
        <v>45.127236442516271</v>
      </c>
      <c r="BH71" s="1105">
        <v>43.632468827930175</v>
      </c>
      <c r="BI71" s="1105">
        <v>44.842954503076648</v>
      </c>
      <c r="BJ71" s="1105">
        <v>47.959678235353636</v>
      </c>
      <c r="BK71" s="1105">
        <v>45.978395276809913</v>
      </c>
      <c r="BL71" s="1105">
        <v>44.250081628638867</v>
      </c>
      <c r="BM71" s="1105">
        <v>45.737068016338114</v>
      </c>
      <c r="BN71" s="1105">
        <v>45.352634408602157</v>
      </c>
      <c r="BO71" s="1105">
        <v>44.801337490692489</v>
      </c>
      <c r="BP71" s="1105">
        <v>45.350978194770207</v>
      </c>
      <c r="BQ71" s="1105">
        <v>45.416727546916889</v>
      </c>
      <c r="BR71" s="1105">
        <v>48.930818761571686</v>
      </c>
      <c r="BS71" s="1106">
        <v>48.765701443748291</v>
      </c>
      <c r="BT71" s="1107">
        <v>48.229261514028593</v>
      </c>
      <c r="BU71" s="1107">
        <v>48.9678695535953</v>
      </c>
      <c r="BV71" s="1107">
        <v>50.859319075477131</v>
      </c>
      <c r="BW71" s="1107">
        <v>50.219276591777749</v>
      </c>
      <c r="BX71" s="1107">
        <v>49.124211491952295</v>
      </c>
      <c r="BY71" s="1107">
        <v>52.077469007468999</v>
      </c>
      <c r="BZ71" s="1107">
        <v>52.954503810538384</v>
      </c>
      <c r="CA71" s="1107">
        <v>50.905948787519073</v>
      </c>
      <c r="CB71" s="1107">
        <v>51.613869314541958</v>
      </c>
      <c r="CC71" s="1107">
        <v>54.409578429912116</v>
      </c>
      <c r="CD71" s="1107">
        <v>52.830754895767534</v>
      </c>
      <c r="CE71" s="1087">
        <v>53.771463544912315</v>
      </c>
      <c r="CF71" s="1088">
        <v>56.198118324510091</v>
      </c>
      <c r="CG71" s="1088">
        <v>56.866638215034428</v>
      </c>
      <c r="CH71" s="1088">
        <v>54.537135287582259</v>
      </c>
      <c r="CI71" s="1088">
        <v>56.36795481569559</v>
      </c>
      <c r="CJ71" s="1088">
        <v>55.462208939313193</v>
      </c>
      <c r="CK71" s="1088">
        <v>55.775979337064157</v>
      </c>
      <c r="CL71" s="1088">
        <v>53.652155430574823</v>
      </c>
      <c r="CM71" s="1088">
        <v>54.66992133726648</v>
      </c>
      <c r="CN71" s="1088">
        <v>54.884529708241651</v>
      </c>
      <c r="CO71" s="1088">
        <v>56.009085028390714</v>
      </c>
      <c r="CP71" s="1088">
        <v>58.432967192314685</v>
      </c>
      <c r="CQ71" s="1108">
        <v>57.010066466953745</v>
      </c>
      <c r="CR71" s="1109">
        <v>56.898964799722584</v>
      </c>
      <c r="CS71" s="1109">
        <v>55.905950952717014</v>
      </c>
      <c r="CT71" s="1109">
        <v>57.825423514538556</v>
      </c>
      <c r="CU71" s="1109">
        <v>56.860031735140247</v>
      </c>
      <c r="CV71" s="1109">
        <v>55.5398352902805</v>
      </c>
      <c r="CW71" s="1109">
        <v>55.87</v>
      </c>
      <c r="CX71" s="1109">
        <v>58.505335406859444</v>
      </c>
      <c r="CY71" s="1109">
        <v>55.437880299251873</v>
      </c>
      <c r="CZ71" s="1109">
        <v>56.664254378916922</v>
      </c>
      <c r="DA71" s="1109">
        <v>57.846148875059839</v>
      </c>
      <c r="DB71" s="1110">
        <v>59.274451596292472</v>
      </c>
      <c r="DC71" s="1091">
        <v>60.223044084335257</v>
      </c>
      <c r="DD71" s="1091">
        <v>56.847340956340958</v>
      </c>
      <c r="DE71" s="1091">
        <v>56.32020057808532</v>
      </c>
      <c r="DF71" s="1091">
        <v>58.414050501229426</v>
      </c>
      <c r="DG71" s="1091">
        <v>55.804478316451963</v>
      </c>
      <c r="DH71" s="1091">
        <v>62.676652745149219</v>
      </c>
      <c r="DI71" s="1091">
        <v>64.42727219528507</v>
      </c>
      <c r="DJ71" s="1091">
        <v>59.723619233268359</v>
      </c>
      <c r="DK71" s="1091">
        <v>59.03965694682676</v>
      </c>
      <c r="DL71" s="1091">
        <v>60.679351073301028</v>
      </c>
      <c r="DM71" s="1091">
        <v>61.581861456161029</v>
      </c>
      <c r="DN71" s="1092">
        <v>64.777336079260834</v>
      </c>
      <c r="DO71" s="1091">
        <v>75.861327773613183</v>
      </c>
      <c r="DP71" s="1091">
        <v>68.409715171016572</v>
      </c>
      <c r="DQ71" s="1091">
        <v>77.090682332120736</v>
      </c>
      <c r="DR71" s="1091">
        <v>76.082947600440846</v>
      </c>
      <c r="DS71" s="1091">
        <v>71.624838537211303</v>
      </c>
      <c r="DT71" s="1091">
        <v>72.284123811201127</v>
      </c>
      <c r="DU71" s="1091">
        <v>69.514729834942386</v>
      </c>
      <c r="DV71" s="1091">
        <v>74.344705097411264</v>
      </c>
      <c r="DW71" s="1091">
        <v>77.694545152722441</v>
      </c>
      <c r="DX71" s="1091">
        <v>77.150191062383783</v>
      </c>
      <c r="DY71" s="1091">
        <v>64.053930575368511</v>
      </c>
      <c r="DZ71" s="1091">
        <v>68.236465388817166</v>
      </c>
      <c r="EA71" s="1099"/>
      <c r="EB71" s="1111">
        <v>36.569273196920584</v>
      </c>
      <c r="EC71" s="1112">
        <v>36.997711265677182</v>
      </c>
      <c r="ED71" s="1112">
        <v>41.442989935403851</v>
      </c>
      <c r="EE71" s="1112">
        <v>44.382936175918481</v>
      </c>
      <c r="EF71" s="1112">
        <v>43.263006637295184</v>
      </c>
      <c r="EG71" s="1112">
        <v>45.622668556924602</v>
      </c>
      <c r="EH71" s="1112">
        <v>50.974232159929841</v>
      </c>
      <c r="EI71" s="1112">
        <v>55.525461493624277</v>
      </c>
      <c r="EJ71" s="1112">
        <f t="shared" si="8"/>
        <v>56.969861942977765</v>
      </c>
      <c r="EK71" s="1113">
        <v>60.076724057184137</v>
      </c>
      <c r="EL71" s="1112">
        <f t="shared" si="9"/>
        <v>72.695683528104112</v>
      </c>
      <c r="EM71" s="1318">
        <v>71.691386491990883</v>
      </c>
    </row>
    <row r="72" spans="1:143">
      <c r="A72" s="998"/>
      <c r="B72" s="1166" t="s">
        <v>713</v>
      </c>
      <c r="C72" s="1171" t="s">
        <v>714</v>
      </c>
      <c r="D72" s="1098">
        <v>37.253895508707608</v>
      </c>
      <c r="E72" s="1099">
        <v>37.615734190782426</v>
      </c>
      <c r="F72" s="1099">
        <v>39.173001215066826</v>
      </c>
      <c r="G72" s="1099">
        <v>35.777630662020904</v>
      </c>
      <c r="H72" s="1099">
        <v>37.734009269988412</v>
      </c>
      <c r="I72" s="1099">
        <v>36.265415617128468</v>
      </c>
      <c r="J72" s="1100">
        <v>33.386025200458192</v>
      </c>
      <c r="K72" s="1101">
        <v>31.469534050179213</v>
      </c>
      <c r="L72" s="1102">
        <v>38.027044854881268</v>
      </c>
      <c r="M72" s="1102">
        <v>39.325421903052067</v>
      </c>
      <c r="N72" s="1102">
        <v>37.444837758112094</v>
      </c>
      <c r="O72" s="1102">
        <v>36.424256410256412</v>
      </c>
      <c r="P72" s="1102">
        <v>40.976041426927502</v>
      </c>
      <c r="Q72" s="1102">
        <v>39.792073050345508</v>
      </c>
      <c r="R72" s="1102">
        <v>39.754700239808152</v>
      </c>
      <c r="S72" s="1102">
        <v>38.189075630252098</v>
      </c>
      <c r="T72" s="1102">
        <v>38.383904109589039</v>
      </c>
      <c r="U72" s="1102">
        <v>38.189205103042198</v>
      </c>
      <c r="V72" s="1103">
        <v>38.603621169916437</v>
      </c>
      <c r="W72" s="1098">
        <v>38.85117227319062</v>
      </c>
      <c r="X72" s="1099">
        <v>36.638865179437438</v>
      </c>
      <c r="Y72" s="1099">
        <v>36.814071510957326</v>
      </c>
      <c r="Z72" s="1099">
        <v>35.008863905325441</v>
      </c>
      <c r="AA72" s="1099">
        <v>36.756585081585087</v>
      </c>
      <c r="AB72" s="1099">
        <v>38.905647348951916</v>
      </c>
      <c r="AC72" s="1099">
        <v>36.444330117899248</v>
      </c>
      <c r="AD72" s="1099">
        <v>37.764023870417731</v>
      </c>
      <c r="AE72" s="1099">
        <v>41.870280373831768</v>
      </c>
      <c r="AF72" s="1099">
        <v>36.265804701627488</v>
      </c>
      <c r="AG72" s="1099">
        <v>41.147076923076916</v>
      </c>
      <c r="AH72" s="1100">
        <v>42.571239804241429</v>
      </c>
      <c r="AI72" s="1104">
        <v>41.294884437596309</v>
      </c>
      <c r="AJ72" s="1104">
        <v>43.564728260869572</v>
      </c>
      <c r="AK72" s="1104">
        <v>42.233796296296298</v>
      </c>
      <c r="AL72" s="1104">
        <v>40.748088235294119</v>
      </c>
      <c r="AM72" s="1104">
        <v>40.528626666666661</v>
      </c>
      <c r="AN72" s="1104">
        <v>41.363351424694713</v>
      </c>
      <c r="AO72" s="1104">
        <v>43.715107526881724</v>
      </c>
      <c r="AP72" s="1104">
        <v>42.757096774193542</v>
      </c>
      <c r="AQ72" s="1104">
        <v>42.622093023255815</v>
      </c>
      <c r="AR72" s="1104">
        <v>43.441176470588239</v>
      </c>
      <c r="AS72" s="1104">
        <v>46.373048128342248</v>
      </c>
      <c r="AT72" s="1104">
        <v>43.485096660808445</v>
      </c>
      <c r="AU72" s="1098">
        <v>41.806984435797666</v>
      </c>
      <c r="AV72" s="1099">
        <v>48.073467202141899</v>
      </c>
      <c r="AW72" s="1099">
        <v>44.945176110260341</v>
      </c>
      <c r="AX72" s="1099">
        <v>44.448442211055273</v>
      </c>
      <c r="AY72" s="1099">
        <v>44.425940054495911</v>
      </c>
      <c r="AZ72" s="1099">
        <v>42.057952755905504</v>
      </c>
      <c r="BA72" s="1099">
        <v>41.915567282321902</v>
      </c>
      <c r="BB72" s="1099">
        <v>43.837531486146098</v>
      </c>
      <c r="BC72" s="1099">
        <v>44.077053682896384</v>
      </c>
      <c r="BD72" s="1099">
        <v>45.435868772782506</v>
      </c>
      <c r="BE72" s="1099">
        <v>47.286709585121606</v>
      </c>
      <c r="BF72" s="1099">
        <v>41.247657295850068</v>
      </c>
      <c r="BG72" s="1105">
        <v>41.407854984894257</v>
      </c>
      <c r="BH72" s="1105">
        <v>39.865869853917665</v>
      </c>
      <c r="BI72" s="1105">
        <v>41.692961165048544</v>
      </c>
      <c r="BJ72" s="1105">
        <v>42.511312217194572</v>
      </c>
      <c r="BK72" s="1105">
        <v>40.555555555555557</v>
      </c>
      <c r="BL72" s="1105">
        <v>55.671271393643032</v>
      </c>
      <c r="BM72" s="1105">
        <v>43.535947712418299</v>
      </c>
      <c r="BN72" s="1105">
        <v>44.825275035260937</v>
      </c>
      <c r="BO72" s="1105">
        <v>43.003901170351106</v>
      </c>
      <c r="BP72" s="1105">
        <v>44.009661835748794</v>
      </c>
      <c r="BQ72" s="1105">
        <v>36.386666666666663</v>
      </c>
      <c r="BR72" s="1105">
        <v>36.29577464788732</v>
      </c>
      <c r="BS72" s="1106">
        <v>43.790523690773064</v>
      </c>
      <c r="BT72" s="1107">
        <v>43.565891472868216</v>
      </c>
      <c r="BU72" s="1107">
        <v>43.449602543720182</v>
      </c>
      <c r="BV72" s="1107">
        <v>43.543218806509948</v>
      </c>
      <c r="BW72" s="1107">
        <v>40.754154852780808</v>
      </c>
      <c r="BX72" s="1107">
        <v>41.657887725975264</v>
      </c>
      <c r="BY72" s="1107">
        <v>41.280639175257733</v>
      </c>
      <c r="BZ72" s="1107">
        <v>40.982350515463914</v>
      </c>
      <c r="CA72" s="1107">
        <v>40.82749464668094</v>
      </c>
      <c r="CB72" s="1107">
        <v>42.934090909090912</v>
      </c>
      <c r="CC72" s="1107">
        <v>47.819799777530591</v>
      </c>
      <c r="CD72" s="1107">
        <v>28.576704545454547</v>
      </c>
      <c r="CE72" s="1087">
        <v>42.913746630727765</v>
      </c>
      <c r="CF72" s="1088">
        <v>42.546116504854368</v>
      </c>
      <c r="CG72" s="1088">
        <v>42.689440993788821</v>
      </c>
      <c r="CH72" s="1088">
        <v>42.903114186851212</v>
      </c>
      <c r="CI72" s="1088">
        <v>42.984478935698448</v>
      </c>
      <c r="CJ72" s="1088">
        <v>44.697841726618705</v>
      </c>
      <c r="CK72" s="1088">
        <v>43.976415094339622</v>
      </c>
      <c r="CL72" s="1088">
        <v>44.146509341199604</v>
      </c>
      <c r="CM72" s="1088">
        <v>47.585227272727273</v>
      </c>
      <c r="CN72" s="1088">
        <v>50.264629418472069</v>
      </c>
      <c r="CO72" s="1088">
        <v>47.179118329466363</v>
      </c>
      <c r="CP72" s="1088">
        <v>47.594617940199335</v>
      </c>
      <c r="CQ72" s="1108">
        <v>47.520392798690672</v>
      </c>
      <c r="CR72" s="1109">
        <v>46.936758241758241</v>
      </c>
      <c r="CS72" s="1109">
        <v>47.274927536231885</v>
      </c>
      <c r="CT72" s="1109">
        <v>47.524986595174262</v>
      </c>
      <c r="CU72" s="1109">
        <v>51.791084337349396</v>
      </c>
      <c r="CV72" s="1109">
        <v>59.499336870026525</v>
      </c>
      <c r="CW72" s="1109">
        <v>61.95</v>
      </c>
      <c r="CX72" s="1109">
        <v>60.880706921944032</v>
      </c>
      <c r="CY72" s="1109">
        <v>59.821278941565595</v>
      </c>
      <c r="CZ72" s="1109">
        <v>61.255128205128202</v>
      </c>
      <c r="DA72" s="1109">
        <v>59.666666666666664</v>
      </c>
      <c r="DB72" s="1110">
        <v>60.553695150115473</v>
      </c>
      <c r="DC72" s="1091">
        <v>57.434254143646406</v>
      </c>
      <c r="DD72" s="1091">
        <v>57.920703125000003</v>
      </c>
      <c r="DE72" s="1091">
        <v>54.994827586206895</v>
      </c>
      <c r="DF72" s="1091">
        <v>53.987596899224805</v>
      </c>
      <c r="DG72" s="1091">
        <v>58.739320388349512</v>
      </c>
      <c r="DH72" s="1091">
        <v>35.12658227848101</v>
      </c>
      <c r="DI72" s="1091">
        <v>26.812865497076022</v>
      </c>
      <c r="DJ72" s="1091">
        <v>39.823614627285515</v>
      </c>
      <c r="DK72" s="1091">
        <v>51.011259931895573</v>
      </c>
      <c r="DL72" s="1091">
        <v>46.892762520193862</v>
      </c>
      <c r="DM72" s="1091">
        <v>46.70790087463557</v>
      </c>
      <c r="DN72" s="1092">
        <v>40.967347480106099</v>
      </c>
      <c r="DO72" s="1091">
        <v>68</v>
      </c>
      <c r="DP72" s="1091">
        <v>69</v>
      </c>
      <c r="DQ72" s="1091">
        <v>67</v>
      </c>
      <c r="DR72" s="1091">
        <v>66</v>
      </c>
      <c r="DS72" s="1091">
        <v>68</v>
      </c>
      <c r="DT72" s="1091">
        <v>65</v>
      </c>
      <c r="DU72" s="1091">
        <v>15</v>
      </c>
      <c r="DV72" s="1091">
        <v>15</v>
      </c>
      <c r="DW72" s="1091">
        <v>15</v>
      </c>
      <c r="DX72" s="1091">
        <v>15</v>
      </c>
      <c r="DY72" s="1091">
        <v>15</v>
      </c>
      <c r="DZ72" s="1091">
        <v>15</v>
      </c>
      <c r="EA72" s="1099"/>
      <c r="EB72" s="1111">
        <v>36.756747354921444</v>
      </c>
      <c r="EC72" s="1112">
        <v>37.958624273047924</v>
      </c>
      <c r="ED72" s="1112">
        <v>38.042491495816876</v>
      </c>
      <c r="EE72" s="1112">
        <v>42.578940068315895</v>
      </c>
      <c r="EF72" s="1112">
        <v>44.169741730856387</v>
      </c>
      <c r="EG72" s="1112">
        <v>42.5895954162769</v>
      </c>
      <c r="EH72" s="1112">
        <v>41.651715893108289</v>
      </c>
      <c r="EI72" s="1112">
        <v>44.938582283350989</v>
      </c>
      <c r="EJ72" s="1112">
        <f t="shared" si="8"/>
        <v>55.389580188720906</v>
      </c>
      <c r="EK72" s="1113">
        <v>46.978674994162972</v>
      </c>
      <c r="EL72" s="1112">
        <f t="shared" si="9"/>
        <v>41.083333333333336</v>
      </c>
      <c r="EM72" s="1318">
        <v>32.166666666666664</v>
      </c>
    </row>
    <row r="73" spans="1:143">
      <c r="A73" s="998"/>
      <c r="B73" s="1166" t="s">
        <v>715</v>
      </c>
      <c r="C73" s="1171" t="s">
        <v>716</v>
      </c>
      <c r="D73" s="1098">
        <v>13.125</v>
      </c>
      <c r="E73" s="1099">
        <v>11.280434782608696</v>
      </c>
      <c r="F73" s="1099">
        <v>13.912337164750957</v>
      </c>
      <c r="G73" s="1099">
        <v>13.598357664233577</v>
      </c>
      <c r="H73" s="1099">
        <v>12.481366459627329</v>
      </c>
      <c r="I73" s="1099">
        <v>15.517857142857142</v>
      </c>
      <c r="J73" s="1100">
        <v>15.166115702479338</v>
      </c>
      <c r="K73" s="1101">
        <v>17.823204419889503</v>
      </c>
      <c r="L73" s="1102">
        <v>18.690265486725664</v>
      </c>
      <c r="M73" s="1102">
        <v>15.947595190380762</v>
      </c>
      <c r="N73" s="1102">
        <v>17.065236051502147</v>
      </c>
      <c r="O73" s="1102">
        <v>16.106409774436091</v>
      </c>
      <c r="P73" s="1102">
        <v>15.663311688311685</v>
      </c>
      <c r="Q73" s="1102">
        <v>15.617642642642643</v>
      </c>
      <c r="R73" s="1102">
        <v>16.2</v>
      </c>
      <c r="S73" s="1102">
        <v>18.288115942028984</v>
      </c>
      <c r="T73" s="1102">
        <v>16.48609865470852</v>
      </c>
      <c r="U73" s="1102">
        <v>14.147826086956522</v>
      </c>
      <c r="V73" s="1103">
        <v>10.653968253968253</v>
      </c>
      <c r="W73" s="1098">
        <v>14.385416666666666</v>
      </c>
      <c r="X73" s="1099">
        <v>13.044604316546762</v>
      </c>
      <c r="Y73" s="1099">
        <v>14.902374670184697</v>
      </c>
      <c r="Z73" s="1099">
        <v>13.537859007832898</v>
      </c>
      <c r="AA73" s="1099">
        <v>10.994117647058824</v>
      </c>
      <c r="AB73" s="1099">
        <v>12.223786666666667</v>
      </c>
      <c r="AC73" s="1099">
        <v>11.016455696202533</v>
      </c>
      <c r="AD73" s="1099">
        <v>12.822022471910111</v>
      </c>
      <c r="AE73" s="1099">
        <v>13.330329289428077</v>
      </c>
      <c r="AF73" s="1099">
        <v>13.992028985507247</v>
      </c>
      <c r="AG73" s="1099">
        <v>13.713071200850159</v>
      </c>
      <c r="AH73" s="1100">
        <v>15.116630669546437</v>
      </c>
      <c r="AI73" s="1104">
        <v>14.662484316185695</v>
      </c>
      <c r="AJ73" s="1104">
        <v>13.771117166212534</v>
      </c>
      <c r="AK73" s="1104">
        <v>14.913580246913581</v>
      </c>
      <c r="AL73" s="1104">
        <v>15.062972292191436</v>
      </c>
      <c r="AM73" s="1104">
        <v>15.179290508149569</v>
      </c>
      <c r="AN73" s="1104">
        <v>15.006578947368421</v>
      </c>
      <c r="AO73" s="1104">
        <v>15.880952380952381</v>
      </c>
      <c r="AP73" s="1104">
        <v>16.21875</v>
      </c>
      <c r="AQ73" s="1104">
        <v>16.419753086419753</v>
      </c>
      <c r="AR73" s="1104">
        <v>16.21561338289963</v>
      </c>
      <c r="AS73" s="1104">
        <v>16.206250000000001</v>
      </c>
      <c r="AT73" s="1104">
        <v>15.168539325842696</v>
      </c>
      <c r="AU73" s="1098">
        <v>14.99092558983666</v>
      </c>
      <c r="AV73" s="1099">
        <v>15.158612143742255</v>
      </c>
      <c r="AW73" s="1099">
        <v>15.9822695035461</v>
      </c>
      <c r="AX73" s="1099">
        <v>16.109090909090909</v>
      </c>
      <c r="AY73" s="1099">
        <v>16.695402298850574</v>
      </c>
      <c r="AZ73" s="1099">
        <v>16.369565217391305</v>
      </c>
      <c r="BA73" s="1099">
        <v>15.531914893617021</v>
      </c>
      <c r="BB73" s="1099">
        <v>17.269709543568464</v>
      </c>
      <c r="BC73" s="1099">
        <v>16.527874564459932</v>
      </c>
      <c r="BD73" s="1099">
        <v>17.214678899082568</v>
      </c>
      <c r="BE73" s="1099">
        <v>19.009740259740258</v>
      </c>
      <c r="BF73" s="1099">
        <v>16.604465709728867</v>
      </c>
      <c r="BG73" s="1105">
        <v>16.85308056872038</v>
      </c>
      <c r="BH73" s="1105">
        <v>16.739478957915832</v>
      </c>
      <c r="BI73" s="1105">
        <v>15.973451327433628</v>
      </c>
      <c r="BJ73" s="1105">
        <v>15.992578849721706</v>
      </c>
      <c r="BK73" s="1105">
        <v>16.053356282271945</v>
      </c>
      <c r="BL73" s="1105">
        <v>15.944000000000001</v>
      </c>
      <c r="BM73" s="1105">
        <v>17.32750689972401</v>
      </c>
      <c r="BN73" s="1105">
        <v>16.615107913669064</v>
      </c>
      <c r="BO73" s="1105">
        <v>15.691338582677165</v>
      </c>
      <c r="BP73" s="1105">
        <v>15.737556561085972</v>
      </c>
      <c r="BQ73" s="1105">
        <v>16.649610678531701</v>
      </c>
      <c r="BR73" s="1105">
        <v>19.885353003161224</v>
      </c>
      <c r="BS73" s="1106">
        <v>25.101836393989984</v>
      </c>
      <c r="BT73" s="1107">
        <v>26.395176252319111</v>
      </c>
      <c r="BU73" s="1107">
        <v>22.874340021119323</v>
      </c>
      <c r="BV73" s="1107">
        <v>22.939130434782609</v>
      </c>
      <c r="BW73" s="1107">
        <v>22.164794007490638</v>
      </c>
      <c r="BX73" s="1107">
        <v>22.176470588235293</v>
      </c>
      <c r="BY73" s="1107">
        <v>21.945885005636978</v>
      </c>
      <c r="BZ73" s="1107">
        <v>25.846938775510203</v>
      </c>
      <c r="CA73" s="1107">
        <v>22.955414012738853</v>
      </c>
      <c r="CB73" s="1107">
        <v>23.376223776223775</v>
      </c>
      <c r="CC73" s="1107">
        <v>22.786632390745503</v>
      </c>
      <c r="CD73" s="1107">
        <v>22.074999999999999</v>
      </c>
      <c r="CE73" s="1087">
        <v>15.384615384615385</v>
      </c>
      <c r="CF73" s="1088">
        <v>15.966507177033494</v>
      </c>
      <c r="CG73" s="1088">
        <v>15.737976782752902</v>
      </c>
      <c r="CH73" s="1088">
        <v>18.456456456456458</v>
      </c>
      <c r="CI73" s="1088">
        <v>20.045454545454547</v>
      </c>
      <c r="CJ73" s="1088">
        <v>19.407894736842106</v>
      </c>
      <c r="CK73" s="1088">
        <v>22.032679738562091</v>
      </c>
      <c r="CL73" s="1088">
        <v>23.134374999999999</v>
      </c>
      <c r="CM73" s="1088">
        <v>34.580571428571432</v>
      </c>
      <c r="CN73" s="1088">
        <v>26.513944223107568</v>
      </c>
      <c r="CO73" s="1088">
        <v>29.569400630914828</v>
      </c>
      <c r="CP73" s="1088">
        <v>34.378986866791742</v>
      </c>
      <c r="CQ73" s="1108">
        <v>28.830188679245282</v>
      </c>
      <c r="CR73" s="1109">
        <v>29.78</v>
      </c>
      <c r="CS73" s="1109">
        <v>32.137195121951223</v>
      </c>
      <c r="CT73" s="1109">
        <v>34.324873096446701</v>
      </c>
      <c r="CU73" s="1109">
        <v>30.922636103151863</v>
      </c>
      <c r="CV73" s="1109">
        <v>31.482142857142858</v>
      </c>
      <c r="CW73" s="1109">
        <v>23.94</v>
      </c>
      <c r="CX73" s="1109">
        <v>32.184670846394987</v>
      </c>
      <c r="CY73" s="1109">
        <v>31.399297218155198</v>
      </c>
      <c r="CZ73" s="1109">
        <v>24.434491978609625</v>
      </c>
      <c r="DA73" s="1109">
        <v>22.752166377816291</v>
      </c>
      <c r="DB73" s="1110">
        <v>23.859903381642511</v>
      </c>
      <c r="DC73" s="1091">
        <v>30.95</v>
      </c>
      <c r="DD73" s="1091">
        <v>22.149350649350648</v>
      </c>
      <c r="DE73" s="1091">
        <v>23.395522388059703</v>
      </c>
      <c r="DF73" s="1091">
        <v>26.401032702237522</v>
      </c>
      <c r="DG73" s="1091">
        <v>37.944609609609607</v>
      </c>
      <c r="DH73" s="1091">
        <v>23.7</v>
      </c>
      <c r="DI73" s="1091">
        <v>26.89051094890511</v>
      </c>
      <c r="DJ73" s="1091">
        <v>25.353591160220994</v>
      </c>
      <c r="DK73" s="1091">
        <v>33.33898305084746</v>
      </c>
      <c r="DL73" s="1091">
        <v>26.565074135090608</v>
      </c>
      <c r="DM73" s="1091">
        <v>38.198090692124104</v>
      </c>
      <c r="DN73" s="1092">
        <v>34.422077922077925</v>
      </c>
      <c r="DO73" s="1091">
        <v>59.639242155121373</v>
      </c>
      <c r="DP73" s="1091">
        <v>57.842849315068491</v>
      </c>
      <c r="DQ73" s="1091">
        <v>55.325090168702737</v>
      </c>
      <c r="DR73" s="1091">
        <v>58.147157123834887</v>
      </c>
      <c r="DS73" s="1091">
        <v>54.326942266571642</v>
      </c>
      <c r="DT73" s="1091">
        <v>59.37315112540194</v>
      </c>
      <c r="DU73" s="1091">
        <v>59.506876876876881</v>
      </c>
      <c r="DV73" s="1091">
        <v>61.414796954314724</v>
      </c>
      <c r="DW73" s="1091">
        <v>60.871350594821557</v>
      </c>
      <c r="DX73" s="1091">
        <v>73.450840707964602</v>
      </c>
      <c r="DY73" s="1091">
        <v>63.7734375</v>
      </c>
      <c r="DZ73" s="1091">
        <v>60.5346462436178</v>
      </c>
      <c r="EA73" s="1099"/>
      <c r="EB73" s="1111">
        <v>14.100148842337376</v>
      </c>
      <c r="EC73" s="1112">
        <v>15.863419981620062</v>
      </c>
      <c r="ED73" s="1112">
        <v>13.359409950382192</v>
      </c>
      <c r="EE73" s="1112">
        <v>15.374640055605203</v>
      </c>
      <c r="EF73" s="1112">
        <v>16.415083559491499</v>
      </c>
      <c r="EG73" s="1112">
        <v>16.748469505178363</v>
      </c>
      <c r="EH73" s="1112">
        <v>23.177299456340851</v>
      </c>
      <c r="EI73" s="1112">
        <v>23.580501015572107</v>
      </c>
      <c r="EJ73" s="1112">
        <f t="shared" si="8"/>
        <v>28.837297138379711</v>
      </c>
      <c r="EK73" s="1113">
        <v>29.04893873085339</v>
      </c>
      <c r="EL73" s="1112">
        <f t="shared" si="9"/>
        <v>60.350531752691388</v>
      </c>
      <c r="EM73" s="1318">
        <v>61.097284382261087</v>
      </c>
    </row>
    <row r="74" spans="1:143">
      <c r="A74" s="998"/>
      <c r="B74" s="1166" t="s">
        <v>717</v>
      </c>
      <c r="C74" s="1171" t="s">
        <v>718</v>
      </c>
      <c r="D74" s="1098">
        <v>42.4809700978699</v>
      </c>
      <c r="E74" s="1099">
        <v>42.197020586576429</v>
      </c>
      <c r="F74" s="1099">
        <v>42.560609337905554</v>
      </c>
      <c r="G74" s="1099">
        <v>42.150676219610375</v>
      </c>
      <c r="H74" s="1099">
        <v>40.589771026638722</v>
      </c>
      <c r="I74" s="1099">
        <v>40.490916612798969</v>
      </c>
      <c r="J74" s="1100">
        <v>40.737201365187708</v>
      </c>
      <c r="K74" s="1101">
        <v>43.753826944687226</v>
      </c>
      <c r="L74" s="1102">
        <v>43.071199638663053</v>
      </c>
      <c r="M74" s="1102">
        <v>43.00638375350141</v>
      </c>
      <c r="N74" s="1102">
        <v>41.300746825989535</v>
      </c>
      <c r="O74" s="1102">
        <v>41.878890608875125</v>
      </c>
      <c r="P74" s="1102">
        <v>41.949539151141629</v>
      </c>
      <c r="Q74" s="1102">
        <v>43.277288952579475</v>
      </c>
      <c r="R74" s="1102">
        <v>39.839830274075929</v>
      </c>
      <c r="S74" s="1102">
        <v>44.03640910939405</v>
      </c>
      <c r="T74" s="1102">
        <v>43.576470588235303</v>
      </c>
      <c r="U74" s="1102">
        <v>43.134988659424607</v>
      </c>
      <c r="V74" s="1103">
        <v>43.442462048508119</v>
      </c>
      <c r="W74" s="1098">
        <v>44.294439281288724</v>
      </c>
      <c r="X74" s="1099">
        <v>44.522516147974159</v>
      </c>
      <c r="Y74" s="1099">
        <v>46.558524723047825</v>
      </c>
      <c r="Z74" s="1099">
        <v>44.700740947075211</v>
      </c>
      <c r="AA74" s="1099">
        <v>46.890103272532194</v>
      </c>
      <c r="AB74" s="1099">
        <v>46.650112299465235</v>
      </c>
      <c r="AC74" s="1099">
        <v>46.495872786411262</v>
      </c>
      <c r="AD74" s="1099">
        <v>44.616456662848428</v>
      </c>
      <c r="AE74" s="1099">
        <v>46.106128194615273</v>
      </c>
      <c r="AF74" s="1099">
        <v>46.96394304635762</v>
      </c>
      <c r="AG74" s="1099">
        <v>48.078164514840935</v>
      </c>
      <c r="AH74" s="1100">
        <v>46.927681536958637</v>
      </c>
      <c r="AI74" s="1104">
        <v>48.366130613535738</v>
      </c>
      <c r="AJ74" s="1104">
        <v>51.615765926986413</v>
      </c>
      <c r="AK74" s="1104">
        <v>48.130342393222726</v>
      </c>
      <c r="AL74" s="1104">
        <v>50.18778370271621</v>
      </c>
      <c r="AM74" s="1104">
        <v>47.890413946587536</v>
      </c>
      <c r="AN74" s="1104">
        <v>47.577677897385712</v>
      </c>
      <c r="AO74" s="1104">
        <v>48.777367509986696</v>
      </c>
      <c r="AP74" s="1104">
        <v>39.605810253388341</v>
      </c>
      <c r="AQ74" s="1104">
        <v>47.087140636042413</v>
      </c>
      <c r="AR74" s="1104">
        <v>46.549807366125513</v>
      </c>
      <c r="AS74" s="1104">
        <v>47.958115445063576</v>
      </c>
      <c r="AT74" s="1104">
        <v>45.291288829151739</v>
      </c>
      <c r="AU74" s="1098">
        <v>60.19254018971543</v>
      </c>
      <c r="AV74" s="1099">
        <v>61.827824108469528</v>
      </c>
      <c r="AW74" s="1099">
        <v>57.577205211726394</v>
      </c>
      <c r="AX74" s="1099">
        <v>60.775073154959173</v>
      </c>
      <c r="AY74" s="1099">
        <v>60.190730337078655</v>
      </c>
      <c r="AZ74" s="1099">
        <v>59.833951868271065</v>
      </c>
      <c r="BA74" s="1099">
        <v>61.233442807808878</v>
      </c>
      <c r="BB74" s="1099">
        <v>58.24492151782993</v>
      </c>
      <c r="BC74" s="1099">
        <v>59.542212959141565</v>
      </c>
      <c r="BD74" s="1099">
        <v>61.626236982831408</v>
      </c>
      <c r="BE74" s="1099">
        <v>62.501668745668738</v>
      </c>
      <c r="BF74" s="1099">
        <v>59.631662801683412</v>
      </c>
      <c r="BG74" s="1105">
        <v>60.478803322661584</v>
      </c>
      <c r="BH74" s="1105">
        <v>61.508620375294399</v>
      </c>
      <c r="BI74" s="1105">
        <v>63.200223224023844</v>
      </c>
      <c r="BJ74" s="1105">
        <v>63.399195331695338</v>
      </c>
      <c r="BK74" s="1105">
        <v>59.171692059095122</v>
      </c>
      <c r="BL74" s="1105">
        <v>60.595239552298921</v>
      </c>
      <c r="BM74" s="1105">
        <v>62.147075712462787</v>
      </c>
      <c r="BN74" s="1105">
        <v>59.933346002349523</v>
      </c>
      <c r="BO74" s="1105">
        <v>59.00493609983463</v>
      </c>
      <c r="BP74" s="1105">
        <v>64.067821656899312</v>
      </c>
      <c r="BQ74" s="1105">
        <v>63.898266227900393</v>
      </c>
      <c r="BR74" s="1105">
        <v>63.273963682905354</v>
      </c>
      <c r="BS74" s="1106">
        <v>64.686992569417285</v>
      </c>
      <c r="BT74" s="1107">
        <v>63.57593601543941</v>
      </c>
      <c r="BU74" s="1107">
        <v>63.614640929582812</v>
      </c>
      <c r="BV74" s="1107">
        <v>65.216306868212499</v>
      </c>
      <c r="BW74" s="1107">
        <v>65.915381892086785</v>
      </c>
      <c r="BX74" s="1107">
        <v>66.756855308836023</v>
      </c>
      <c r="BY74" s="1107">
        <v>65.499050801227412</v>
      </c>
      <c r="BZ74" s="1107">
        <v>64.215378843216683</v>
      </c>
      <c r="CA74" s="1107">
        <v>63.677676389436336</v>
      </c>
      <c r="CB74" s="1107">
        <v>64.686914398623259</v>
      </c>
      <c r="CC74" s="1107">
        <v>64.383611012643271</v>
      </c>
      <c r="CD74" s="1107">
        <v>66.901257598784184</v>
      </c>
      <c r="CE74" s="1087">
        <v>66.42977612512459</v>
      </c>
      <c r="CF74" s="1088">
        <v>81.031564018290936</v>
      </c>
      <c r="CG74" s="1088">
        <v>82.880069164265109</v>
      </c>
      <c r="CH74" s="1088">
        <v>75.274082227932496</v>
      </c>
      <c r="CI74" s="1088">
        <v>75.227126727662053</v>
      </c>
      <c r="CJ74" s="1088">
        <v>76.102860497588225</v>
      </c>
      <c r="CK74" s="1088">
        <v>76.925683053581039</v>
      </c>
      <c r="CL74" s="1088">
        <v>78.858646472608527</v>
      </c>
      <c r="CM74" s="1088">
        <v>76.063500596723443</v>
      </c>
      <c r="CN74" s="1088">
        <v>84.594564388383702</v>
      </c>
      <c r="CO74" s="1088">
        <v>80.732549118106746</v>
      </c>
      <c r="CP74" s="1088">
        <v>77.461704405700644</v>
      </c>
      <c r="CQ74" s="1108">
        <v>81.806588257793095</v>
      </c>
      <c r="CR74" s="1109">
        <v>89.334127864897454</v>
      </c>
      <c r="CS74" s="1109">
        <v>84.880527542493311</v>
      </c>
      <c r="CT74" s="1109">
        <v>81.29771132325979</v>
      </c>
      <c r="CU74" s="1109">
        <v>80.992224371373297</v>
      </c>
      <c r="CV74" s="1109">
        <v>78.796219408771506</v>
      </c>
      <c r="CW74" s="1109">
        <v>79.27</v>
      </c>
      <c r="CX74" s="1109">
        <v>81.509372159090915</v>
      </c>
      <c r="CY74" s="1109">
        <v>83.155648881640275</v>
      </c>
      <c r="CZ74" s="1109">
        <v>84.070076807576797</v>
      </c>
      <c r="DA74" s="1109">
        <v>81.156677132669898</v>
      </c>
      <c r="DB74" s="1110">
        <v>80.368690468759766</v>
      </c>
      <c r="DC74" s="1091">
        <v>75.653585953223683</v>
      </c>
      <c r="DD74" s="1091">
        <v>77.389871188651554</v>
      </c>
      <c r="DE74" s="1091">
        <v>82.174474139373999</v>
      </c>
      <c r="DF74" s="1091">
        <v>80.322190808074168</v>
      </c>
      <c r="DG74" s="1091">
        <v>78.184191609344992</v>
      </c>
      <c r="DH74" s="1091">
        <v>81.860768780716128</v>
      </c>
      <c r="DI74" s="1091">
        <v>80.601053901376957</v>
      </c>
      <c r="DJ74" s="1091">
        <v>81.388314526588843</v>
      </c>
      <c r="DK74" s="1091">
        <v>81.519666865750892</v>
      </c>
      <c r="DL74" s="1091">
        <v>79.685074829931963</v>
      </c>
      <c r="DM74" s="1091">
        <v>75.04671366943532</v>
      </c>
      <c r="DN74" s="1092">
        <v>76.273538722878556</v>
      </c>
      <c r="DO74" s="1091">
        <v>75.40806385696041</v>
      </c>
      <c r="DP74" s="1091">
        <v>75.76104360113041</v>
      </c>
      <c r="DQ74" s="1091">
        <v>75.515479368313805</v>
      </c>
      <c r="DR74" s="1091">
        <v>74.848509385760309</v>
      </c>
      <c r="DS74" s="1091">
        <v>74.518614040694573</v>
      </c>
      <c r="DT74" s="1091">
        <v>74.913445652173891</v>
      </c>
      <c r="DU74" s="1091">
        <v>71.44234979423868</v>
      </c>
      <c r="DV74" s="1091">
        <v>74.139575345092027</v>
      </c>
      <c r="DW74" s="1091">
        <v>70.102997807017545</v>
      </c>
      <c r="DX74" s="1091">
        <v>89.44105534411672</v>
      </c>
      <c r="DY74" s="1091">
        <v>74.205184368105904</v>
      </c>
      <c r="DZ74" s="1091">
        <v>75.144733712839979</v>
      </c>
      <c r="EA74" s="1099"/>
      <c r="EB74" s="1111">
        <v>41.618667898207455</v>
      </c>
      <c r="EC74" s="1112">
        <v>42.681152943053853</v>
      </c>
      <c r="ED74" s="1112">
        <v>46.089639059748954</v>
      </c>
      <c r="EE74" s="1112">
        <v>47.314645394460022</v>
      </c>
      <c r="EF74" s="1112">
        <v>60.303450130280396</v>
      </c>
      <c r="EG74" s="1112">
        <v>61.784941225912441</v>
      </c>
      <c r="EH74" s="1112">
        <v>64.908281893992907</v>
      </c>
      <c r="EI74" s="1112">
        <v>77.849082552384942</v>
      </c>
      <c r="EJ74" s="1112">
        <f t="shared" si="8"/>
        <v>82.219822018193838</v>
      </c>
      <c r="EK74" s="1113">
        <v>79.330193658834276</v>
      </c>
      <c r="EL74" s="1112">
        <f t="shared" si="9"/>
        <v>75.453421023037023</v>
      </c>
      <c r="EM74" s="1318">
        <v>74.977761958289165</v>
      </c>
    </row>
    <row r="75" spans="1:143">
      <c r="A75" s="998"/>
      <c r="B75" s="1166" t="s">
        <v>719</v>
      </c>
      <c r="C75" s="1171" t="s">
        <v>720</v>
      </c>
      <c r="D75" s="1098" t="s">
        <v>443</v>
      </c>
      <c r="E75" s="1099" t="s">
        <v>443</v>
      </c>
      <c r="F75" s="1099" t="s">
        <v>443</v>
      </c>
      <c r="G75" s="1099" t="s">
        <v>443</v>
      </c>
      <c r="H75" s="1099" t="s">
        <v>443</v>
      </c>
      <c r="I75" s="1099" t="s">
        <v>443</v>
      </c>
      <c r="J75" s="1100" t="s">
        <v>443</v>
      </c>
      <c r="K75" s="1101"/>
      <c r="L75" s="1102"/>
      <c r="M75" s="1102"/>
      <c r="N75" s="1102"/>
      <c r="O75" s="1102"/>
      <c r="P75" s="1102"/>
      <c r="Q75" s="1102"/>
      <c r="R75" s="1102"/>
      <c r="S75" s="1102"/>
      <c r="T75" s="1102"/>
      <c r="U75" s="1102"/>
      <c r="V75" s="1103"/>
      <c r="W75" s="1098"/>
      <c r="X75" s="1099"/>
      <c r="Y75" s="1099"/>
      <c r="Z75" s="1099"/>
      <c r="AA75" s="1099"/>
      <c r="AB75" s="1099"/>
      <c r="AC75" s="1099"/>
      <c r="AD75" s="1099"/>
      <c r="AE75" s="1099"/>
      <c r="AF75" s="1099"/>
      <c r="AG75" s="1099"/>
      <c r="AH75" s="1100"/>
      <c r="AI75" s="1104"/>
      <c r="AJ75" s="1104"/>
      <c r="AK75" s="1104"/>
      <c r="AL75" s="1104"/>
      <c r="AM75" s="1104"/>
      <c r="AN75" s="1104"/>
      <c r="AO75" s="1104"/>
      <c r="AP75" s="1104"/>
      <c r="AQ75" s="1104"/>
      <c r="AR75" s="1104"/>
      <c r="AS75" s="1104"/>
      <c r="AT75" s="1104"/>
      <c r="AU75" s="1098"/>
      <c r="AV75" s="1099"/>
      <c r="AW75" s="1099"/>
      <c r="AX75" s="1099"/>
      <c r="AY75" s="1099"/>
      <c r="AZ75" s="1099"/>
      <c r="BA75" s="1099"/>
      <c r="BB75" s="1099"/>
      <c r="BC75" s="1099"/>
      <c r="BD75" s="1099"/>
      <c r="BE75" s="1099"/>
      <c r="BF75" s="1099"/>
      <c r="BG75" s="1105"/>
      <c r="BH75" s="1105"/>
      <c r="BI75" s="1105"/>
      <c r="BJ75" s="1105"/>
      <c r="BK75" s="1105"/>
      <c r="BL75" s="1105"/>
      <c r="BM75" s="1105"/>
      <c r="BN75" s="1105"/>
      <c r="BO75" s="1105"/>
      <c r="BP75" s="1105"/>
      <c r="BQ75" s="1105"/>
      <c r="BR75" s="1105"/>
      <c r="BS75" s="1106"/>
      <c r="BT75" s="1107"/>
      <c r="BU75" s="1107"/>
      <c r="BV75" s="1107"/>
      <c r="BW75" s="1107"/>
      <c r="BX75" s="1107"/>
      <c r="BY75" s="1107" t="s">
        <v>443</v>
      </c>
      <c r="BZ75" s="1107" t="s">
        <v>443</v>
      </c>
      <c r="CA75" s="1107" t="s">
        <v>443</v>
      </c>
      <c r="CB75" s="1107" t="s">
        <v>443</v>
      </c>
      <c r="CC75" s="1107" t="s">
        <v>443</v>
      </c>
      <c r="CD75" s="1107" t="s">
        <v>443</v>
      </c>
      <c r="CE75" s="1087" t="s">
        <v>443</v>
      </c>
      <c r="CF75" s="1088" t="s">
        <v>443</v>
      </c>
      <c r="CG75" s="1088" t="s">
        <v>443</v>
      </c>
      <c r="CH75" s="1088" t="s">
        <v>443</v>
      </c>
      <c r="CI75" s="1088" t="s">
        <v>443</v>
      </c>
      <c r="CJ75" s="1088" t="s">
        <v>443</v>
      </c>
      <c r="CK75" s="1088" t="s">
        <v>443</v>
      </c>
      <c r="CL75" s="1088" t="s">
        <v>443</v>
      </c>
      <c r="CM75" s="1088" t="s">
        <v>443</v>
      </c>
      <c r="CN75" s="1088" t="s">
        <v>443</v>
      </c>
      <c r="CO75" s="1088" t="s">
        <v>443</v>
      </c>
      <c r="CP75" s="1088" t="s">
        <v>443</v>
      </c>
      <c r="CQ75" s="1108" t="s">
        <v>443</v>
      </c>
      <c r="CR75" s="1109" t="s">
        <v>443</v>
      </c>
      <c r="CS75" s="1109" t="s">
        <v>443</v>
      </c>
      <c r="CT75" s="1109" t="s">
        <v>443</v>
      </c>
      <c r="CU75" s="1109" t="s">
        <v>443</v>
      </c>
      <c r="CV75" s="1109" t="s">
        <v>443</v>
      </c>
      <c r="CW75" s="1109" t="s">
        <v>443</v>
      </c>
      <c r="CX75" s="1109" t="s">
        <v>443</v>
      </c>
      <c r="CY75" s="1109" t="s">
        <v>443</v>
      </c>
      <c r="CZ75" s="1109" t="s">
        <v>443</v>
      </c>
      <c r="DA75" s="1109" t="s">
        <v>443</v>
      </c>
      <c r="DB75" s="1110" t="s">
        <v>443</v>
      </c>
      <c r="DC75" s="1091" t="s">
        <v>443</v>
      </c>
      <c r="DD75" s="1091" t="s">
        <v>443</v>
      </c>
      <c r="DE75" s="1091" t="s">
        <v>443</v>
      </c>
      <c r="DF75" s="1091" t="s">
        <v>443</v>
      </c>
      <c r="DG75" s="1091" t="s">
        <v>443</v>
      </c>
      <c r="DH75" s="1091" t="s">
        <v>443</v>
      </c>
      <c r="DI75" s="1091" t="s">
        <v>443</v>
      </c>
      <c r="DJ75" s="1091" t="s">
        <v>443</v>
      </c>
      <c r="DK75" s="1091" t="s">
        <v>443</v>
      </c>
      <c r="DL75" s="1091" t="s">
        <v>443</v>
      </c>
      <c r="DM75" s="1091" t="s">
        <v>443</v>
      </c>
      <c r="DN75" s="1092" t="s">
        <v>443</v>
      </c>
      <c r="DO75" s="1091" t="s">
        <v>443</v>
      </c>
      <c r="DP75" s="1091" t="s">
        <v>443</v>
      </c>
      <c r="DQ75" s="1091" t="s">
        <v>443</v>
      </c>
      <c r="DR75" s="1091" t="s">
        <v>443</v>
      </c>
      <c r="DS75" s="1091" t="s">
        <v>443</v>
      </c>
      <c r="DT75" s="1091" t="s">
        <v>443</v>
      </c>
      <c r="DU75" s="1091" t="s">
        <v>443</v>
      </c>
      <c r="DV75" s="1091" t="s">
        <v>443</v>
      </c>
      <c r="DW75" s="1091" t="s">
        <v>443</v>
      </c>
      <c r="DX75" s="1091" t="s">
        <v>443</v>
      </c>
      <c r="DY75" s="1091" t="s">
        <v>443</v>
      </c>
      <c r="DZ75" s="1091" t="s">
        <v>443</v>
      </c>
      <c r="EA75" s="1099"/>
      <c r="EB75" s="1111" t="s">
        <v>443</v>
      </c>
      <c r="EC75" s="1112" t="s">
        <v>443</v>
      </c>
      <c r="ED75" s="1112" t="s">
        <v>443</v>
      </c>
      <c r="EE75" s="1112" t="s">
        <v>443</v>
      </c>
      <c r="EF75" s="1112" t="s">
        <v>443</v>
      </c>
      <c r="EG75" s="1112" t="s">
        <v>443</v>
      </c>
      <c r="EH75" s="1112" t="s">
        <v>443</v>
      </c>
      <c r="EI75" s="1112" t="s">
        <v>443</v>
      </c>
      <c r="EJ75" s="1112"/>
      <c r="EK75" s="1113" t="s">
        <v>443</v>
      </c>
      <c r="EL75" s="1112"/>
      <c r="EM75" s="1318"/>
    </row>
    <row r="76" spans="1:143">
      <c r="A76" s="998"/>
      <c r="B76" s="1143" t="s">
        <v>727</v>
      </c>
      <c r="C76" s="1167"/>
      <c r="D76" s="1098">
        <v>37.088202834610684</v>
      </c>
      <c r="E76" s="1099">
        <v>39.389060566590686</v>
      </c>
      <c r="F76" s="1099">
        <v>39.960162093442101</v>
      </c>
      <c r="G76" s="1099">
        <v>39.833883540463276</v>
      </c>
      <c r="H76" s="1099">
        <v>38.663733963877853</v>
      </c>
      <c r="I76" s="1099">
        <v>37.820455731885573</v>
      </c>
      <c r="J76" s="1100">
        <v>38.026591424817873</v>
      </c>
      <c r="K76" s="1101">
        <v>39.115670327495792</v>
      </c>
      <c r="L76" s="1102">
        <v>39.035458224096651</v>
      </c>
      <c r="M76" s="1102">
        <v>39.657905179077545</v>
      </c>
      <c r="N76" s="1102">
        <v>38.701380115717392</v>
      </c>
      <c r="O76" s="1102">
        <v>38.929040123150259</v>
      </c>
      <c r="P76" s="1102">
        <v>41.113319220165415</v>
      </c>
      <c r="Q76" s="1102">
        <v>38.850298376094713</v>
      </c>
      <c r="R76" s="1102">
        <v>37.807750077491917</v>
      </c>
      <c r="S76" s="1102">
        <v>39.985659917311565</v>
      </c>
      <c r="T76" s="1102">
        <v>39.369929734212029</v>
      </c>
      <c r="U76" s="1102">
        <v>38.821406296723502</v>
      </c>
      <c r="V76" s="1103">
        <v>39.732985275935704</v>
      </c>
      <c r="W76" s="1098">
        <v>41.184396247952755</v>
      </c>
      <c r="X76" s="1099">
        <v>41.193009870918758</v>
      </c>
      <c r="Y76" s="1099">
        <v>42.980111440188743</v>
      </c>
      <c r="Z76" s="1099">
        <v>42.49605364552459</v>
      </c>
      <c r="AA76" s="1099">
        <v>42.375665496632195</v>
      </c>
      <c r="AB76" s="1099">
        <v>42.729588812073544</v>
      </c>
      <c r="AC76" s="1099">
        <v>42.32079645287687</v>
      </c>
      <c r="AD76" s="1099">
        <v>41.077562702088613</v>
      </c>
      <c r="AE76" s="1099">
        <v>44.422392138290299</v>
      </c>
      <c r="AF76" s="1099">
        <v>45.74399579531223</v>
      </c>
      <c r="AG76" s="1099">
        <v>43.858075562839652</v>
      </c>
      <c r="AH76" s="1100">
        <v>45.171011993260016</v>
      </c>
      <c r="AI76" s="1104">
        <v>45.353731998421793</v>
      </c>
      <c r="AJ76" s="1104">
        <v>46.645451100585099</v>
      </c>
      <c r="AK76" s="1104">
        <v>45.698235325678723</v>
      </c>
      <c r="AL76" s="1104">
        <v>46.843268603220451</v>
      </c>
      <c r="AM76" s="1104">
        <v>46.262460794371989</v>
      </c>
      <c r="AN76" s="1104">
        <v>43.970774557325178</v>
      </c>
      <c r="AO76" s="1104">
        <v>44.266863300935903</v>
      </c>
      <c r="AP76" s="1104">
        <v>42.205949704428704</v>
      </c>
      <c r="AQ76" s="1104">
        <v>44.129989562624246</v>
      </c>
      <c r="AR76" s="1104">
        <v>44.285184550130843</v>
      </c>
      <c r="AS76" s="1104">
        <v>44.131755565651964</v>
      </c>
      <c r="AT76" s="1104">
        <v>43.135526447605692</v>
      </c>
      <c r="AU76" s="1098">
        <v>50.45249067992188</v>
      </c>
      <c r="AV76" s="1099">
        <v>51.158929034416438</v>
      </c>
      <c r="AW76" s="1099">
        <v>50.635239220983891</v>
      </c>
      <c r="AX76" s="1099">
        <v>52.584170371546527</v>
      </c>
      <c r="AY76" s="1099">
        <v>51.715962751805414</v>
      </c>
      <c r="AZ76" s="1099">
        <v>52.093950891233156</v>
      </c>
      <c r="BA76" s="1099">
        <v>51.87326361551365</v>
      </c>
      <c r="BB76" s="1099">
        <v>50.641704190815865</v>
      </c>
      <c r="BC76" s="1099">
        <v>50.767297801258664</v>
      </c>
      <c r="BD76" s="1099">
        <v>52.660421647318195</v>
      </c>
      <c r="BE76" s="1099">
        <v>52.883366654157179</v>
      </c>
      <c r="BF76" s="1099">
        <v>52.23101448131635</v>
      </c>
      <c r="BG76" s="1105">
        <v>51.308446025614977</v>
      </c>
      <c r="BH76" s="1105">
        <v>52.120542773561048</v>
      </c>
      <c r="BI76" s="1105">
        <v>52.651957015985801</v>
      </c>
      <c r="BJ76" s="1105">
        <v>54.359690401289043</v>
      </c>
      <c r="BK76" s="1105">
        <v>51.4805846479696</v>
      </c>
      <c r="BL76" s="1105">
        <v>51.649307862472348</v>
      </c>
      <c r="BM76" s="1105">
        <v>52.82551788824869</v>
      </c>
      <c r="BN76" s="1105">
        <v>52.479359710263765</v>
      </c>
      <c r="BO76" s="1105">
        <v>51.356539785022512</v>
      </c>
      <c r="BP76" s="1105">
        <v>53.957462525364939</v>
      </c>
      <c r="BQ76" s="1105">
        <v>53.64781394766495</v>
      </c>
      <c r="BR76" s="1105">
        <v>54.527160373100649</v>
      </c>
      <c r="BS76" s="1106">
        <v>55.995320569743882</v>
      </c>
      <c r="BT76" s="1107">
        <v>54.970999790253785</v>
      </c>
      <c r="BU76" s="1107">
        <v>56.062980933638727</v>
      </c>
      <c r="BV76" s="1107">
        <v>57.919853674398446</v>
      </c>
      <c r="BW76" s="1107">
        <v>57.836098651715389</v>
      </c>
      <c r="BX76" s="1107">
        <v>57.304254791856188</v>
      </c>
      <c r="BY76" s="1107">
        <v>57.049547902979761</v>
      </c>
      <c r="BZ76" s="1107">
        <v>57.821687282566678</v>
      </c>
      <c r="CA76" s="1107">
        <v>56.199089269031276</v>
      </c>
      <c r="CB76" s="1107">
        <v>58.235704063219465</v>
      </c>
      <c r="CC76" s="1107">
        <v>57.923976273032032</v>
      </c>
      <c r="CD76" s="1107">
        <v>58.767539447731743</v>
      </c>
      <c r="CE76" s="1087">
        <v>58.689370039148059</v>
      </c>
      <c r="CF76" s="1088">
        <v>67.630018196089608</v>
      </c>
      <c r="CG76" s="1088">
        <v>67.790611763282115</v>
      </c>
      <c r="CH76" s="1088">
        <v>63.975661266076528</v>
      </c>
      <c r="CI76" s="1088">
        <v>64.218452351018385</v>
      </c>
      <c r="CJ76" s="1088">
        <v>64.009552709782184</v>
      </c>
      <c r="CK76" s="1088">
        <v>64.458894449237846</v>
      </c>
      <c r="CL76" s="1088">
        <v>66.039017733011761</v>
      </c>
      <c r="CM76" s="1088">
        <v>65.080399900919275</v>
      </c>
      <c r="CN76" s="1088">
        <v>69.290249375141997</v>
      </c>
      <c r="CO76" s="1088">
        <v>69.488685626655482</v>
      </c>
      <c r="CP76" s="1088">
        <v>68.814460768657483</v>
      </c>
      <c r="CQ76" s="1108">
        <v>71.136236284331773</v>
      </c>
      <c r="CR76" s="1109">
        <v>74.782857187686318</v>
      </c>
      <c r="CS76" s="1109">
        <v>72.581549377796861</v>
      </c>
      <c r="CT76" s="1109">
        <v>70.882055248618812</v>
      </c>
      <c r="CU76" s="1109">
        <v>70.48285551865483</v>
      </c>
      <c r="CV76" s="1109">
        <v>68.754788689292155</v>
      </c>
      <c r="CW76" s="1109">
        <v>69.16</v>
      </c>
      <c r="CX76" s="1109">
        <v>71.73968587316611</v>
      </c>
      <c r="CY76" s="1109">
        <v>71.052733398377953</v>
      </c>
      <c r="CZ76" s="1109">
        <v>71.09240955432567</v>
      </c>
      <c r="DA76" s="1109">
        <v>71.273436103282364</v>
      </c>
      <c r="DB76" s="1110">
        <v>70.592560520826737</v>
      </c>
      <c r="DC76" s="1091">
        <v>68.931104879800301</v>
      </c>
      <c r="DD76" s="1091">
        <v>68.809852471605836</v>
      </c>
      <c r="DE76" s="1091">
        <v>71.913666808484777</v>
      </c>
      <c r="DF76" s="1091">
        <v>72.048210936177412</v>
      </c>
      <c r="DG76" s="1091">
        <v>69.935311821590687</v>
      </c>
      <c r="DH76" s="1091">
        <v>72.850873170580769</v>
      </c>
      <c r="DI76" s="1091">
        <v>71.327732397674566</v>
      </c>
      <c r="DJ76" s="1091">
        <v>70.490790224319483</v>
      </c>
      <c r="DK76" s="1091">
        <v>70.398065801173743</v>
      </c>
      <c r="DL76" s="1091">
        <v>70.848325754580216</v>
      </c>
      <c r="DM76" s="1091">
        <v>69.586032186084253</v>
      </c>
      <c r="DN76" s="1092">
        <v>71.183818124333072</v>
      </c>
      <c r="DO76" s="1091">
        <v>74.186986663202561</v>
      </c>
      <c r="DP76" s="1091">
        <v>71.904446254808789</v>
      </c>
      <c r="DQ76" s="1091">
        <v>74.798922550595606</v>
      </c>
      <c r="DR76" s="1091">
        <v>74.822508783344176</v>
      </c>
      <c r="DS76" s="1091">
        <v>72.701001975850716</v>
      </c>
      <c r="DT76" s="1091">
        <v>74.179148058818953</v>
      </c>
      <c r="DU76" s="1091">
        <v>69.442780667211537</v>
      </c>
      <c r="DV76" s="1091">
        <v>73.021821295606856</v>
      </c>
      <c r="DW76" s="1091">
        <v>72.471291060958947</v>
      </c>
      <c r="DX76" s="1091">
        <v>82.185629410700273</v>
      </c>
      <c r="DY76" s="1091">
        <v>68.228066501964278</v>
      </c>
      <c r="DZ76" s="1091">
        <v>70.357165418283543</v>
      </c>
      <c r="EA76" s="1099"/>
      <c r="EB76" s="1111">
        <v>38.635011935311304</v>
      </c>
      <c r="EC76" s="1112">
        <v>39.233737813697736</v>
      </c>
      <c r="ED76" s="1112">
        <v>42.971202652693123</v>
      </c>
      <c r="EE76" s="1112">
        <v>44.694139268646481</v>
      </c>
      <c r="EF76" s="1112">
        <v>51.676991153507153</v>
      </c>
      <c r="EG76" s="1112">
        <v>52.724840462576317</v>
      </c>
      <c r="EH76" s="1112">
        <v>57.179895664327944</v>
      </c>
      <c r="EI76" s="1112">
        <v>65.881004587108833</v>
      </c>
      <c r="EJ76" s="1112">
        <f>AVERAGE(CQ76:DB76)</f>
        <v>71.127597313029966</v>
      </c>
      <c r="EK76" s="1113">
        <v>70.751485187846001</v>
      </c>
      <c r="EL76" s="1112">
        <f>AVERAGE(DO76:DZ76)</f>
        <v>73.191647386778854</v>
      </c>
      <c r="EM76" s="1318">
        <v>72.461903330985947</v>
      </c>
    </row>
    <row r="77" spans="1:143">
      <c r="A77" s="998"/>
      <c r="B77" s="1143"/>
      <c r="C77" s="1167"/>
      <c r="D77" s="1098"/>
      <c r="E77" s="1099"/>
      <c r="F77" s="1099"/>
      <c r="G77" s="1099"/>
      <c r="H77" s="1099"/>
      <c r="I77" s="1099"/>
      <c r="J77" s="1100"/>
      <c r="K77" s="1101"/>
      <c r="L77" s="1102"/>
      <c r="M77" s="1102"/>
      <c r="N77" s="1102"/>
      <c r="O77" s="1102"/>
      <c r="P77" s="1102"/>
      <c r="Q77" s="1102"/>
      <c r="R77" s="1102"/>
      <c r="S77" s="1102"/>
      <c r="T77" s="1102"/>
      <c r="U77" s="1102"/>
      <c r="V77" s="1103"/>
      <c r="W77" s="1098"/>
      <c r="X77" s="1099"/>
      <c r="Y77" s="1099"/>
      <c r="Z77" s="1099"/>
      <c r="AA77" s="1099"/>
      <c r="AB77" s="1099"/>
      <c r="AC77" s="1099"/>
      <c r="AD77" s="1099"/>
      <c r="AE77" s="1099"/>
      <c r="AF77" s="1099"/>
      <c r="AG77" s="1099"/>
      <c r="AH77" s="1100"/>
      <c r="AI77" s="1104"/>
      <c r="AJ77" s="1104"/>
      <c r="AK77" s="1104"/>
      <c r="AL77" s="1104"/>
      <c r="AM77" s="1104"/>
      <c r="AN77" s="1104"/>
      <c r="AO77" s="1104"/>
      <c r="AP77" s="1104"/>
      <c r="AQ77" s="1104"/>
      <c r="AR77" s="1104"/>
      <c r="AS77" s="1104"/>
      <c r="AT77" s="1104"/>
      <c r="AU77" s="1098"/>
      <c r="AV77" s="1099"/>
      <c r="AW77" s="1099"/>
      <c r="AX77" s="1099"/>
      <c r="AY77" s="1099"/>
      <c r="AZ77" s="1099"/>
      <c r="BA77" s="1099"/>
      <c r="BB77" s="1099"/>
      <c r="BC77" s="1099"/>
      <c r="BD77" s="1099"/>
      <c r="BE77" s="1099"/>
      <c r="BF77" s="1099"/>
      <c r="BG77" s="1105"/>
      <c r="BH77" s="1105"/>
      <c r="BI77" s="1105"/>
      <c r="BJ77" s="1105"/>
      <c r="BK77" s="1105"/>
      <c r="BL77" s="1105"/>
      <c r="BM77" s="1105"/>
      <c r="BN77" s="1105"/>
      <c r="BO77" s="1105"/>
      <c r="BP77" s="1105"/>
      <c r="BQ77" s="1105"/>
      <c r="BR77" s="1105"/>
      <c r="BS77" s="1106"/>
      <c r="BT77" s="1107"/>
      <c r="BU77" s="1107"/>
      <c r="BV77" s="1107"/>
      <c r="BW77" s="1107"/>
      <c r="BX77" s="1107"/>
      <c r="BY77" s="1107"/>
      <c r="BZ77" s="1107"/>
      <c r="CA77" s="1107"/>
      <c r="CB77" s="1107"/>
      <c r="CC77" s="1107"/>
      <c r="CD77" s="1107"/>
      <c r="CE77" s="1087"/>
      <c r="CF77" s="1088"/>
      <c r="CG77" s="1088"/>
      <c r="CH77" s="1088"/>
      <c r="CI77" s="1088"/>
      <c r="CJ77" s="1088"/>
      <c r="CK77" s="1088"/>
      <c r="CL77" s="1088"/>
      <c r="CM77" s="1088"/>
      <c r="CN77" s="1088"/>
      <c r="CO77" s="1088"/>
      <c r="CP77" s="1088"/>
      <c r="CQ77" s="1108"/>
      <c r="CR77" s="1109"/>
      <c r="CS77" s="1109"/>
      <c r="CT77" s="1109"/>
      <c r="CU77" s="1109"/>
      <c r="CV77" s="1109"/>
      <c r="CW77" s="1109"/>
      <c r="CX77" s="1109"/>
      <c r="CY77" s="1109"/>
      <c r="CZ77" s="1109"/>
      <c r="DA77" s="1109"/>
      <c r="DB77" s="1110"/>
      <c r="DC77" s="1091"/>
      <c r="DD77" s="1091"/>
      <c r="DE77" s="1091"/>
      <c r="DF77" s="1091"/>
      <c r="DG77" s="1091"/>
      <c r="DH77" s="1091"/>
      <c r="DI77" s="1091"/>
      <c r="DJ77" s="1091"/>
      <c r="DK77" s="1091"/>
      <c r="DL77" s="1091"/>
      <c r="DM77" s="1091"/>
      <c r="DN77" s="1092"/>
      <c r="DO77" s="1091"/>
      <c r="DP77" s="1091"/>
      <c r="DQ77" s="1091"/>
      <c r="DR77" s="1091"/>
      <c r="DS77" s="1091"/>
      <c r="DT77" s="1091"/>
      <c r="DU77" s="1091"/>
      <c r="DV77" s="1091"/>
      <c r="DW77" s="1091"/>
      <c r="DX77" s="1091"/>
      <c r="DY77" s="1091"/>
      <c r="DZ77" s="1091"/>
      <c r="EA77" s="1099"/>
      <c r="EB77" s="1111"/>
      <c r="EC77" s="1112"/>
      <c r="ED77" s="1112"/>
      <c r="EE77" s="1112"/>
      <c r="EF77" s="1112"/>
      <c r="EG77" s="1112"/>
      <c r="EH77" s="1112"/>
      <c r="EI77" s="1112"/>
      <c r="EJ77" s="1112"/>
      <c r="EK77" s="1113"/>
      <c r="EL77" s="1112"/>
      <c r="EM77" s="1318"/>
    </row>
    <row r="78" spans="1:143">
      <c r="A78" s="998"/>
      <c r="B78" s="1168"/>
      <c r="C78" s="1169" t="s">
        <v>164</v>
      </c>
      <c r="D78" s="1145"/>
      <c r="E78" s="1146"/>
      <c r="F78" s="1099"/>
      <c r="G78" s="1146"/>
      <c r="H78" s="1146"/>
      <c r="I78" s="1146"/>
      <c r="J78" s="1151"/>
      <c r="K78" s="1147"/>
      <c r="L78" s="1148"/>
      <c r="M78" s="1148"/>
      <c r="N78" s="1102"/>
      <c r="O78" s="1102"/>
      <c r="P78" s="1102"/>
      <c r="Q78" s="1102"/>
      <c r="R78" s="1102"/>
      <c r="S78" s="1102"/>
      <c r="T78" s="1102"/>
      <c r="U78" s="1102"/>
      <c r="V78" s="1103"/>
      <c r="W78" s="1098"/>
      <c r="X78" s="1099"/>
      <c r="Y78" s="1099"/>
      <c r="Z78" s="1099"/>
      <c r="AA78" s="1099"/>
      <c r="AB78" s="1099"/>
      <c r="AC78" s="1099"/>
      <c r="AD78" s="1099"/>
      <c r="AE78" s="1099"/>
      <c r="AF78" s="1099"/>
      <c r="AG78" s="1099"/>
      <c r="AH78" s="1100"/>
      <c r="AI78" s="1104"/>
      <c r="AJ78" s="1104"/>
      <c r="AK78" s="1104"/>
      <c r="AL78" s="1104"/>
      <c r="AM78" s="1104"/>
      <c r="AN78" s="1104"/>
      <c r="AO78" s="1104"/>
      <c r="AP78" s="1104"/>
      <c r="AQ78" s="1104"/>
      <c r="AR78" s="1104"/>
      <c r="AS78" s="1104"/>
      <c r="AT78" s="1104"/>
      <c r="AU78" s="1098"/>
      <c r="AV78" s="1099"/>
      <c r="AW78" s="1099"/>
      <c r="AX78" s="1099"/>
      <c r="AY78" s="1099"/>
      <c r="AZ78" s="1099"/>
      <c r="BA78" s="1099"/>
      <c r="BB78" s="1099"/>
      <c r="BC78" s="1099"/>
      <c r="BD78" s="1099"/>
      <c r="BE78" s="1099"/>
      <c r="BF78" s="1099"/>
      <c r="BG78" s="1105"/>
      <c r="BH78" s="1105"/>
      <c r="BI78" s="1105"/>
      <c r="BJ78" s="1105"/>
      <c r="BK78" s="1105"/>
      <c r="BL78" s="1105"/>
      <c r="BM78" s="1105"/>
      <c r="BN78" s="1105"/>
      <c r="BO78" s="1105"/>
      <c r="BP78" s="1105"/>
      <c r="BQ78" s="1105"/>
      <c r="BR78" s="1105"/>
      <c r="BS78" s="1106"/>
      <c r="BT78" s="1107"/>
      <c r="BU78" s="1107"/>
      <c r="BV78" s="1107"/>
      <c r="BW78" s="1107"/>
      <c r="BX78" s="1107"/>
      <c r="BY78" s="1107"/>
      <c r="BZ78" s="1107"/>
      <c r="CA78" s="1107"/>
      <c r="CB78" s="1107"/>
      <c r="CC78" s="1107"/>
      <c r="CD78" s="1107"/>
      <c r="CE78" s="1087"/>
      <c r="CF78" s="1088"/>
      <c r="CG78" s="1088"/>
      <c r="CH78" s="1088"/>
      <c r="CI78" s="1088"/>
      <c r="CJ78" s="1088"/>
      <c r="CK78" s="1088"/>
      <c r="CL78" s="1088"/>
      <c r="CM78" s="1088"/>
      <c r="CN78" s="1088"/>
      <c r="CO78" s="1088"/>
      <c r="CP78" s="1088"/>
      <c r="CQ78" s="1108"/>
      <c r="CR78" s="1109"/>
      <c r="CS78" s="1109"/>
      <c r="CT78" s="1109"/>
      <c r="CU78" s="1109"/>
      <c r="CV78" s="1109"/>
      <c r="CW78" s="1109"/>
      <c r="CX78" s="1109"/>
      <c r="CY78" s="1109"/>
      <c r="CZ78" s="1109"/>
      <c r="DA78" s="1109"/>
      <c r="DB78" s="1110"/>
      <c r="DC78" s="1091"/>
      <c r="DD78" s="1091"/>
      <c r="DE78" s="1091"/>
      <c r="DF78" s="1091"/>
      <c r="DG78" s="1091"/>
      <c r="DH78" s="1091"/>
      <c r="DI78" s="1091"/>
      <c r="DJ78" s="1091"/>
      <c r="DK78" s="1091"/>
      <c r="DL78" s="1091"/>
      <c r="DM78" s="1091"/>
      <c r="DN78" s="1092"/>
      <c r="DO78" s="1091"/>
      <c r="DP78" s="1091"/>
      <c r="DQ78" s="1091"/>
      <c r="DR78" s="1091"/>
      <c r="DS78" s="1091"/>
      <c r="DT78" s="1091"/>
      <c r="DU78" s="1091"/>
      <c r="DV78" s="1091"/>
      <c r="DW78" s="1091"/>
      <c r="DX78" s="1091"/>
      <c r="DY78" s="1091"/>
      <c r="DZ78" s="1091"/>
      <c r="EA78" s="1099"/>
      <c r="EB78" s="1170"/>
      <c r="EC78" s="1112"/>
      <c r="ED78" s="1112"/>
      <c r="EE78" s="1112"/>
      <c r="EF78" s="1112"/>
      <c r="EG78" s="1112"/>
      <c r="EH78" s="1112"/>
      <c r="EI78" s="1112"/>
      <c r="EJ78" s="1112"/>
      <c r="EK78" s="1113"/>
      <c r="EL78" s="1112"/>
      <c r="EM78" s="1318"/>
    </row>
    <row r="79" spans="1:143">
      <c r="A79" s="998"/>
      <c r="B79" s="1166" t="s">
        <v>707</v>
      </c>
      <c r="C79" s="1171" t="s">
        <v>708</v>
      </c>
      <c r="D79" s="1098">
        <v>11.877081798084008</v>
      </c>
      <c r="E79" s="1099">
        <v>12.384431182394632</v>
      </c>
      <c r="F79" s="1099">
        <v>8.1855262716132273</v>
      </c>
      <c r="G79" s="1099">
        <v>11.927271358675199</v>
      </c>
      <c r="H79" s="1099">
        <v>10.758421571851365</v>
      </c>
      <c r="I79" s="1099">
        <v>11.024984636394674</v>
      </c>
      <c r="J79" s="1100">
        <v>10.088397790055248</v>
      </c>
      <c r="K79" s="1101">
        <v>11.429131721756292</v>
      </c>
      <c r="L79" s="1102">
        <v>11.364102564102565</v>
      </c>
      <c r="M79" s="1102">
        <v>10.900436255823804</v>
      </c>
      <c r="N79" s="1102">
        <v>11.340857142857143</v>
      </c>
      <c r="O79" s="1102">
        <v>12.151451083388048</v>
      </c>
      <c r="P79" s="1102">
        <v>11.045224014336917</v>
      </c>
      <c r="Q79" s="1102">
        <v>10.439417989417988</v>
      </c>
      <c r="R79" s="1102">
        <v>10.469758620689655</v>
      </c>
      <c r="S79" s="1102">
        <v>12.358201304753027</v>
      </c>
      <c r="T79" s="1102">
        <v>10.159962139138667</v>
      </c>
      <c r="U79" s="1102">
        <v>10.944853875476495</v>
      </c>
      <c r="V79" s="1103">
        <v>10.075216413715571</v>
      </c>
      <c r="W79" s="1098">
        <v>9.6994088669950731</v>
      </c>
      <c r="X79" s="1099">
        <v>10.660655301012255</v>
      </c>
      <c r="Y79" s="1099">
        <v>11.105991943605238</v>
      </c>
      <c r="Z79" s="1099">
        <v>10.245053423031262</v>
      </c>
      <c r="AA79" s="1099">
        <v>10.251118395680679</v>
      </c>
      <c r="AB79" s="1099">
        <v>10.112890505359877</v>
      </c>
      <c r="AC79" s="1099">
        <v>10.464829545454545</v>
      </c>
      <c r="AD79" s="1099">
        <v>10.561450816559056</v>
      </c>
      <c r="AE79" s="1099">
        <v>9.6786010362694288</v>
      </c>
      <c r="AF79" s="1099">
        <v>9.7313786591123712</v>
      </c>
      <c r="AG79" s="1099">
        <v>10.304144385026738</v>
      </c>
      <c r="AH79" s="1100">
        <v>10.669645075421471</v>
      </c>
      <c r="AI79" s="1104">
        <v>9.98828125</v>
      </c>
      <c r="AJ79" s="1104">
        <v>10.899840961986037</v>
      </c>
      <c r="AK79" s="1104">
        <v>11.182853437094684</v>
      </c>
      <c r="AL79" s="1104">
        <v>10.682324380165289</v>
      </c>
      <c r="AM79" s="1104">
        <v>10.775208416038108</v>
      </c>
      <c r="AN79" s="1104">
        <v>10.83818938605619</v>
      </c>
      <c r="AO79" s="1104">
        <v>12.456866476371708</v>
      </c>
      <c r="AP79" s="1104">
        <v>11.258644962604484</v>
      </c>
      <c r="AQ79" s="1104">
        <v>10.354285714285716</v>
      </c>
      <c r="AR79" s="1104">
        <v>10.803781755196304</v>
      </c>
      <c r="AS79" s="1104">
        <v>11.097959183673471</v>
      </c>
      <c r="AT79" s="1104">
        <v>12.113833515881709</v>
      </c>
      <c r="AU79" s="1098">
        <v>11.856247775008901</v>
      </c>
      <c r="AV79" s="1099">
        <v>11.427014305491461</v>
      </c>
      <c r="AW79" s="1099">
        <v>10.808631977946245</v>
      </c>
      <c r="AX79" s="1099">
        <v>11.03541433370661</v>
      </c>
      <c r="AY79" s="1099">
        <v>12.037020383693045</v>
      </c>
      <c r="AZ79" s="1099">
        <v>11.675809418690216</v>
      </c>
      <c r="BA79" s="1099">
        <v>12.181681681681681</v>
      </c>
      <c r="BB79" s="1099">
        <v>11.261876270694161</v>
      </c>
      <c r="BC79" s="1099">
        <v>11.172756527018823</v>
      </c>
      <c r="BD79" s="1099">
        <v>11.279191759112519</v>
      </c>
      <c r="BE79" s="1099">
        <v>10.997174226061915</v>
      </c>
      <c r="BF79" s="1099">
        <v>12.16268656716418</v>
      </c>
      <c r="BG79" s="1105">
        <v>11.14936555075594</v>
      </c>
      <c r="BH79" s="1105">
        <v>14.323521428571429</v>
      </c>
      <c r="BI79" s="1105">
        <v>11.079305310848225</v>
      </c>
      <c r="BJ79" s="1105">
        <v>11.040046233342398</v>
      </c>
      <c r="BK79" s="1105">
        <v>11.24150283321015</v>
      </c>
      <c r="BL79" s="1105">
        <v>12.290779619398409</v>
      </c>
      <c r="BM79" s="1105">
        <v>12.451244509516837</v>
      </c>
      <c r="BN79" s="1105">
        <v>12.81955887343061</v>
      </c>
      <c r="BO79" s="1105">
        <v>11.678743277667703</v>
      </c>
      <c r="BP79" s="1105">
        <v>11.939976546467314</v>
      </c>
      <c r="BQ79" s="1105">
        <v>11.909688619454398</v>
      </c>
      <c r="BR79" s="1105">
        <v>12.974238993710692</v>
      </c>
      <c r="BS79" s="1106">
        <v>12.324715996315625</v>
      </c>
      <c r="BT79" s="1107">
        <v>11.864000000000003</v>
      </c>
      <c r="BU79" s="1107">
        <v>12.337538320049051</v>
      </c>
      <c r="BV79" s="1107">
        <v>12.740225343868893</v>
      </c>
      <c r="BW79" s="1107">
        <v>12.706398567241942</v>
      </c>
      <c r="BX79" s="1107">
        <v>12.875728314238952</v>
      </c>
      <c r="BY79" s="1107">
        <v>13.339195230998506</v>
      </c>
      <c r="BZ79" s="1107">
        <v>13.106692104490756</v>
      </c>
      <c r="CA79" s="1107">
        <v>13.37480204778157</v>
      </c>
      <c r="CB79" s="1107">
        <v>13.170624999999999</v>
      </c>
      <c r="CC79" s="1107">
        <v>13.493302842208426</v>
      </c>
      <c r="CD79" s="1107">
        <v>13.139681945743687</v>
      </c>
      <c r="CE79" s="1087">
        <v>12.8034144875263</v>
      </c>
      <c r="CF79" s="1088">
        <v>12.787652811735938</v>
      </c>
      <c r="CG79" s="1088">
        <v>12.889402942840972</v>
      </c>
      <c r="CH79" s="1088">
        <v>12.77747508305648</v>
      </c>
      <c r="CI79" s="1088">
        <v>12.88870525988173</v>
      </c>
      <c r="CJ79" s="1088">
        <v>12.537987897125568</v>
      </c>
      <c r="CK79" s="1088">
        <v>13.014969011048233</v>
      </c>
      <c r="CL79" s="1088">
        <v>14.383215962441314</v>
      </c>
      <c r="CM79" s="1088">
        <v>13.703878478137421</v>
      </c>
      <c r="CN79" s="1088">
        <v>14.005195322880683</v>
      </c>
      <c r="CO79" s="1088">
        <v>15.164797338173019</v>
      </c>
      <c r="CP79" s="1088">
        <v>14.935354645354646</v>
      </c>
      <c r="CQ79" s="1108">
        <v>16.407846725764944</v>
      </c>
      <c r="CR79" s="1109">
        <v>15.886014130114807</v>
      </c>
      <c r="CS79" s="1109">
        <v>15.99160984362984</v>
      </c>
      <c r="CT79" s="1109">
        <v>16.622664002664003</v>
      </c>
      <c r="CU79" s="1109">
        <v>15.813589487691285</v>
      </c>
      <c r="CV79" s="1109">
        <v>14.56408142664872</v>
      </c>
      <c r="CW79" s="1109">
        <v>16.25</v>
      </c>
      <c r="CX79" s="1109">
        <v>15.856479770627589</v>
      </c>
      <c r="CY79" s="1109">
        <v>16.386779556650247</v>
      </c>
      <c r="CZ79" s="1109">
        <v>15.994430745015741</v>
      </c>
      <c r="DA79" s="1109">
        <v>16.52785407725322</v>
      </c>
      <c r="DB79" s="1110">
        <v>16.31338682899834</v>
      </c>
      <c r="DC79" s="1091">
        <v>16.317059421025903</v>
      </c>
      <c r="DD79" s="1091">
        <v>16.279955891619409</v>
      </c>
      <c r="DE79" s="1091">
        <v>16.237607781282861</v>
      </c>
      <c r="DF79" s="1091">
        <v>16.481296</v>
      </c>
      <c r="DG79" s="1091">
        <v>16.103880116959065</v>
      </c>
      <c r="DH79" s="1091">
        <v>15.291170717249555</v>
      </c>
      <c r="DI79" s="1091">
        <v>20.637366515837101</v>
      </c>
      <c r="DJ79" s="1091">
        <v>15.701776908023485</v>
      </c>
      <c r="DK79" s="1091">
        <v>15.788684707363123</v>
      </c>
      <c r="DL79" s="1091">
        <v>16.117778112752486</v>
      </c>
      <c r="DM79" s="1091">
        <v>15.919627507163323</v>
      </c>
      <c r="DN79" s="1092">
        <v>15.346885644768856</v>
      </c>
      <c r="DO79" s="1091">
        <v>16.838692636072572</v>
      </c>
      <c r="DP79" s="1091">
        <v>16.686333113890718</v>
      </c>
      <c r="DQ79" s="1091">
        <v>19.215744221879813</v>
      </c>
      <c r="DR79" s="1091">
        <v>16.714052098408104</v>
      </c>
      <c r="DS79" s="1091">
        <v>17.299845797995374</v>
      </c>
      <c r="DT79" s="1091">
        <v>16.743421052631579</v>
      </c>
      <c r="DU79" s="1091">
        <v>17.993506956831968</v>
      </c>
      <c r="DV79" s="1091">
        <v>17.929842061512883</v>
      </c>
      <c r="DW79" s="1091">
        <v>16.287349583461896</v>
      </c>
      <c r="DX79" s="1091">
        <v>21.997836083310794</v>
      </c>
      <c r="DY79" s="1091">
        <v>20.690386016023307</v>
      </c>
      <c r="DZ79" s="1091">
        <v>20.894288419059642</v>
      </c>
      <c r="EA79" s="1099"/>
      <c r="EB79" s="1111">
        <v>10.646033260603291</v>
      </c>
      <c r="EC79" s="1112">
        <v>11.034151967958104</v>
      </c>
      <c r="ED79" s="1112">
        <v>10.292093518288576</v>
      </c>
      <c r="EE79" s="1112">
        <v>11.117992450364776</v>
      </c>
      <c r="EF79" s="1112">
        <v>11.504348901615989</v>
      </c>
      <c r="EG79" s="1112">
        <v>11.997343277855052</v>
      </c>
      <c r="EH79" s="1112">
        <v>12.876185142437443</v>
      </c>
      <c r="EI79" s="1112">
        <v>13.47764203436156</v>
      </c>
      <c r="EJ79" s="1112">
        <f t="shared" ref="EJ79:EJ86" si="10">AVERAGE(CQ79:DB79)</f>
        <v>16.051228049588225</v>
      </c>
      <c r="EK79" s="1113">
        <v>16.391592252385944</v>
      </c>
      <c r="EL79" s="1112">
        <f t="shared" ref="EL79:EL86" si="11">AVERAGE(DO79:DZ79)</f>
        <v>18.274274836756554</v>
      </c>
      <c r="EM79" s="1318">
        <v>19.684309817263038</v>
      </c>
    </row>
    <row r="80" spans="1:143">
      <c r="A80" s="998"/>
      <c r="B80" s="1166" t="s">
        <v>709</v>
      </c>
      <c r="C80" s="1171" t="s">
        <v>710</v>
      </c>
      <c r="D80" s="1098">
        <v>17.008381502890174</v>
      </c>
      <c r="E80" s="1099">
        <v>18.37110743801653</v>
      </c>
      <c r="F80" s="1099">
        <v>12.226255230125521</v>
      </c>
      <c r="G80" s="1099">
        <v>19.300876585928489</v>
      </c>
      <c r="H80" s="1099">
        <v>16.385181674565558</v>
      </c>
      <c r="I80" s="1099">
        <v>21.865525502318391</v>
      </c>
      <c r="J80" s="1100">
        <v>19.076823757262751</v>
      </c>
      <c r="K80" s="1101">
        <v>16.726891580161478</v>
      </c>
      <c r="L80" s="1102">
        <v>17.459897025171628</v>
      </c>
      <c r="M80" s="1102">
        <v>18.308129657228019</v>
      </c>
      <c r="N80" s="1102">
        <v>15.516634050880626</v>
      </c>
      <c r="O80" s="1102">
        <v>17.529206745783888</v>
      </c>
      <c r="P80" s="1102">
        <v>17.788267954133978</v>
      </c>
      <c r="Q80" s="1102">
        <v>18.51254335260116</v>
      </c>
      <c r="R80" s="1102">
        <v>20.015456362425049</v>
      </c>
      <c r="S80" s="1102">
        <v>18.920790611488574</v>
      </c>
      <c r="T80" s="1102">
        <v>19.148829431438127</v>
      </c>
      <c r="U80" s="1102">
        <v>22.458404074702884</v>
      </c>
      <c r="V80" s="1103">
        <v>19.46537708693149</v>
      </c>
      <c r="W80" s="1098">
        <v>16.619592875318066</v>
      </c>
      <c r="X80" s="1099">
        <v>17.648813341885823</v>
      </c>
      <c r="Y80" s="1099">
        <v>22.548969072164947</v>
      </c>
      <c r="Z80" s="1099">
        <v>16.04523676880223</v>
      </c>
      <c r="AA80" s="1099">
        <v>19.457711950970381</v>
      </c>
      <c r="AB80" s="1099">
        <v>16.194594594594594</v>
      </c>
      <c r="AC80" s="1099">
        <v>17.360660883932262</v>
      </c>
      <c r="AD80" s="1099">
        <v>17.28673940411246</v>
      </c>
      <c r="AE80" s="1099">
        <v>17.662302922940654</v>
      </c>
      <c r="AF80" s="1099">
        <v>18.483248066627006</v>
      </c>
      <c r="AG80" s="1099">
        <v>18.352377814387697</v>
      </c>
      <c r="AH80" s="1100">
        <v>19.908117359413207</v>
      </c>
      <c r="AI80" s="1104">
        <v>24.080493665356055</v>
      </c>
      <c r="AJ80" s="1104">
        <v>21.629976580796257</v>
      </c>
      <c r="AK80" s="1104">
        <v>17.669024045261668</v>
      </c>
      <c r="AL80" s="1104">
        <v>18.474916387959865</v>
      </c>
      <c r="AM80" s="1104">
        <v>18.664670658682635</v>
      </c>
      <c r="AN80" s="1104">
        <v>15.897570584372948</v>
      </c>
      <c r="AO80" s="1104">
        <v>23.303160469667318</v>
      </c>
      <c r="AP80" s="1104">
        <v>18.636989773232546</v>
      </c>
      <c r="AQ80" s="1104">
        <v>18.677955665024633</v>
      </c>
      <c r="AR80" s="1104">
        <v>24.48993288590604</v>
      </c>
      <c r="AS80" s="1104">
        <v>23.951659451659452</v>
      </c>
      <c r="AT80" s="1104">
        <v>21.331191588785046</v>
      </c>
      <c r="AU80" s="1098">
        <v>23.154881101376713</v>
      </c>
      <c r="AV80" s="1099">
        <v>19.820422535211268</v>
      </c>
      <c r="AW80" s="1099">
        <v>18.031718569780857</v>
      </c>
      <c r="AX80" s="1099">
        <v>23.03448275862069</v>
      </c>
      <c r="AY80" s="1099">
        <v>46.044099378881988</v>
      </c>
      <c r="AZ80" s="1099">
        <v>24.444162436548218</v>
      </c>
      <c r="BA80" s="1099">
        <v>25.769324406573343</v>
      </c>
      <c r="BB80" s="1099">
        <v>26.717618170656845</v>
      </c>
      <c r="BC80" s="1099">
        <v>25.78831694621168</v>
      </c>
      <c r="BD80" s="1099">
        <v>26.547203848466626</v>
      </c>
      <c r="BE80" s="1099">
        <v>25.988512696493345</v>
      </c>
      <c r="BF80" s="1099">
        <v>26.542182890855457</v>
      </c>
      <c r="BG80" s="1105">
        <v>28.968891769280628</v>
      </c>
      <c r="BH80" s="1105">
        <v>27.401904761904763</v>
      </c>
      <c r="BI80" s="1105">
        <v>30.17253278122843</v>
      </c>
      <c r="BJ80" s="1105">
        <v>31.243488794669894</v>
      </c>
      <c r="BK80" s="1105">
        <v>29.235140431090795</v>
      </c>
      <c r="BL80" s="1105">
        <v>28.627906976744189</v>
      </c>
      <c r="BM80" s="1105">
        <v>29.91763942931258</v>
      </c>
      <c r="BN80" s="1105">
        <v>29.4108040201005</v>
      </c>
      <c r="BO80" s="1105">
        <v>28.308744794765026</v>
      </c>
      <c r="BP80" s="1105">
        <v>26.867768595041323</v>
      </c>
      <c r="BQ80" s="1105">
        <v>26.951701427003297</v>
      </c>
      <c r="BR80" s="1105">
        <v>24.7012987012987</v>
      </c>
      <c r="BS80" s="1106">
        <v>23.637785016286646</v>
      </c>
      <c r="BT80" s="1107">
        <v>26.216194968553459</v>
      </c>
      <c r="BU80" s="1107">
        <v>25.528517110266161</v>
      </c>
      <c r="BV80" s="1107">
        <v>25.016160310277954</v>
      </c>
      <c r="BW80" s="1107">
        <v>25.129464285714288</v>
      </c>
      <c r="BX80" s="1107">
        <v>27.723390275952696</v>
      </c>
      <c r="BY80" s="1107">
        <v>29.04289855072464</v>
      </c>
      <c r="BZ80" s="1107">
        <v>27.79456018518519</v>
      </c>
      <c r="CA80" s="1107">
        <v>28.080540858318631</v>
      </c>
      <c r="CB80" s="1107">
        <v>28.798879551820729</v>
      </c>
      <c r="CC80" s="1107">
        <v>29.552963430012611</v>
      </c>
      <c r="CD80" s="1107">
        <v>31.70924817032601</v>
      </c>
      <c r="CE80" s="1087">
        <v>29.529376498800961</v>
      </c>
      <c r="CF80" s="1088">
        <v>29.219871794871789</v>
      </c>
      <c r="CG80" s="1088">
        <v>30.947397563676638</v>
      </c>
      <c r="CH80" s="1088">
        <v>28.558303886925795</v>
      </c>
      <c r="CI80" s="1088">
        <v>30.277949351451507</v>
      </c>
      <c r="CJ80" s="1088">
        <v>31.355731225296442</v>
      </c>
      <c r="CK80" s="1088">
        <v>29.072892938496587</v>
      </c>
      <c r="CL80" s="1088">
        <v>28.159658744667887</v>
      </c>
      <c r="CM80" s="1088">
        <v>25.816127320954909</v>
      </c>
      <c r="CN80" s="1088">
        <v>25.758884976525824</v>
      </c>
      <c r="CO80" s="1088">
        <v>25.972159544159545</v>
      </c>
      <c r="CP80" s="1088">
        <v>27.236944751381216</v>
      </c>
      <c r="CQ80" s="1108">
        <v>31.192303030303027</v>
      </c>
      <c r="CR80" s="1109">
        <v>31.601530612244897</v>
      </c>
      <c r="CS80" s="1109">
        <v>29.410939130434784</v>
      </c>
      <c r="CT80" s="1109">
        <v>31.636615589606933</v>
      </c>
      <c r="CU80" s="1109">
        <v>29.187513089005233</v>
      </c>
      <c r="CV80" s="1109">
        <v>30.331492329149235</v>
      </c>
      <c r="CW80" s="1109">
        <v>30.78</v>
      </c>
      <c r="CX80" s="1109">
        <v>28.341001688238602</v>
      </c>
      <c r="CY80" s="1109">
        <v>29.857931034482757</v>
      </c>
      <c r="CZ80" s="1109">
        <v>28.895693557748114</v>
      </c>
      <c r="DA80" s="1109">
        <v>30.541621621621623</v>
      </c>
      <c r="DB80" s="1110">
        <v>31.845615067686872</v>
      </c>
      <c r="DC80" s="1091">
        <v>32.068673835125445</v>
      </c>
      <c r="DD80" s="1091">
        <v>31.938637532133679</v>
      </c>
      <c r="DE80" s="1091">
        <v>32.329841095890409</v>
      </c>
      <c r="DF80" s="1091">
        <v>29.821778304682866</v>
      </c>
      <c r="DG80" s="1091">
        <v>30.065738850080599</v>
      </c>
      <c r="DH80" s="1091">
        <v>27.813046010483401</v>
      </c>
      <c r="DI80" s="1091">
        <v>27.461413484971569</v>
      </c>
      <c r="DJ80" s="1091">
        <v>32.088394467829225</v>
      </c>
      <c r="DK80" s="1091">
        <v>22.566283924843425</v>
      </c>
      <c r="DL80" s="1091">
        <v>33.733973479652491</v>
      </c>
      <c r="DM80" s="1091">
        <v>31.158669438669442</v>
      </c>
      <c r="DN80" s="1092">
        <v>36.203492769744166</v>
      </c>
      <c r="DO80" s="1091">
        <v>29.895225683407503</v>
      </c>
      <c r="DP80" s="1091">
        <v>28.878954035468695</v>
      </c>
      <c r="DQ80" s="1091">
        <v>26.789820359281435</v>
      </c>
      <c r="DR80" s="1091">
        <v>38.300921187308084</v>
      </c>
      <c r="DS80" s="1091">
        <v>28.405664488017429</v>
      </c>
      <c r="DT80" s="1091">
        <v>33.550003447087214</v>
      </c>
      <c r="DU80" s="1091">
        <v>30.464956112852661</v>
      </c>
      <c r="DV80" s="1091">
        <v>29.095706732463871</v>
      </c>
      <c r="DW80" s="1091">
        <v>29.555949966193374</v>
      </c>
      <c r="DX80" s="1091">
        <v>28.504019823788546</v>
      </c>
      <c r="DY80" s="1091">
        <v>29.129162087912093</v>
      </c>
      <c r="DZ80" s="1091">
        <v>25.399937868903383</v>
      </c>
      <c r="EA80" s="1099"/>
      <c r="EB80" s="1111">
        <v>17.345151866694788</v>
      </c>
      <c r="EC80" s="1112">
        <v>18.632040094339626</v>
      </c>
      <c r="ED80" s="1112">
        <v>18.036606138656367</v>
      </c>
      <c r="EE80" s="1112">
        <v>20.497201192934142</v>
      </c>
      <c r="EF80" s="1112">
        <v>25.899849812265334</v>
      </c>
      <c r="EG80" s="1112">
        <v>28.446451612903232</v>
      </c>
      <c r="EH80" s="1112">
        <v>27.403779527559056</v>
      </c>
      <c r="EI80" s="1112">
        <v>28.42985063663075</v>
      </c>
      <c r="EJ80" s="1112">
        <f t="shared" si="10"/>
        <v>30.301854729210174</v>
      </c>
      <c r="EK80" s="1113">
        <v>30.882588755287294</v>
      </c>
      <c r="EL80" s="1112">
        <f t="shared" si="11"/>
        <v>29.830860149390361</v>
      </c>
      <c r="EM80" s="1318">
        <v>30.018481191810256</v>
      </c>
    </row>
    <row r="81" spans="1:143">
      <c r="A81" s="998"/>
      <c r="B81" s="1166" t="s">
        <v>711</v>
      </c>
      <c r="C81" s="1171" t="s">
        <v>712</v>
      </c>
      <c r="D81" s="1098">
        <v>18.63096903096903</v>
      </c>
      <c r="E81" s="1099">
        <v>22.129330381848362</v>
      </c>
      <c r="F81" s="1099">
        <v>20.736614858563879</v>
      </c>
      <c r="G81" s="1099">
        <v>18.819416613823719</v>
      </c>
      <c r="H81" s="1099">
        <v>21.435087098144741</v>
      </c>
      <c r="I81" s="1099">
        <v>19.423391508850106</v>
      </c>
      <c r="J81" s="1100">
        <v>20.341641771658654</v>
      </c>
      <c r="K81" s="1101">
        <v>21.16729146692234</v>
      </c>
      <c r="L81" s="1102">
        <v>19.83126630568545</v>
      </c>
      <c r="M81" s="1102">
        <v>17.494341841841837</v>
      </c>
      <c r="N81" s="1102">
        <v>18.934549411162319</v>
      </c>
      <c r="O81" s="1102">
        <v>18.269226074535773</v>
      </c>
      <c r="P81" s="1102">
        <v>17.817334376630154</v>
      </c>
      <c r="Q81" s="1102">
        <v>20.65317841941792</v>
      </c>
      <c r="R81" s="1102">
        <v>20.655181586860969</v>
      </c>
      <c r="S81" s="1102">
        <v>21.366638496468216</v>
      </c>
      <c r="T81" s="1102">
        <v>20.060363686081484</v>
      </c>
      <c r="U81" s="1102">
        <v>18.579866606375759</v>
      </c>
      <c r="V81" s="1103">
        <v>19.064352846401718</v>
      </c>
      <c r="W81" s="1098">
        <v>18.408241393061278</v>
      </c>
      <c r="X81" s="1099">
        <v>21.739216706302024</v>
      </c>
      <c r="Y81" s="1099">
        <v>18.930355194569042</v>
      </c>
      <c r="Z81" s="1099">
        <v>19.016883212575216</v>
      </c>
      <c r="AA81" s="1099">
        <v>20.103966805891403</v>
      </c>
      <c r="AB81" s="1099">
        <v>18.736513898460835</v>
      </c>
      <c r="AC81" s="1099">
        <v>18.257534708449025</v>
      </c>
      <c r="AD81" s="1099">
        <v>18.305092250922506</v>
      </c>
      <c r="AE81" s="1099">
        <v>19.292039326504174</v>
      </c>
      <c r="AF81" s="1099">
        <v>18.591770605187325</v>
      </c>
      <c r="AG81" s="1099">
        <v>19.273331466338075</v>
      </c>
      <c r="AH81" s="1100">
        <v>19.237979404746955</v>
      </c>
      <c r="AI81" s="1104">
        <v>18.682601757631826</v>
      </c>
      <c r="AJ81" s="1104">
        <v>19.088942581783627</v>
      </c>
      <c r="AK81" s="1104">
        <v>19.43371232568601</v>
      </c>
      <c r="AL81" s="1104">
        <v>20.738320381047881</v>
      </c>
      <c r="AM81" s="1104">
        <v>20.636241664750521</v>
      </c>
      <c r="AN81" s="1104">
        <v>20.964416742909417</v>
      </c>
      <c r="AO81" s="1104">
        <v>19.686097111247694</v>
      </c>
      <c r="AP81" s="1104">
        <v>20.389239389851607</v>
      </c>
      <c r="AQ81" s="1104">
        <v>21.105043488621472</v>
      </c>
      <c r="AR81" s="1104">
        <v>20.262023320377573</v>
      </c>
      <c r="AS81" s="1104">
        <v>20.270692520775626</v>
      </c>
      <c r="AT81" s="1104">
        <v>21.987434014685455</v>
      </c>
      <c r="AU81" s="1098">
        <v>23.018511718328117</v>
      </c>
      <c r="AV81" s="1099">
        <v>21.600662948542571</v>
      </c>
      <c r="AW81" s="1099">
        <v>21.428049999999995</v>
      </c>
      <c r="AX81" s="1099">
        <v>19.431131652661069</v>
      </c>
      <c r="AY81" s="1099">
        <v>21.307902995720404</v>
      </c>
      <c r="AZ81" s="1099">
        <v>21.948919550461781</v>
      </c>
      <c r="BA81" s="1099">
        <v>22.65700477690822</v>
      </c>
      <c r="BB81" s="1099">
        <v>22.301343607553729</v>
      </c>
      <c r="BC81" s="1099">
        <v>20.582963376507372</v>
      </c>
      <c r="BD81" s="1099">
        <v>19.62120788985451</v>
      </c>
      <c r="BE81" s="1099">
        <v>18.901603053435121</v>
      </c>
      <c r="BF81" s="1099">
        <v>20.560268177737882</v>
      </c>
      <c r="BG81" s="1105">
        <v>20.546635857461027</v>
      </c>
      <c r="BH81" s="1105">
        <v>19.65304105607364</v>
      </c>
      <c r="BI81" s="1105">
        <v>19.61152123848516</v>
      </c>
      <c r="BJ81" s="1105">
        <v>20.013415124698302</v>
      </c>
      <c r="BK81" s="1105">
        <v>19.867611208846444</v>
      </c>
      <c r="BL81" s="1105">
        <v>17.907764337401453</v>
      </c>
      <c r="BM81" s="1105">
        <v>20.387526315789476</v>
      </c>
      <c r="BN81" s="1105">
        <v>22.125130928853757</v>
      </c>
      <c r="BO81" s="1105">
        <v>21.065895430218191</v>
      </c>
      <c r="BP81" s="1105">
        <v>21.578606356968223</v>
      </c>
      <c r="BQ81" s="1105">
        <v>21.188972096351058</v>
      </c>
      <c r="BR81" s="1105">
        <v>22.916564334085784</v>
      </c>
      <c r="BS81" s="1106">
        <v>23.565041716328963</v>
      </c>
      <c r="BT81" s="1107">
        <v>22.76035859180735</v>
      </c>
      <c r="BU81" s="1107">
        <v>23.657967764540999</v>
      </c>
      <c r="BV81" s="1107">
        <v>23.889692347134979</v>
      </c>
      <c r="BW81" s="1107">
        <v>22.869862592063321</v>
      </c>
      <c r="BX81" s="1107">
        <v>23.46534617442483</v>
      </c>
      <c r="BY81" s="1107">
        <v>25.945742372881366</v>
      </c>
      <c r="BZ81" s="1107">
        <v>24.86603192702394</v>
      </c>
      <c r="CA81" s="1107">
        <v>25.037137357037711</v>
      </c>
      <c r="CB81" s="1107">
        <v>28.367873789888858</v>
      </c>
      <c r="CC81" s="1107">
        <v>23.510159965412885</v>
      </c>
      <c r="CD81" s="1107">
        <v>23.594088498045796</v>
      </c>
      <c r="CE81" s="1087">
        <v>23.574117053481327</v>
      </c>
      <c r="CF81" s="1088">
        <v>24.618424504788138</v>
      </c>
      <c r="CG81" s="1088">
        <v>24.955163474764571</v>
      </c>
      <c r="CH81" s="1088">
        <v>23.984216430594909</v>
      </c>
      <c r="CI81" s="1088">
        <v>25.612657815631259</v>
      </c>
      <c r="CJ81" s="1088">
        <v>25.271742543171118</v>
      </c>
      <c r="CK81" s="1088">
        <v>25.753934874471788</v>
      </c>
      <c r="CL81" s="1088">
        <v>27.472930065750145</v>
      </c>
      <c r="CM81" s="1088">
        <v>26.307042024611096</v>
      </c>
      <c r="CN81" s="1088">
        <v>27.077452850877197</v>
      </c>
      <c r="CO81" s="1088">
        <v>27.860983398540753</v>
      </c>
      <c r="CP81" s="1088">
        <v>28.818675407425562</v>
      </c>
      <c r="CQ81" s="1108">
        <v>32.311833643988813</v>
      </c>
      <c r="CR81" s="1109">
        <v>32.364386263658304</v>
      </c>
      <c r="CS81" s="1109">
        <v>31.291389939268925</v>
      </c>
      <c r="CT81" s="1109">
        <v>37.317021337946947</v>
      </c>
      <c r="CU81" s="1109">
        <v>33.375694840549649</v>
      </c>
      <c r="CV81" s="1109">
        <v>32.854875849451126</v>
      </c>
      <c r="CW81" s="1109">
        <v>33.28</v>
      </c>
      <c r="CX81" s="1109">
        <v>31.479952577821013</v>
      </c>
      <c r="CY81" s="1109">
        <v>32.561126457602171</v>
      </c>
      <c r="CZ81" s="1109">
        <v>31.822270196568571</v>
      </c>
      <c r="DA81" s="1109">
        <v>32.563662643270114</v>
      </c>
      <c r="DB81" s="1110">
        <v>34.503935761140021</v>
      </c>
      <c r="DC81" s="1091">
        <v>35.76744444444445</v>
      </c>
      <c r="DD81" s="1091">
        <v>32.902456647398843</v>
      </c>
      <c r="DE81" s="1091">
        <v>34.852962334577541</v>
      </c>
      <c r="DF81" s="1091">
        <v>31.008188097768333</v>
      </c>
      <c r="DG81" s="1091">
        <v>36.008194039315164</v>
      </c>
      <c r="DH81" s="1091">
        <v>43.239799626633477</v>
      </c>
      <c r="DI81" s="1091">
        <v>38.746202638226215</v>
      </c>
      <c r="DJ81" s="1091">
        <v>37.125885723641133</v>
      </c>
      <c r="DK81" s="1091">
        <v>31.628644044511606</v>
      </c>
      <c r="DL81" s="1091">
        <v>32.692119999999996</v>
      </c>
      <c r="DM81" s="1091">
        <v>34.523048149621964</v>
      </c>
      <c r="DN81" s="1092">
        <v>34.327877776164904</v>
      </c>
      <c r="DO81" s="1091">
        <v>31.937600610113808</v>
      </c>
      <c r="DP81" s="1091">
        <v>34.960217891460275</v>
      </c>
      <c r="DQ81" s="1091">
        <v>34.343568099430342</v>
      </c>
      <c r="DR81" s="1091">
        <v>31.570270118176705</v>
      </c>
      <c r="DS81" s="1091">
        <v>30.032102248317344</v>
      </c>
      <c r="DT81" s="1091">
        <v>32.410489472245004</v>
      </c>
      <c r="DU81" s="1091">
        <v>29.34836680223691</v>
      </c>
      <c r="DV81" s="1091">
        <v>33.513691509889043</v>
      </c>
      <c r="DW81" s="1091">
        <v>30.999205860494747</v>
      </c>
      <c r="DX81" s="1091">
        <v>35.654454689391827</v>
      </c>
      <c r="DY81" s="1091">
        <v>30.533895701561896</v>
      </c>
      <c r="DZ81" s="1091">
        <v>31.958882978723402</v>
      </c>
      <c r="EA81" s="1099"/>
      <c r="EB81" s="1111">
        <v>20.224732816765698</v>
      </c>
      <c r="EC81" s="1112">
        <v>19.513486085497028</v>
      </c>
      <c r="ED81" s="1112">
        <v>19.113463696025594</v>
      </c>
      <c r="EE81" s="1112">
        <v>20.296545295905705</v>
      </c>
      <c r="EF81" s="1112">
        <v>21.127843158415416</v>
      </c>
      <c r="EG81" s="1112">
        <v>20.561719129304869</v>
      </c>
      <c r="EH81" s="1112">
        <v>24.330599107467773</v>
      </c>
      <c r="EI81" s="1112">
        <v>25.973596099507994</v>
      </c>
      <c r="EJ81" s="1112">
        <f t="shared" si="10"/>
        <v>32.977179125938811</v>
      </c>
      <c r="EK81" s="1113">
        <v>35.260492429303049</v>
      </c>
      <c r="EL81" s="1112">
        <f t="shared" si="11"/>
        <v>32.27189549850344</v>
      </c>
      <c r="EM81" s="1318">
        <v>32.143560567868256</v>
      </c>
    </row>
    <row r="82" spans="1:143">
      <c r="A82" s="998"/>
      <c r="B82" s="1166" t="s">
        <v>713</v>
      </c>
      <c r="C82" s="1171" t="s">
        <v>714</v>
      </c>
      <c r="D82" s="1098">
        <v>9.7181641887524233</v>
      </c>
      <c r="E82" s="1099">
        <v>13.625522388059702</v>
      </c>
      <c r="F82" s="1099">
        <v>13.559572506286672</v>
      </c>
      <c r="G82" s="1099">
        <v>14.663453689167977</v>
      </c>
      <c r="H82" s="1099">
        <v>13.491935483870968</v>
      </c>
      <c r="I82" s="1099">
        <v>11.271813403416557</v>
      </c>
      <c r="J82" s="1100">
        <v>14.55536028119508</v>
      </c>
      <c r="K82" s="1101">
        <v>16.607526881720432</v>
      </c>
      <c r="L82" s="1102">
        <v>17.143364485981305</v>
      </c>
      <c r="M82" s="1102">
        <v>11.930017226528854</v>
      </c>
      <c r="N82" s="1102">
        <v>9.6762417218543035</v>
      </c>
      <c r="O82" s="1102">
        <v>10.240144993203444</v>
      </c>
      <c r="P82" s="1102">
        <v>10.516254646840148</v>
      </c>
      <c r="Q82" s="1102">
        <v>10.369612254667306</v>
      </c>
      <c r="R82" s="1102">
        <v>11.251000478697941</v>
      </c>
      <c r="S82" s="1102">
        <v>13.734260162601625</v>
      </c>
      <c r="T82" s="1102">
        <v>13.806753246753248</v>
      </c>
      <c r="U82" s="1102">
        <v>12.380364491475603</v>
      </c>
      <c r="V82" s="1103">
        <v>12.716029292107404</v>
      </c>
      <c r="W82" s="1098">
        <v>12.757861635220126</v>
      </c>
      <c r="X82" s="1099">
        <v>12.594562647754136</v>
      </c>
      <c r="Y82" s="1099">
        <v>13.203600248292986</v>
      </c>
      <c r="Z82" s="1099">
        <v>13.043978010994502</v>
      </c>
      <c r="AA82" s="1099">
        <v>13.105604719764012</v>
      </c>
      <c r="AB82" s="1099">
        <v>12.794915254237289</v>
      </c>
      <c r="AC82" s="1099">
        <v>13.103965183752418</v>
      </c>
      <c r="AD82" s="1099">
        <v>16.115323854660346</v>
      </c>
      <c r="AE82" s="1099">
        <v>15.774486383182035</v>
      </c>
      <c r="AF82" s="1099">
        <v>15.398340248962656</v>
      </c>
      <c r="AG82" s="1099">
        <v>13.448056086679413</v>
      </c>
      <c r="AH82" s="1100">
        <v>13.858902575587907</v>
      </c>
      <c r="AI82" s="1104">
        <v>12.855983772819473</v>
      </c>
      <c r="AJ82" s="1104">
        <v>14.535239034006899</v>
      </c>
      <c r="AK82" s="1104">
        <v>14.060049019607844</v>
      </c>
      <c r="AL82" s="1104">
        <v>13.983625730994152</v>
      </c>
      <c r="AM82" s="1104">
        <v>13.727748691099476</v>
      </c>
      <c r="AN82" s="1104">
        <v>14.065861690450054</v>
      </c>
      <c r="AO82" s="1104">
        <v>14.861226611226611</v>
      </c>
      <c r="AP82" s="1104">
        <v>14.062193126022914</v>
      </c>
      <c r="AQ82" s="1104">
        <v>13.545517720639333</v>
      </c>
      <c r="AR82" s="1104">
        <v>13.800749531542786</v>
      </c>
      <c r="AS82" s="1104">
        <v>14.250347705146035</v>
      </c>
      <c r="AT82" s="1104">
        <v>13.685763888888889</v>
      </c>
      <c r="AU82" s="1098">
        <v>14.382279741164758</v>
      </c>
      <c r="AV82" s="1099">
        <v>14.233400402414487</v>
      </c>
      <c r="AW82" s="1099">
        <v>14.662664601084431</v>
      </c>
      <c r="AX82" s="1099">
        <v>16.750816104461371</v>
      </c>
      <c r="AY82" s="1099">
        <v>14.039856695029108</v>
      </c>
      <c r="AZ82" s="1099">
        <v>13.891891891891891</v>
      </c>
      <c r="BA82" s="1099">
        <v>14.322550398499766</v>
      </c>
      <c r="BB82" s="1099">
        <v>14.135</v>
      </c>
      <c r="BC82" s="1099">
        <v>14.045367717287489</v>
      </c>
      <c r="BD82" s="1099">
        <v>14.099064625850341</v>
      </c>
      <c r="BE82" s="1099">
        <v>14.911275415896489</v>
      </c>
      <c r="BF82" s="1099">
        <v>14.559109080525413</v>
      </c>
      <c r="BG82" s="1105">
        <v>13.842075256556443</v>
      </c>
      <c r="BH82" s="1105">
        <v>14.262252346193952</v>
      </c>
      <c r="BI82" s="1105">
        <v>13.672081218274112</v>
      </c>
      <c r="BJ82" s="1105">
        <v>14.65382403680276</v>
      </c>
      <c r="BK82" s="1105">
        <v>14.828771112405358</v>
      </c>
      <c r="BL82" s="1105">
        <v>14.816932380428806</v>
      </c>
      <c r="BM82" s="1105">
        <v>14.412240768841679</v>
      </c>
      <c r="BN82" s="1105">
        <v>14.340676229508198</v>
      </c>
      <c r="BO82" s="1105">
        <v>15.440105540897097</v>
      </c>
      <c r="BP82" s="1105">
        <v>15.723710515793682</v>
      </c>
      <c r="BQ82" s="1105">
        <v>15.417652411282985</v>
      </c>
      <c r="BR82" s="1105">
        <v>15.410460992907801</v>
      </c>
      <c r="BS82" s="1106">
        <v>15.299661672305461</v>
      </c>
      <c r="BT82" s="1107">
        <v>15.941145281018027</v>
      </c>
      <c r="BU82" s="1107">
        <v>15.35820895522388</v>
      </c>
      <c r="BV82" s="1107">
        <v>16.234817813765183</v>
      </c>
      <c r="BW82" s="1107">
        <v>16.428071709663314</v>
      </c>
      <c r="BX82" s="1107">
        <v>14.496490407112775</v>
      </c>
      <c r="BY82" s="1107">
        <v>16.162013729977115</v>
      </c>
      <c r="BZ82" s="1107">
        <v>15.350540806293019</v>
      </c>
      <c r="CA82" s="1107">
        <v>16.07482993197279</v>
      </c>
      <c r="CB82" s="1107">
        <v>15.584390243902439</v>
      </c>
      <c r="CC82" s="1107">
        <v>15.647388059701493</v>
      </c>
      <c r="CD82" s="1107">
        <v>15.164259927797834</v>
      </c>
      <c r="CE82" s="1087">
        <v>15.166951566951568</v>
      </c>
      <c r="CF82" s="1088">
        <v>15.691482226693495</v>
      </c>
      <c r="CG82" s="1088">
        <v>15.479094076655052</v>
      </c>
      <c r="CH82" s="1088">
        <v>15.394847213900539</v>
      </c>
      <c r="CI82" s="1088">
        <v>15.259981851179674</v>
      </c>
      <c r="CJ82" s="1088">
        <v>15.049672489082969</v>
      </c>
      <c r="CK82" s="1088">
        <v>14.906821963394343</v>
      </c>
      <c r="CL82" s="1088">
        <v>13.987718164188752</v>
      </c>
      <c r="CM82" s="1088">
        <v>15.384734468937875</v>
      </c>
      <c r="CN82" s="1088">
        <v>15.08916253716551</v>
      </c>
      <c r="CO82" s="1088">
        <v>20.946037099494099</v>
      </c>
      <c r="CP82" s="1088">
        <v>21.664295874822191</v>
      </c>
      <c r="CQ82" s="1108">
        <v>24.69375974025974</v>
      </c>
      <c r="CR82" s="1109">
        <v>25.744165467625898</v>
      </c>
      <c r="CS82" s="1109">
        <v>23.484759450171822</v>
      </c>
      <c r="CT82" s="1109">
        <v>31.744520856820742</v>
      </c>
      <c r="CU82" s="1109">
        <v>25.005766323024055</v>
      </c>
      <c r="CV82" s="1109">
        <v>24.702442091330244</v>
      </c>
      <c r="CW82" s="1109">
        <v>26.58</v>
      </c>
      <c r="CX82" s="1109">
        <v>28.409355495251017</v>
      </c>
      <c r="CY82" s="1109">
        <v>26.019852700490997</v>
      </c>
      <c r="CZ82" s="1109">
        <v>84.785151679306622</v>
      </c>
      <c r="DA82" s="1109">
        <v>32.940545171339565</v>
      </c>
      <c r="DB82" s="1110">
        <v>15.785547991831178</v>
      </c>
      <c r="DC82" s="1091">
        <v>26.499613869188337</v>
      </c>
      <c r="DD82" s="1091">
        <v>24.655961369622474</v>
      </c>
      <c r="DE82" s="1091">
        <v>16.267087155963303</v>
      </c>
      <c r="DF82" s="1091">
        <v>23.833953630262357</v>
      </c>
      <c r="DG82" s="1091">
        <v>19.31003130870382</v>
      </c>
      <c r="DH82" s="1091">
        <v>14.430740037950665</v>
      </c>
      <c r="DI82" s="1091">
        <v>14.330123796423658</v>
      </c>
      <c r="DJ82" s="1091">
        <v>14.450724637681159</v>
      </c>
      <c r="DK82" s="1091">
        <v>14.484760522496371</v>
      </c>
      <c r="DL82" s="1091">
        <v>13.900202565833897</v>
      </c>
      <c r="DM82" s="1091">
        <v>14.00437689969605</v>
      </c>
      <c r="DN82" s="1092">
        <v>16.282321899736147</v>
      </c>
      <c r="DO82" s="1091">
        <v>15.93984962406015</v>
      </c>
      <c r="DP82" s="1091">
        <v>15.907594936708861</v>
      </c>
      <c r="DQ82" s="1091">
        <v>16.191035218783352</v>
      </c>
      <c r="DR82" s="1091">
        <v>21.154631217838766</v>
      </c>
      <c r="DS82" s="1091">
        <v>16.268365817091453</v>
      </c>
      <c r="DT82" s="1091">
        <v>15.798479087452472</v>
      </c>
      <c r="DU82" s="1091">
        <v>15.755395683453237</v>
      </c>
      <c r="DV82" s="1091">
        <v>16.612903225806452</v>
      </c>
      <c r="DW82" s="1091">
        <v>16.264150943396228</v>
      </c>
      <c r="DX82" s="1091">
        <v>16.357868020304569</v>
      </c>
      <c r="DY82" s="1091">
        <v>21.5</v>
      </c>
      <c r="DZ82" s="1091">
        <v>23.088845014807504</v>
      </c>
      <c r="EA82" s="1099"/>
      <c r="EB82" s="1111">
        <v>12.80143468715697</v>
      </c>
      <c r="EC82" s="1112">
        <v>11.965203912858557</v>
      </c>
      <c r="ED82" s="1112">
        <v>13.908486888731396</v>
      </c>
      <c r="EE82" s="1112">
        <v>13.961746133430953</v>
      </c>
      <c r="EF82" s="1112">
        <v>14.479893718274111</v>
      </c>
      <c r="EG82" s="1112">
        <v>14.778359216745443</v>
      </c>
      <c r="EH82" s="1112">
        <v>15.657575267076711</v>
      </c>
      <c r="EI82" s="1112">
        <v>16.066528131184615</v>
      </c>
      <c r="EJ82" s="1112">
        <f t="shared" si="10"/>
        <v>30.824655580620988</v>
      </c>
      <c r="EK82" s="1113">
        <v>17.595464298276472</v>
      </c>
      <c r="EL82" s="1112">
        <f t="shared" si="11"/>
        <v>17.56992656580859</v>
      </c>
      <c r="EM82" s="1318">
        <v>19.18483061103186</v>
      </c>
    </row>
    <row r="83" spans="1:143">
      <c r="A83" s="998"/>
      <c r="B83" s="1166" t="s">
        <v>715</v>
      </c>
      <c r="C83" s="1171" t="s">
        <v>716</v>
      </c>
      <c r="D83" s="1098">
        <v>10</v>
      </c>
      <c r="E83" s="1099">
        <v>13</v>
      </c>
      <c r="F83" s="1099">
        <v>10</v>
      </c>
      <c r="G83" s="1099">
        <v>10</v>
      </c>
      <c r="H83" s="1099">
        <v>10</v>
      </c>
      <c r="I83" s="1099">
        <v>10</v>
      </c>
      <c r="J83" s="1100">
        <v>10</v>
      </c>
      <c r="K83" s="1101">
        <v>10</v>
      </c>
      <c r="L83" s="1102">
        <v>10</v>
      </c>
      <c r="M83" s="1102">
        <v>10</v>
      </c>
      <c r="N83" s="1102">
        <v>10</v>
      </c>
      <c r="O83" s="1102">
        <v>10</v>
      </c>
      <c r="P83" s="1102">
        <v>10</v>
      </c>
      <c r="Q83" s="1102">
        <v>10</v>
      </c>
      <c r="R83" s="1102">
        <v>10</v>
      </c>
      <c r="S83" s="1102">
        <v>10</v>
      </c>
      <c r="T83" s="1102">
        <v>10</v>
      </c>
      <c r="U83" s="1102">
        <v>10</v>
      </c>
      <c r="V83" s="1103">
        <v>10</v>
      </c>
      <c r="W83" s="1098">
        <v>10</v>
      </c>
      <c r="X83" s="1099">
        <v>10</v>
      </c>
      <c r="Y83" s="1099">
        <v>10</v>
      </c>
      <c r="Z83" s="1099">
        <v>10</v>
      </c>
      <c r="AA83" s="1099">
        <v>10</v>
      </c>
      <c r="AB83" s="1099">
        <v>10</v>
      </c>
      <c r="AC83" s="1099">
        <v>10</v>
      </c>
      <c r="AD83" s="1099">
        <v>10</v>
      </c>
      <c r="AE83" s="1099">
        <v>10</v>
      </c>
      <c r="AF83" s="1099">
        <v>10</v>
      </c>
      <c r="AG83" s="1099">
        <v>10</v>
      </c>
      <c r="AH83" s="1100">
        <v>10</v>
      </c>
      <c r="AI83" s="1104">
        <v>10</v>
      </c>
      <c r="AJ83" s="1104">
        <v>10</v>
      </c>
      <c r="AK83" s="1104">
        <v>10</v>
      </c>
      <c r="AL83" s="1104">
        <v>10</v>
      </c>
      <c r="AM83" s="1104">
        <v>10</v>
      </c>
      <c r="AN83" s="1104">
        <v>10</v>
      </c>
      <c r="AO83" s="1104">
        <v>10</v>
      </c>
      <c r="AP83" s="1104">
        <v>10</v>
      </c>
      <c r="AQ83" s="1104">
        <v>10</v>
      </c>
      <c r="AR83" s="1104">
        <v>10</v>
      </c>
      <c r="AS83" s="1104">
        <v>10</v>
      </c>
      <c r="AT83" s="1104">
        <v>10</v>
      </c>
      <c r="AU83" s="1098">
        <v>10</v>
      </c>
      <c r="AV83" s="1099">
        <v>10</v>
      </c>
      <c r="AW83" s="1099">
        <v>10</v>
      </c>
      <c r="AX83" s="1099">
        <v>10</v>
      </c>
      <c r="AY83" s="1099">
        <v>10</v>
      </c>
      <c r="AZ83" s="1099">
        <v>10</v>
      </c>
      <c r="BA83" s="1099">
        <v>10</v>
      </c>
      <c r="BB83" s="1099">
        <v>10</v>
      </c>
      <c r="BC83" s="1099">
        <v>10</v>
      </c>
      <c r="BD83" s="1099">
        <v>10</v>
      </c>
      <c r="BE83" s="1099">
        <v>10</v>
      </c>
      <c r="BF83" s="1099">
        <v>10</v>
      </c>
      <c r="BG83" s="1105">
        <v>10</v>
      </c>
      <c r="BH83" s="1105">
        <v>10</v>
      </c>
      <c r="BI83" s="1105">
        <v>10</v>
      </c>
      <c r="BJ83" s="1105">
        <v>10</v>
      </c>
      <c r="BK83" s="1105">
        <v>10</v>
      </c>
      <c r="BL83" s="1105">
        <v>10</v>
      </c>
      <c r="BM83" s="1105">
        <v>10</v>
      </c>
      <c r="BN83" s="1105">
        <v>10</v>
      </c>
      <c r="BO83" s="1105">
        <v>10</v>
      </c>
      <c r="BP83" s="1105">
        <v>10</v>
      </c>
      <c r="BQ83" s="1105">
        <v>10</v>
      </c>
      <c r="BR83" s="1105">
        <v>10</v>
      </c>
      <c r="BS83" s="1106">
        <v>10</v>
      </c>
      <c r="BT83" s="1107">
        <v>10</v>
      </c>
      <c r="BU83" s="1107">
        <v>10</v>
      </c>
      <c r="BV83" s="1107">
        <v>10</v>
      </c>
      <c r="BW83" s="1107">
        <v>10</v>
      </c>
      <c r="BX83" s="1107">
        <v>10</v>
      </c>
      <c r="BY83" s="1107">
        <v>10</v>
      </c>
      <c r="BZ83" s="1107">
        <v>10</v>
      </c>
      <c r="CA83" s="1107">
        <v>10</v>
      </c>
      <c r="CB83" s="1107">
        <v>10</v>
      </c>
      <c r="CC83" s="1107">
        <v>10</v>
      </c>
      <c r="CD83" s="1107">
        <v>10</v>
      </c>
      <c r="CE83" s="1087">
        <v>12</v>
      </c>
      <c r="CF83" s="1088">
        <v>12</v>
      </c>
      <c r="CG83" s="1088">
        <v>12</v>
      </c>
      <c r="CH83" s="1088">
        <v>12</v>
      </c>
      <c r="CI83" s="1088">
        <v>12</v>
      </c>
      <c r="CJ83" s="1088">
        <v>12</v>
      </c>
      <c r="CK83" s="1088">
        <v>10</v>
      </c>
      <c r="CL83" s="1088">
        <v>12</v>
      </c>
      <c r="CM83" s="1088">
        <v>13</v>
      </c>
      <c r="CN83" s="1088">
        <v>13</v>
      </c>
      <c r="CO83" s="1088">
        <v>13</v>
      </c>
      <c r="CP83" s="1088">
        <v>13</v>
      </c>
      <c r="CQ83" s="1108">
        <v>13</v>
      </c>
      <c r="CR83" s="1109">
        <v>13</v>
      </c>
      <c r="CS83" s="1109">
        <v>13</v>
      </c>
      <c r="CT83" s="1109">
        <v>13</v>
      </c>
      <c r="CU83" s="1109">
        <v>13</v>
      </c>
      <c r="CV83" s="1109">
        <v>13</v>
      </c>
      <c r="CW83" s="1109">
        <v>13</v>
      </c>
      <c r="CX83" s="1109">
        <v>15</v>
      </c>
      <c r="CY83" s="1109">
        <v>15</v>
      </c>
      <c r="CZ83" s="1109">
        <v>15</v>
      </c>
      <c r="DA83" s="1109">
        <v>15</v>
      </c>
      <c r="DB83" s="1110">
        <v>15</v>
      </c>
      <c r="DC83" s="1091">
        <v>15</v>
      </c>
      <c r="DD83" s="1091">
        <v>15</v>
      </c>
      <c r="DE83" s="1091">
        <v>15</v>
      </c>
      <c r="DF83" s="1091">
        <v>15</v>
      </c>
      <c r="DG83" s="1091">
        <v>15</v>
      </c>
      <c r="DH83" s="1091">
        <v>15</v>
      </c>
      <c r="DI83" s="1091">
        <v>15</v>
      </c>
      <c r="DJ83" s="1091">
        <v>15</v>
      </c>
      <c r="DK83" s="1091">
        <v>15</v>
      </c>
      <c r="DL83" s="1091">
        <v>15</v>
      </c>
      <c r="DM83" s="1091">
        <v>15</v>
      </c>
      <c r="DN83" s="1092">
        <v>15</v>
      </c>
      <c r="DO83" s="1091">
        <v>50</v>
      </c>
      <c r="DP83" s="1091">
        <v>38.371034482758624</v>
      </c>
      <c r="DQ83" s="1091">
        <v>35.668789808917197</v>
      </c>
      <c r="DR83" s="1091">
        <v>47.060150375939848</v>
      </c>
      <c r="DS83" s="1091">
        <v>37.877840909090907</v>
      </c>
      <c r="DT83" s="1091">
        <v>44.577777777777776</v>
      </c>
      <c r="DU83" s="1091">
        <v>31.03846153846154</v>
      </c>
      <c r="DV83" s="1091">
        <v>34.443708609271525</v>
      </c>
      <c r="DW83" s="1091">
        <v>35.093567251461991</v>
      </c>
      <c r="DX83" s="1091">
        <v>39.739130434782609</v>
      </c>
      <c r="DY83" s="1091">
        <v>26.739130434782609</v>
      </c>
      <c r="DZ83" s="1091">
        <v>26.945945945945947</v>
      </c>
      <c r="EA83" s="1099"/>
      <c r="EB83" s="1111">
        <v>10.342661336379212</v>
      </c>
      <c r="EC83" s="1112">
        <v>10</v>
      </c>
      <c r="ED83" s="1112">
        <v>10</v>
      </c>
      <c r="EE83" s="1112">
        <v>10</v>
      </c>
      <c r="EF83" s="1112">
        <v>9.9999999999999982</v>
      </c>
      <c r="EG83" s="1112">
        <v>10.000000000000002</v>
      </c>
      <c r="EH83" s="1112">
        <v>10</v>
      </c>
      <c r="EI83" s="1112">
        <v>12.073207547169813</v>
      </c>
      <c r="EJ83" s="1112">
        <f t="shared" si="10"/>
        <v>13.833333333333334</v>
      </c>
      <c r="EK83" s="1113">
        <v>15</v>
      </c>
      <c r="EL83" s="1112">
        <f t="shared" si="11"/>
        <v>37.296294797432552</v>
      </c>
      <c r="EM83" s="1318">
        <v>35.724016566617074</v>
      </c>
    </row>
    <row r="84" spans="1:143">
      <c r="A84" s="998"/>
      <c r="B84" s="1166" t="s">
        <v>717</v>
      </c>
      <c r="C84" s="1171" t="s">
        <v>718</v>
      </c>
      <c r="D84" s="1098">
        <v>22.815129932627528</v>
      </c>
      <c r="E84" s="1099">
        <v>18.159622586307783</v>
      </c>
      <c r="F84" s="1099">
        <v>16.698545816733066</v>
      </c>
      <c r="G84" s="1099">
        <v>19.610783744513789</v>
      </c>
      <c r="H84" s="1099">
        <v>19.448806058806056</v>
      </c>
      <c r="I84" s="1099">
        <v>19.793247232472325</v>
      </c>
      <c r="J84" s="1100">
        <v>21.947403946002076</v>
      </c>
      <c r="K84" s="1101">
        <v>24.386156918017377</v>
      </c>
      <c r="L84" s="1102">
        <v>26.72041061452515</v>
      </c>
      <c r="M84" s="1102">
        <v>23.058637590861888</v>
      </c>
      <c r="N84" s="1102">
        <v>23.951489179344335</v>
      </c>
      <c r="O84" s="1102">
        <v>29.747167019027483</v>
      </c>
      <c r="P84" s="1102">
        <v>23.803162376237619</v>
      </c>
      <c r="Q84" s="1102">
        <v>23.219420574077368</v>
      </c>
      <c r="R84" s="1102">
        <v>27.070287165893532</v>
      </c>
      <c r="S84" s="1102">
        <v>26.218305376344087</v>
      </c>
      <c r="T84" s="1102">
        <v>32.327590788308235</v>
      </c>
      <c r="U84" s="1102">
        <v>26.868617635733539</v>
      </c>
      <c r="V84" s="1103">
        <v>31.953594994311718</v>
      </c>
      <c r="W84" s="1098">
        <v>30.07444961896698</v>
      </c>
      <c r="X84" s="1099">
        <v>28.018872570194386</v>
      </c>
      <c r="Y84" s="1099">
        <v>32.143022790883649</v>
      </c>
      <c r="Z84" s="1099">
        <v>32.146005591798698</v>
      </c>
      <c r="AA84" s="1099">
        <v>29.048983208955228</v>
      </c>
      <c r="AB84" s="1099">
        <v>29.016458125124924</v>
      </c>
      <c r="AC84" s="1099">
        <v>31.342436974789916</v>
      </c>
      <c r="AD84" s="1099">
        <v>29.464786561873947</v>
      </c>
      <c r="AE84" s="1099">
        <v>27.697937275706035</v>
      </c>
      <c r="AF84" s="1099">
        <v>26.345531482735279</v>
      </c>
      <c r="AG84" s="1099">
        <v>27.272050855153619</v>
      </c>
      <c r="AH84" s="1100">
        <v>27.39444348127601</v>
      </c>
      <c r="AI84" s="1104">
        <v>26.852266845908254</v>
      </c>
      <c r="AJ84" s="1104">
        <v>26.703498375071689</v>
      </c>
      <c r="AK84" s="1104">
        <v>26.021532298447671</v>
      </c>
      <c r="AL84" s="1104">
        <v>25.898333333333326</v>
      </c>
      <c r="AM84" s="1104">
        <v>26.275898583146908</v>
      </c>
      <c r="AN84" s="1104">
        <v>26.745534385773908</v>
      </c>
      <c r="AO84" s="1104">
        <v>28.641704760268091</v>
      </c>
      <c r="AP84" s="1104">
        <v>27.768102513553476</v>
      </c>
      <c r="AQ84" s="1104">
        <v>27.160752814653005</v>
      </c>
      <c r="AR84" s="1104">
        <v>25.943793859649112</v>
      </c>
      <c r="AS84" s="1104">
        <v>25.94712987239993</v>
      </c>
      <c r="AT84" s="1104">
        <v>26.756208325824471</v>
      </c>
      <c r="AU84" s="1098">
        <v>25.544013520725844</v>
      </c>
      <c r="AV84" s="1099">
        <v>25.115806509620569</v>
      </c>
      <c r="AW84" s="1099">
        <v>24.982808857808859</v>
      </c>
      <c r="AX84" s="1099">
        <v>25.007329105003524</v>
      </c>
      <c r="AY84" s="1099">
        <v>25.017139061116023</v>
      </c>
      <c r="AZ84" s="1099">
        <v>26.059410451924869</v>
      </c>
      <c r="BA84" s="1099">
        <v>26.660303752233474</v>
      </c>
      <c r="BB84" s="1099">
        <v>25.205484279002526</v>
      </c>
      <c r="BC84" s="1099">
        <v>26.568193717277484</v>
      </c>
      <c r="BD84" s="1099">
        <v>26.355168560253315</v>
      </c>
      <c r="BE84" s="1099">
        <v>27.314979757085027</v>
      </c>
      <c r="BF84" s="1099">
        <v>26.337094395280229</v>
      </c>
      <c r="BG84" s="1105">
        <v>26.489214019079224</v>
      </c>
      <c r="BH84" s="1105">
        <v>27.413345330555032</v>
      </c>
      <c r="BI84" s="1105">
        <v>26.052357116174825</v>
      </c>
      <c r="BJ84" s="1105">
        <v>27.701660852713175</v>
      </c>
      <c r="BK84" s="1105">
        <v>26.723734797959985</v>
      </c>
      <c r="BL84" s="1105">
        <v>30.385319985698974</v>
      </c>
      <c r="BM84" s="1105">
        <v>30.110672358591248</v>
      </c>
      <c r="BN84" s="1105">
        <v>29.725670928978584</v>
      </c>
      <c r="BO84" s="1105">
        <v>29.438851132686086</v>
      </c>
      <c r="BP84" s="1105">
        <v>29.393573183066039</v>
      </c>
      <c r="BQ84" s="1105">
        <v>30.811384800240319</v>
      </c>
      <c r="BR84" s="1105">
        <v>29.675737909516378</v>
      </c>
      <c r="BS84" s="1106">
        <v>34.140799125955972</v>
      </c>
      <c r="BT84" s="1107">
        <v>32.283599350936711</v>
      </c>
      <c r="BU84" s="1107">
        <v>31.491241440527521</v>
      </c>
      <c r="BV84" s="1107">
        <v>31.055827727212773</v>
      </c>
      <c r="BW84" s="1107">
        <v>36.824956471271037</v>
      </c>
      <c r="BX84" s="1107">
        <v>33.918744971842322</v>
      </c>
      <c r="BY84" s="1107">
        <v>37.815811458571105</v>
      </c>
      <c r="BZ84" s="1107">
        <v>35.523283445675752</v>
      </c>
      <c r="CA84" s="1107">
        <v>35.033512502921255</v>
      </c>
      <c r="CB84" s="1107">
        <v>34.342461160165428</v>
      </c>
      <c r="CC84" s="1107">
        <v>35.41096774193548</v>
      </c>
      <c r="CD84" s="1107">
        <v>37.553599777962809</v>
      </c>
      <c r="CE84" s="1087">
        <v>36.381843952841436</v>
      </c>
      <c r="CF84" s="1088">
        <v>33.908872696099444</v>
      </c>
      <c r="CG84" s="1088">
        <v>37.326508179959099</v>
      </c>
      <c r="CH84" s="1088">
        <v>36.747021817695099</v>
      </c>
      <c r="CI84" s="1088">
        <v>37.232172824045087</v>
      </c>
      <c r="CJ84" s="1088">
        <v>31.589713224195979</v>
      </c>
      <c r="CK84" s="1088">
        <v>34.374282587548642</v>
      </c>
      <c r="CL84" s="1088">
        <v>32.453649289099531</v>
      </c>
      <c r="CM84" s="1088">
        <v>32.05138624861128</v>
      </c>
      <c r="CN84" s="1088">
        <v>35.54496261577949</v>
      </c>
      <c r="CO84" s="1088">
        <v>36.592726614363315</v>
      </c>
      <c r="CP84" s="1088">
        <v>36.990375580623756</v>
      </c>
      <c r="CQ84" s="1108">
        <v>40.043796430931927</v>
      </c>
      <c r="CR84" s="1109">
        <v>39.179537122510879</v>
      </c>
      <c r="CS84" s="1109">
        <v>40.643755835337387</v>
      </c>
      <c r="CT84" s="1109">
        <v>35.4398574969021</v>
      </c>
      <c r="CU84" s="1109">
        <v>32.591982908458874</v>
      </c>
      <c r="CV84" s="1109">
        <v>35.948309513497904</v>
      </c>
      <c r="CW84" s="1109">
        <v>36.93</v>
      </c>
      <c r="CX84" s="1109">
        <v>37.171218628372031</v>
      </c>
      <c r="CY84" s="1109">
        <v>38.594971523822757</v>
      </c>
      <c r="CZ84" s="1109">
        <v>37.489168062534901</v>
      </c>
      <c r="DA84" s="1109">
        <v>38.321239658393381</v>
      </c>
      <c r="DB84" s="1110">
        <v>37.893379806955714</v>
      </c>
      <c r="DC84" s="1091">
        <v>42.128967797584821</v>
      </c>
      <c r="DD84" s="1091">
        <v>42.917214273968099</v>
      </c>
      <c r="DE84" s="1091">
        <v>42.358882315921967</v>
      </c>
      <c r="DF84" s="1091">
        <v>40.846066276246248</v>
      </c>
      <c r="DG84" s="1091">
        <v>41.917109135946376</v>
      </c>
      <c r="DH84" s="1091">
        <v>35.183814328960651</v>
      </c>
      <c r="DI84" s="1091">
        <v>36.572231282431432</v>
      </c>
      <c r="DJ84" s="1091">
        <v>34.122379406307978</v>
      </c>
      <c r="DK84" s="1091">
        <v>31.904326057298775</v>
      </c>
      <c r="DL84" s="1091">
        <v>33.280995062097865</v>
      </c>
      <c r="DM84" s="1091">
        <v>34.871380296799572</v>
      </c>
      <c r="DN84" s="1092">
        <v>40.641705315733141</v>
      </c>
      <c r="DO84" s="1091">
        <v>38.869354900828036</v>
      </c>
      <c r="DP84" s="1091">
        <v>31.265932604735884</v>
      </c>
      <c r="DQ84" s="1091">
        <v>33.729996986590329</v>
      </c>
      <c r="DR84" s="1091">
        <v>33.573355135230685</v>
      </c>
      <c r="DS84" s="1091">
        <v>34.801415420023012</v>
      </c>
      <c r="DT84" s="1091">
        <v>35.964902402402402</v>
      </c>
      <c r="DU84" s="1091">
        <v>34.568674540682416</v>
      </c>
      <c r="DV84" s="1091">
        <v>37.67719483354557</v>
      </c>
      <c r="DW84" s="1091">
        <v>37.278214925373142</v>
      </c>
      <c r="DX84" s="1091">
        <v>40.708322793906298</v>
      </c>
      <c r="DY84" s="1091">
        <v>35.482781255589337</v>
      </c>
      <c r="DZ84" s="1091">
        <v>35.754766639610388</v>
      </c>
      <c r="EA84" s="1099"/>
      <c r="EB84" s="1111">
        <v>19.942136786152158</v>
      </c>
      <c r="EC84" s="1112">
        <v>26.63843414338837</v>
      </c>
      <c r="ED84" s="1112">
        <v>29.060957880332605</v>
      </c>
      <c r="EE84" s="1112">
        <v>26.744342161438031</v>
      </c>
      <c r="EF84" s="1112">
        <v>25.825347432024184</v>
      </c>
      <c r="EG84" s="1112">
        <v>28.815726682358289</v>
      </c>
      <c r="EH84" s="1112">
        <v>34.688011464901756</v>
      </c>
      <c r="EI84" s="1112">
        <v>35.064121906555762</v>
      </c>
      <c r="EJ84" s="1112">
        <f t="shared" si="10"/>
        <v>37.520601415643149</v>
      </c>
      <c r="EK84" s="1113">
        <v>38.086131433273465</v>
      </c>
      <c r="EL84" s="1112">
        <f t="shared" si="11"/>
        <v>35.806242703209797</v>
      </c>
      <c r="EM84" s="1318">
        <v>35.893129883771032</v>
      </c>
    </row>
    <row r="85" spans="1:143">
      <c r="A85" s="998"/>
      <c r="B85" s="1166" t="s">
        <v>719</v>
      </c>
      <c r="C85" s="1171" t="s">
        <v>720</v>
      </c>
      <c r="D85" s="1098">
        <v>12.760456002850017</v>
      </c>
      <c r="E85" s="1099">
        <v>13.307280666931323</v>
      </c>
      <c r="F85" s="1099">
        <v>14.55310668670173</v>
      </c>
      <c r="G85" s="1099">
        <v>12.816423440453686</v>
      </c>
      <c r="H85" s="1099">
        <v>11.329575289575288</v>
      </c>
      <c r="I85" s="1099">
        <v>9.9757070902750886</v>
      </c>
      <c r="J85" s="1100">
        <v>9.9401278170198459</v>
      </c>
      <c r="K85" s="1101">
        <v>10.558316766070243</v>
      </c>
      <c r="L85" s="1102">
        <v>12.587107632093938</v>
      </c>
      <c r="M85" s="1102">
        <v>10.798019662921348</v>
      </c>
      <c r="N85" s="1102">
        <v>11.966239813736903</v>
      </c>
      <c r="O85" s="1102">
        <v>10.500844880027035</v>
      </c>
      <c r="P85" s="1102">
        <v>10.431318681318681</v>
      </c>
      <c r="Q85" s="1102">
        <v>11.068367989918087</v>
      </c>
      <c r="R85" s="1102">
        <v>12.148509174311927</v>
      </c>
      <c r="S85" s="1102">
        <v>10.845065895210544</v>
      </c>
      <c r="T85" s="1102">
        <v>11.75562372188139</v>
      </c>
      <c r="U85" s="1102">
        <v>11.569003955411723</v>
      </c>
      <c r="V85" s="1103">
        <v>11.392795883361922</v>
      </c>
      <c r="W85" s="1098">
        <v>11.746473302570863</v>
      </c>
      <c r="X85" s="1099">
        <v>11.667702828722412</v>
      </c>
      <c r="Y85" s="1099">
        <v>11.633485540334856</v>
      </c>
      <c r="Z85" s="1099">
        <v>10.807329842931937</v>
      </c>
      <c r="AA85" s="1099">
        <v>11.428259286234523</v>
      </c>
      <c r="AB85" s="1099">
        <v>11.256722151088349</v>
      </c>
      <c r="AC85" s="1099">
        <v>11.585253456221198</v>
      </c>
      <c r="AD85" s="1099">
        <v>12.039644607843137</v>
      </c>
      <c r="AE85" s="1099">
        <v>12.118791946308725</v>
      </c>
      <c r="AF85" s="1099">
        <v>11.948104722132992</v>
      </c>
      <c r="AG85" s="1099">
        <v>11.096865203761755</v>
      </c>
      <c r="AH85" s="1100">
        <v>12.576827018121913</v>
      </c>
      <c r="AI85" s="1104">
        <v>12.883247282608695</v>
      </c>
      <c r="AJ85" s="1104">
        <v>12.481027940669197</v>
      </c>
      <c r="AK85" s="1104">
        <v>13.006363347120585</v>
      </c>
      <c r="AL85" s="1104">
        <v>12.665488215488214</v>
      </c>
      <c r="AM85" s="1104">
        <v>12.643562439496614</v>
      </c>
      <c r="AN85" s="1104">
        <v>12.610482044645746</v>
      </c>
      <c r="AO85" s="1104">
        <v>12.536676902081199</v>
      </c>
      <c r="AP85" s="1104">
        <v>12.665035587188614</v>
      </c>
      <c r="AQ85" s="1104">
        <v>12.972513743128436</v>
      </c>
      <c r="AR85" s="1104">
        <v>12.894571556751906</v>
      </c>
      <c r="AS85" s="1104">
        <v>13.043095004897161</v>
      </c>
      <c r="AT85" s="1104">
        <v>13.037981009495249</v>
      </c>
      <c r="AU85" s="1098">
        <v>13.026377767310409</v>
      </c>
      <c r="AV85" s="1099">
        <v>12.936197916666666</v>
      </c>
      <c r="AW85" s="1099">
        <v>12.673803526448363</v>
      </c>
      <c r="AX85" s="1099">
        <v>15.99361022364217</v>
      </c>
      <c r="AY85" s="1099">
        <v>12.97968149368479</v>
      </c>
      <c r="AZ85" s="1099">
        <v>13.233891425672244</v>
      </c>
      <c r="BA85" s="1099">
        <v>13.18025316455696</v>
      </c>
      <c r="BB85" s="1099">
        <v>13.412900188323917</v>
      </c>
      <c r="BC85" s="1099">
        <v>13.25378233284529</v>
      </c>
      <c r="BD85" s="1099">
        <v>12.930388219544847</v>
      </c>
      <c r="BE85" s="1099">
        <v>13.158194774346793</v>
      </c>
      <c r="BF85" s="1099">
        <v>13.101167315175097</v>
      </c>
      <c r="BG85" s="1105">
        <v>13.048748267898384</v>
      </c>
      <c r="BH85" s="1105">
        <v>13.063610851262862</v>
      </c>
      <c r="BI85" s="1105">
        <v>13.081501831501834</v>
      </c>
      <c r="BJ85" s="1105">
        <v>12.777204130262113</v>
      </c>
      <c r="BK85" s="1105">
        <v>12.747542272906017</v>
      </c>
      <c r="BL85" s="1105">
        <v>12.98386429458006</v>
      </c>
      <c r="BM85" s="1105">
        <v>13.022158391464915</v>
      </c>
      <c r="BN85" s="1105">
        <v>13.022501081782782</v>
      </c>
      <c r="BO85" s="1105">
        <v>12.838483724763083</v>
      </c>
      <c r="BP85" s="1105">
        <v>12.848236259228877</v>
      </c>
      <c r="BQ85" s="1105">
        <v>13.756017951856386</v>
      </c>
      <c r="BR85" s="1105">
        <v>13.678462210572302</v>
      </c>
      <c r="BS85" s="1106">
        <v>13.719506624029236</v>
      </c>
      <c r="BT85" s="1107">
        <v>13.753379953379955</v>
      </c>
      <c r="BU85" s="1107">
        <v>13.849929211892402</v>
      </c>
      <c r="BV85" s="1107">
        <v>13.816683831101956</v>
      </c>
      <c r="BW85" s="1107">
        <v>13.54837117472853</v>
      </c>
      <c r="BX85" s="1107">
        <v>13.584435401831129</v>
      </c>
      <c r="BY85" s="1107">
        <v>13.685796269727405</v>
      </c>
      <c r="BZ85" s="1107">
        <v>13.890686274509804</v>
      </c>
      <c r="CA85" s="1107">
        <v>13.857007575757574</v>
      </c>
      <c r="CB85" s="1107">
        <v>13.949071870537837</v>
      </c>
      <c r="CC85" s="1107">
        <v>14.159553831231818</v>
      </c>
      <c r="CD85" s="1107">
        <v>13.724554039874086</v>
      </c>
      <c r="CE85" s="1087">
        <v>13.807</v>
      </c>
      <c r="CF85" s="1088">
        <v>13.845819236346061</v>
      </c>
      <c r="CG85" s="1088">
        <v>13.667604313173934</v>
      </c>
      <c r="CH85" s="1088">
        <v>14.285785785785787</v>
      </c>
      <c r="CI85" s="1088">
        <v>14.088536335721596</v>
      </c>
      <c r="CJ85" s="1088">
        <v>14.068619979402678</v>
      </c>
      <c r="CK85" s="1088">
        <v>14.52987087517934</v>
      </c>
      <c r="CL85" s="1088">
        <v>21.371079691516709</v>
      </c>
      <c r="CM85" s="1088">
        <v>14.796340533672174</v>
      </c>
      <c r="CN85" s="1088">
        <v>14.125578547297303</v>
      </c>
      <c r="CO85" s="1088">
        <v>14.487249406175772</v>
      </c>
      <c r="CP85" s="1088">
        <v>14.371010242085662</v>
      </c>
      <c r="CQ85" s="1108">
        <v>15.135441035474594</v>
      </c>
      <c r="CR85" s="1109">
        <v>15.149701353243119</v>
      </c>
      <c r="CS85" s="1109">
        <v>15.857938053097349</v>
      </c>
      <c r="CT85" s="1109">
        <v>14.6367478180983</v>
      </c>
      <c r="CU85" s="1109">
        <v>16.026502602934215</v>
      </c>
      <c r="CV85" s="1109">
        <v>15.880821231847772</v>
      </c>
      <c r="CW85" s="1109">
        <v>15.54</v>
      </c>
      <c r="CX85" s="1109">
        <v>15.400932400932401</v>
      </c>
      <c r="CY85" s="1109">
        <v>15.600094517958414</v>
      </c>
      <c r="CZ85" s="1109">
        <v>15.720772946859903</v>
      </c>
      <c r="DA85" s="1109">
        <v>19.951028806584361</v>
      </c>
      <c r="DB85" s="1110">
        <v>20.918205804749341</v>
      </c>
      <c r="DC85" s="1091">
        <v>21.24760164458657</v>
      </c>
      <c r="DD85" s="1091">
        <v>21.256744186046511</v>
      </c>
      <c r="DE85" s="1091">
        <v>20.218195836545874</v>
      </c>
      <c r="DF85" s="1091">
        <v>21.817670682730924</v>
      </c>
      <c r="DG85" s="1091">
        <v>17.337622756518794</v>
      </c>
      <c r="DH85" s="1091">
        <v>17.095634920634922</v>
      </c>
      <c r="DI85" s="1091">
        <v>14.179790748898679</v>
      </c>
      <c r="DJ85" s="1091">
        <v>16.210207601405305</v>
      </c>
      <c r="DK85" s="1091">
        <v>15.64997342192691</v>
      </c>
      <c r="DL85" s="1091">
        <v>15.564185613119642</v>
      </c>
      <c r="DM85" s="1091">
        <v>15.582753303964758</v>
      </c>
      <c r="DN85" s="1092">
        <v>19.175045153521975</v>
      </c>
      <c r="DO85" s="1091">
        <v>14.878201124297314</v>
      </c>
      <c r="DP85" s="1091">
        <v>14.869658119658119</v>
      </c>
      <c r="DQ85" s="1091">
        <v>14.863543788187373</v>
      </c>
      <c r="DR85" s="1091">
        <v>14.642696629213484</v>
      </c>
      <c r="DS85" s="1091">
        <v>15.099653979238754</v>
      </c>
      <c r="DT85" s="1091">
        <v>15.152866242038217</v>
      </c>
      <c r="DU85" s="1091">
        <v>15.309432314410481</v>
      </c>
      <c r="DV85" s="1091">
        <v>15.171466845277964</v>
      </c>
      <c r="DW85" s="1091">
        <v>15.135834411384216</v>
      </c>
      <c r="DX85" s="1091">
        <v>15.21982210927573</v>
      </c>
      <c r="DY85" s="1091">
        <v>15.168089297439264</v>
      </c>
      <c r="DZ85" s="1091">
        <v>15.218434343434344</v>
      </c>
      <c r="EA85" s="1099"/>
      <c r="EB85" s="1111">
        <v>12.06914576343399</v>
      </c>
      <c r="EC85" s="1112">
        <v>11.280116174654854</v>
      </c>
      <c r="ED85" s="1112">
        <v>11.662433221701281</v>
      </c>
      <c r="EE85" s="1112">
        <v>12.766842205202861</v>
      </c>
      <c r="EF85" s="1112">
        <v>13.290358301036147</v>
      </c>
      <c r="EG85" s="1112">
        <v>13.068067660145486</v>
      </c>
      <c r="EH85" s="1112">
        <v>13.796186080408107</v>
      </c>
      <c r="EI85" s="1112">
        <v>14.853838371956236</v>
      </c>
      <c r="EJ85" s="1112">
        <f t="shared" si="10"/>
        <v>16.318182214314984</v>
      </c>
      <c r="EK85" s="1113">
        <v>17.681633930175458</v>
      </c>
      <c r="EL85" s="1112">
        <f t="shared" si="11"/>
        <v>15.060808266987939</v>
      </c>
      <c r="EM85" s="1318">
        <v>15.116717533490673</v>
      </c>
    </row>
    <row r="86" spans="1:143">
      <c r="A86" s="998"/>
      <c r="B86" s="1163" t="s">
        <v>728</v>
      </c>
      <c r="C86" s="1164"/>
      <c r="D86" s="1120">
        <v>16.503053596317102</v>
      </c>
      <c r="E86" s="1121">
        <v>17.887368507202094</v>
      </c>
      <c r="F86" s="1121">
        <v>14.844819673589186</v>
      </c>
      <c r="G86" s="1121">
        <v>16.48463787136857</v>
      </c>
      <c r="H86" s="1121">
        <v>16.934588907100935</v>
      </c>
      <c r="I86" s="1121">
        <v>16.55610495907559</v>
      </c>
      <c r="J86" s="1122">
        <v>17.284830359386781</v>
      </c>
      <c r="K86" s="1123">
        <v>18.59857191152323</v>
      </c>
      <c r="L86" s="1124">
        <v>18.605147282113567</v>
      </c>
      <c r="M86" s="1124">
        <v>16.514681569343065</v>
      </c>
      <c r="N86" s="1124">
        <v>16.937954493219962</v>
      </c>
      <c r="O86" s="1124">
        <v>18.827039813502765</v>
      </c>
      <c r="P86" s="1124">
        <v>16.61779438832772</v>
      </c>
      <c r="Q86" s="1124">
        <v>17.991263338332971</v>
      </c>
      <c r="R86" s="1124">
        <v>18.37521824633405</v>
      </c>
      <c r="S86" s="1124">
        <v>19.201465971092183</v>
      </c>
      <c r="T86" s="1124">
        <v>19.857018185363948</v>
      </c>
      <c r="U86" s="1124">
        <v>18.563722437300118</v>
      </c>
      <c r="V86" s="1125">
        <v>20.036206178578347</v>
      </c>
      <c r="W86" s="1120">
        <v>18.524224072672219</v>
      </c>
      <c r="X86" s="1121">
        <v>19.296633057436647</v>
      </c>
      <c r="Y86" s="1121">
        <v>19.890283985733003</v>
      </c>
      <c r="Z86" s="1121">
        <v>19.252039169501874</v>
      </c>
      <c r="AA86" s="1121">
        <v>19.455093112244899</v>
      </c>
      <c r="AB86" s="1121">
        <v>18.211947974667407</v>
      </c>
      <c r="AC86" s="1121">
        <v>18.573978837182839</v>
      </c>
      <c r="AD86" s="1121">
        <v>19.136274853118561</v>
      </c>
      <c r="AE86" s="1121">
        <v>19.243881932021473</v>
      </c>
      <c r="AF86" s="1121">
        <v>18.463602406618197</v>
      </c>
      <c r="AG86" s="1121">
        <v>18.871866250699938</v>
      </c>
      <c r="AH86" s="1122">
        <v>19.088402343405868</v>
      </c>
      <c r="AI86" s="1126">
        <v>19.07036085426725</v>
      </c>
      <c r="AJ86" s="1126">
        <v>18.759991372264093</v>
      </c>
      <c r="AK86" s="1126">
        <v>18.699757254464277</v>
      </c>
      <c r="AL86" s="1126">
        <v>19.185430766416673</v>
      </c>
      <c r="AM86" s="1126">
        <v>19.027831102130172</v>
      </c>
      <c r="AN86" s="1126">
        <v>19.41535182173779</v>
      </c>
      <c r="AO86" s="1126">
        <v>19.877017795525916</v>
      </c>
      <c r="AP86" s="1126">
        <v>19.878862706992173</v>
      </c>
      <c r="AQ86" s="1126">
        <v>20.374260041291301</v>
      </c>
      <c r="AR86" s="1126">
        <v>19.907633023255812</v>
      </c>
      <c r="AS86" s="1126">
        <v>19.906287130924206</v>
      </c>
      <c r="AT86" s="1126">
        <v>20.481775545086929</v>
      </c>
      <c r="AU86" s="1120">
        <v>20.576190678145814</v>
      </c>
      <c r="AV86" s="1121">
        <v>19.78816920647116</v>
      </c>
      <c r="AW86" s="1121">
        <v>19.035093808630389</v>
      </c>
      <c r="AX86" s="1121">
        <v>19.203278241536964</v>
      </c>
      <c r="AY86" s="1121">
        <v>21.115955135675037</v>
      </c>
      <c r="AZ86" s="1121">
        <v>20.205115271277517</v>
      </c>
      <c r="BA86" s="1121">
        <v>20.780756002186429</v>
      </c>
      <c r="BB86" s="1121">
        <v>20.10111381845212</v>
      </c>
      <c r="BC86" s="1121">
        <v>19.591108296118172</v>
      </c>
      <c r="BD86" s="1121">
        <v>19.26922473867597</v>
      </c>
      <c r="BE86" s="1121">
        <v>19.373558808016877</v>
      </c>
      <c r="BF86" s="1121">
        <v>19.635488521089147</v>
      </c>
      <c r="BG86" s="1127">
        <v>19.558390402075226</v>
      </c>
      <c r="BH86" s="1127">
        <v>20.2036985001807</v>
      </c>
      <c r="BI86" s="1127">
        <v>19.089524494421198</v>
      </c>
      <c r="BJ86" s="1127">
        <v>19.815904608932325</v>
      </c>
      <c r="BK86" s="1127">
        <v>19.23540673788003</v>
      </c>
      <c r="BL86" s="1127">
        <v>19.987525576771738</v>
      </c>
      <c r="BM86" s="1127">
        <v>21.420860935367816</v>
      </c>
      <c r="BN86" s="1127">
        <v>21.906470114455274</v>
      </c>
      <c r="BO86" s="1127">
        <v>20.975490432684037</v>
      </c>
      <c r="BP86" s="1127">
        <v>21.279173566691519</v>
      </c>
      <c r="BQ86" s="1127">
        <v>21.482979109184079</v>
      </c>
      <c r="BR86" s="1127">
        <v>21.587334509112292</v>
      </c>
      <c r="BS86" s="1128">
        <v>23.172753792298721</v>
      </c>
      <c r="BT86" s="1129">
        <v>22.873522299132571</v>
      </c>
      <c r="BU86" s="1129">
        <v>23.160712894429299</v>
      </c>
      <c r="BV86" s="1129">
        <v>23.084810245516557</v>
      </c>
      <c r="BW86" s="1129">
        <v>24.944565896082665</v>
      </c>
      <c r="BX86" s="1129">
        <v>24.351881802310462</v>
      </c>
      <c r="BY86" s="1129">
        <v>26.542717968422529</v>
      </c>
      <c r="BZ86" s="1129">
        <v>25.358131362181219</v>
      </c>
      <c r="CA86" s="1129">
        <v>25.417599653379547</v>
      </c>
      <c r="CB86" s="1129">
        <v>26.368949943545353</v>
      </c>
      <c r="CC86" s="1129">
        <v>24.737891628638263</v>
      </c>
      <c r="CD86" s="1129">
        <v>25.50156407227546</v>
      </c>
      <c r="CE86" s="1066">
        <v>24.977685408902907</v>
      </c>
      <c r="CF86" s="1067">
        <v>24.439318691750067</v>
      </c>
      <c r="CG86" s="1067">
        <v>25.776061776061781</v>
      </c>
      <c r="CH86" s="1067">
        <v>25.005250264571004</v>
      </c>
      <c r="CI86" s="1067">
        <v>26.018213040722532</v>
      </c>
      <c r="CJ86" s="1067">
        <v>24.393467655147674</v>
      </c>
      <c r="CK86" s="1067">
        <v>25.042202305231097</v>
      </c>
      <c r="CL86" s="1067">
        <v>25.833980719492111</v>
      </c>
      <c r="CM86" s="1067">
        <v>24.425810795603748</v>
      </c>
      <c r="CN86" s="1067">
        <v>25.892359107383978</v>
      </c>
      <c r="CO86" s="1067">
        <v>27.256322035790031</v>
      </c>
      <c r="CP86" s="1067">
        <v>27.675530312384254</v>
      </c>
      <c r="CQ86" s="1130">
        <v>30.325119948991784</v>
      </c>
      <c r="CR86" s="1131">
        <v>30.021281302349564</v>
      </c>
      <c r="CS86" s="1131">
        <v>29.388972436948546</v>
      </c>
      <c r="CT86" s="1131">
        <v>30.678604507710578</v>
      </c>
      <c r="CU86" s="1131">
        <v>28.26653212772462</v>
      </c>
      <c r="CV86" s="1131">
        <v>29.029856368683081</v>
      </c>
      <c r="CW86" s="1131">
        <v>29.41</v>
      </c>
      <c r="CX86" s="1131">
        <v>29.218240248589417</v>
      </c>
      <c r="CY86" s="1131">
        <v>29.972333939761469</v>
      </c>
      <c r="CZ86" s="1131">
        <v>33.231304483552506</v>
      </c>
      <c r="DA86" s="1131">
        <v>30.858015870073039</v>
      </c>
      <c r="DB86" s="1132">
        <v>30.009258177096015</v>
      </c>
      <c r="DC86" s="1071">
        <v>32.206025609149677</v>
      </c>
      <c r="DD86" s="1071">
        <v>31.448877666603742</v>
      </c>
      <c r="DE86" s="1071">
        <v>31.74823930657622</v>
      </c>
      <c r="DF86" s="1071">
        <v>29.973099897013388</v>
      </c>
      <c r="DG86" s="1071">
        <v>30.970817939824151</v>
      </c>
      <c r="DH86" s="1071">
        <v>31.193080619327276</v>
      </c>
      <c r="DI86" s="1071">
        <v>29.536045952782459</v>
      </c>
      <c r="DJ86" s="1071">
        <v>28.592900823753901</v>
      </c>
      <c r="DK86" s="1071">
        <v>25.856757706303064</v>
      </c>
      <c r="DL86" s="1071">
        <v>27.463579310061949</v>
      </c>
      <c r="DM86" s="1071">
        <v>28.267501105509862</v>
      </c>
      <c r="DN86" s="1072">
        <v>30.205370404327493</v>
      </c>
      <c r="DO86" s="1071">
        <v>29.143818268233662</v>
      </c>
      <c r="DP86" s="1071">
        <v>28.574189259522118</v>
      </c>
      <c r="DQ86" s="1071">
        <v>29.07471611448986</v>
      </c>
      <c r="DR86" s="1071">
        <v>29.359257704515205</v>
      </c>
      <c r="DS86" s="1071">
        <v>27.901933002993704</v>
      </c>
      <c r="DT86" s="1071">
        <v>29.785882238442827</v>
      </c>
      <c r="DU86" s="1071">
        <v>28.097399934613051</v>
      </c>
      <c r="DV86" s="1071">
        <v>30.495817130601019</v>
      </c>
      <c r="DW86" s="1071">
        <v>28.72605286151158</v>
      </c>
      <c r="DX86" s="1071">
        <v>32.501984625378945</v>
      </c>
      <c r="DY86" s="1071">
        <v>28.960498127340831</v>
      </c>
      <c r="DZ86" s="1071">
        <v>28.537690602632189</v>
      </c>
      <c r="EA86" s="1121"/>
      <c r="EB86" s="1133">
        <v>16.792212835223399</v>
      </c>
      <c r="EC86" s="1134">
        <v>18.318993743242935</v>
      </c>
      <c r="ED86" s="1134">
        <v>18.992010550809059</v>
      </c>
      <c r="EE86" s="1134">
        <v>19.543735233633139</v>
      </c>
      <c r="EF86" s="1134">
        <v>19.886163350331493</v>
      </c>
      <c r="EG86" s="1134">
        <v>20.574926165884797</v>
      </c>
      <c r="EH86" s="1134">
        <v>24.679202549204089</v>
      </c>
      <c r="EI86" s="1134">
        <v>25.57102482816024</v>
      </c>
      <c r="EJ86" s="1134">
        <f t="shared" si="10"/>
        <v>30.034126617623382</v>
      </c>
      <c r="EK86" s="1135">
        <v>29.809169797596006</v>
      </c>
      <c r="EL86" s="1134">
        <f t="shared" si="11"/>
        <v>29.263269989189585</v>
      </c>
      <c r="EM86" s="1319">
        <v>29.566671308973152</v>
      </c>
    </row>
    <row r="87" spans="1:143">
      <c r="A87" s="998"/>
      <c r="B87" s="1172"/>
      <c r="C87" s="1173"/>
      <c r="D87" s="1099"/>
      <c r="E87" s="1099"/>
      <c r="F87" s="1099"/>
      <c r="G87" s="1099"/>
      <c r="H87" s="1099"/>
      <c r="I87" s="1099"/>
      <c r="J87" s="1099"/>
      <c r="K87" s="1099"/>
      <c r="L87" s="1099"/>
      <c r="M87" s="1099"/>
      <c r="N87" s="1099"/>
      <c r="O87" s="1099"/>
      <c r="P87" s="1099"/>
      <c r="Q87" s="1099"/>
      <c r="R87" s="1099"/>
      <c r="S87" s="1099"/>
      <c r="T87" s="1099"/>
      <c r="U87" s="1099"/>
      <c r="V87" s="1099"/>
      <c r="W87" s="1099"/>
      <c r="X87" s="1099"/>
      <c r="Y87" s="1099"/>
      <c r="Z87" s="1099"/>
      <c r="AA87" s="1099"/>
      <c r="AB87" s="1099"/>
      <c r="AC87" s="1099"/>
      <c r="AD87" s="1099"/>
      <c r="AE87" s="1099"/>
      <c r="AF87" s="1099"/>
      <c r="AG87" s="1099"/>
      <c r="AH87" s="1099"/>
      <c r="AI87" s="1099"/>
      <c r="AJ87" s="1099"/>
      <c r="AK87" s="1099"/>
      <c r="AL87" s="1099"/>
      <c r="AM87" s="1099"/>
      <c r="AN87" s="1099"/>
      <c r="AO87" s="1099"/>
      <c r="AP87" s="1099"/>
      <c r="AQ87" s="1099"/>
      <c r="AR87" s="1099"/>
      <c r="AS87" s="1099"/>
      <c r="AT87" s="1099"/>
      <c r="AU87" s="1099"/>
      <c r="AV87" s="1099"/>
      <c r="AW87" s="1099"/>
      <c r="AX87" s="1099"/>
      <c r="AY87" s="1099"/>
      <c r="AZ87" s="1099"/>
      <c r="BA87" s="1099"/>
      <c r="BB87" s="1099"/>
      <c r="BC87" s="1099"/>
      <c r="BD87" s="1099"/>
      <c r="BE87" s="1099"/>
      <c r="BF87" s="1099"/>
      <c r="BG87" s="1099"/>
      <c r="BH87" s="1099"/>
      <c r="BI87" s="1099"/>
      <c r="BJ87" s="1099"/>
      <c r="BK87" s="1099"/>
      <c r="BL87" s="1099"/>
      <c r="BM87" s="1099"/>
      <c r="BN87" s="1099"/>
      <c r="BO87" s="1099"/>
      <c r="BP87" s="1099"/>
      <c r="BQ87" s="1099"/>
      <c r="BR87" s="1099"/>
      <c r="BS87" s="1099"/>
      <c r="BT87" s="1099"/>
      <c r="BU87" s="1099"/>
      <c r="BV87" s="1099"/>
      <c r="BW87" s="1099"/>
      <c r="BX87" s="1099"/>
      <c r="BY87" s="1099"/>
      <c r="BZ87" s="1099"/>
      <c r="CA87" s="1099"/>
      <c r="CB87" s="1099"/>
      <c r="CC87" s="1099"/>
      <c r="CD87" s="1099"/>
      <c r="CE87" s="1099"/>
      <c r="CF87" s="1099"/>
      <c r="CG87" s="1099"/>
      <c r="CH87" s="1099"/>
      <c r="CI87" s="1099"/>
      <c r="CJ87" s="1099"/>
      <c r="CK87" s="1099"/>
      <c r="CL87" s="1099"/>
      <c r="CM87" s="1099"/>
      <c r="CN87" s="1099"/>
      <c r="CO87" s="1099"/>
      <c r="CP87" s="1099"/>
      <c r="CQ87" s="1099"/>
      <c r="CR87" s="1099"/>
      <c r="CS87" s="1099"/>
      <c r="CT87" s="1099"/>
      <c r="CU87" s="1099"/>
      <c r="CV87" s="1099"/>
      <c r="CW87" s="1099"/>
      <c r="CX87" s="1099"/>
      <c r="CY87" s="1099"/>
      <c r="CZ87" s="1099"/>
      <c r="DA87" s="1099"/>
      <c r="DB87" s="1099"/>
      <c r="DC87" s="1099"/>
      <c r="DD87" s="1099"/>
      <c r="DE87" s="1099"/>
      <c r="DF87" s="1099"/>
      <c r="DG87" s="1099"/>
      <c r="DH87" s="1099"/>
      <c r="DI87" s="1099"/>
      <c r="DJ87" s="1099"/>
      <c r="DK87" s="1099"/>
      <c r="DL87" s="1099"/>
      <c r="DM87" s="1099"/>
      <c r="DN87" s="1099"/>
      <c r="DO87" s="1099"/>
      <c r="DP87" s="1099"/>
      <c r="DQ87" s="1099"/>
      <c r="DR87" s="1099"/>
      <c r="DS87" s="1099"/>
      <c r="DT87" s="1099"/>
      <c r="DU87" s="1099"/>
      <c r="DV87" s="1099"/>
      <c r="DW87" s="1099"/>
      <c r="DX87" s="1099"/>
      <c r="DY87" s="1099"/>
      <c r="DZ87" s="1099"/>
      <c r="EA87" s="1099"/>
      <c r="EB87" s="1174"/>
      <c r="EC87" s="1174"/>
      <c r="ED87" s="1174"/>
      <c r="EE87" s="1174"/>
      <c r="EF87" s="1174"/>
      <c r="EG87" s="1174"/>
      <c r="EH87" s="1174"/>
      <c r="EI87" s="1174"/>
      <c r="EJ87" s="1174"/>
      <c r="EK87" s="1099"/>
      <c r="EL87" s="1099"/>
      <c r="EM87" s="1324"/>
    </row>
    <row r="88" spans="1:143">
      <c r="A88" s="998"/>
      <c r="B88" s="1136"/>
      <c r="C88" s="1136"/>
      <c r="D88" s="1136"/>
      <c r="E88" s="1136"/>
      <c r="F88" s="1136"/>
      <c r="G88" s="1136"/>
      <c r="H88" s="1136"/>
      <c r="I88" s="1136"/>
      <c r="J88" s="1136"/>
      <c r="K88" s="1136"/>
      <c r="L88" s="1136"/>
      <c r="M88" s="1136"/>
      <c r="N88" s="1136"/>
      <c r="O88" s="1136"/>
      <c r="P88" s="1136"/>
      <c r="Q88" s="1136"/>
      <c r="R88" s="1136"/>
      <c r="S88" s="1136"/>
      <c r="T88" s="1136"/>
      <c r="U88" s="1136"/>
      <c r="V88" s="1136"/>
      <c r="W88" s="1136"/>
      <c r="X88" s="1136"/>
      <c r="Y88" s="1136"/>
      <c r="Z88" s="1136"/>
      <c r="AA88" s="1136"/>
      <c r="AB88" s="1136"/>
      <c r="AC88" s="1136"/>
      <c r="AD88" s="1136"/>
      <c r="AE88" s="1136"/>
      <c r="AF88" s="1136"/>
      <c r="AG88" s="1136"/>
      <c r="AH88" s="1136"/>
      <c r="AI88" s="1136"/>
      <c r="AJ88" s="1136"/>
      <c r="AK88" s="1136"/>
      <c r="AL88" s="1136"/>
      <c r="AM88" s="1136"/>
      <c r="AN88" s="1136"/>
      <c r="AO88" s="1136"/>
      <c r="AP88" s="1136"/>
      <c r="AQ88" s="1136"/>
      <c r="AR88" s="1136"/>
      <c r="AS88" s="1136"/>
      <c r="AT88" s="1136"/>
      <c r="AU88" s="1136"/>
      <c r="AV88" s="1136"/>
      <c r="AW88" s="1136"/>
      <c r="AX88" s="1136"/>
      <c r="AY88" s="1136"/>
      <c r="AZ88" s="1136"/>
      <c r="BA88" s="1136"/>
      <c r="BB88" s="1136"/>
      <c r="BC88" s="1136"/>
      <c r="BD88" s="1136"/>
      <c r="BE88" s="1136"/>
      <c r="BF88" s="1136"/>
      <c r="BG88" s="1136"/>
      <c r="BH88" s="1136"/>
      <c r="BI88" s="1136"/>
      <c r="BJ88" s="1136"/>
      <c r="BK88" s="1136"/>
      <c r="BL88" s="1136"/>
      <c r="BM88" s="1136"/>
      <c r="BN88" s="1136"/>
      <c r="BO88" s="1136"/>
      <c r="BP88" s="1136"/>
      <c r="BQ88" s="1136"/>
      <c r="BR88" s="1136"/>
      <c r="BS88" s="1136"/>
      <c r="BT88" s="1136"/>
      <c r="BU88" s="1136"/>
      <c r="BV88" s="1136"/>
      <c r="BW88" s="1136"/>
      <c r="BX88" s="1136"/>
      <c r="BY88" s="1136"/>
      <c r="BZ88" s="1136"/>
      <c r="CA88" s="1136"/>
      <c r="CB88" s="1136"/>
      <c r="CC88" s="1136"/>
      <c r="CD88" s="1136"/>
      <c r="CE88" s="1136"/>
      <c r="CF88" s="1136"/>
      <c r="CG88" s="1136"/>
      <c r="CH88" s="1136"/>
      <c r="CI88" s="1136"/>
      <c r="CJ88" s="1136"/>
      <c r="CK88" s="1136"/>
      <c r="CL88" s="1136"/>
      <c r="CM88" s="1136"/>
      <c r="CN88" s="1136"/>
      <c r="CO88" s="1136"/>
      <c r="CP88" s="1136"/>
      <c r="CQ88" s="1136"/>
      <c r="CR88" s="1136"/>
      <c r="CS88" s="1136"/>
      <c r="CT88" s="1136"/>
      <c r="CU88" s="1136"/>
      <c r="CV88" s="1136"/>
      <c r="CW88" s="1136"/>
      <c r="CX88" s="1136"/>
      <c r="CY88" s="1136"/>
      <c r="CZ88" s="1136"/>
      <c r="DA88" s="1136"/>
      <c r="DB88" s="1136"/>
      <c r="DC88" s="1136"/>
      <c r="DD88" s="1136"/>
      <c r="DE88" s="1136"/>
      <c r="DF88" s="1136"/>
      <c r="DG88" s="1136"/>
      <c r="DH88" s="1136"/>
      <c r="DI88" s="1136"/>
      <c r="DJ88" s="1136"/>
      <c r="DK88" s="1136"/>
      <c r="DL88" s="1136"/>
      <c r="DM88" s="1136"/>
      <c r="DN88" s="1136"/>
      <c r="DO88" s="1136"/>
      <c r="DP88" s="1136"/>
      <c r="DQ88" s="1136"/>
      <c r="DR88" s="1136"/>
      <c r="DS88" s="1136"/>
      <c r="DT88" s="1136"/>
      <c r="DU88" s="1136"/>
      <c r="DV88" s="1136"/>
      <c r="DW88" s="1136"/>
      <c r="DX88" s="1136"/>
      <c r="DY88" s="1136"/>
      <c r="DZ88" s="1136"/>
      <c r="EA88" s="1136"/>
      <c r="EB88" s="1136"/>
      <c r="EC88" s="1136"/>
      <c r="ED88" s="1136"/>
      <c r="EE88" s="1136"/>
      <c r="EF88" s="1136"/>
      <c r="EG88" s="1136"/>
      <c r="EH88" s="1136"/>
      <c r="EI88" s="1136"/>
      <c r="EJ88" s="1136"/>
      <c r="EK88" s="1137"/>
      <c r="EL88" s="1137"/>
      <c r="EM88" s="1325"/>
    </row>
    <row r="89" spans="1:143" s="1012" customFormat="1" ht="30">
      <c r="A89" s="998"/>
      <c r="B89" s="1006" t="s">
        <v>721</v>
      </c>
      <c r="C89" s="1007"/>
      <c r="D89" s="1008"/>
      <c r="E89" s="1008"/>
      <c r="F89" s="1008"/>
      <c r="G89" s="1008"/>
      <c r="H89" s="1008"/>
      <c r="I89" s="1009"/>
      <c r="J89" s="1009"/>
      <c r="K89" s="1009"/>
      <c r="L89" s="1009"/>
      <c r="M89" s="1009"/>
      <c r="N89" s="1009"/>
      <c r="O89" s="1009"/>
      <c r="P89" s="1009"/>
      <c r="Q89" s="1009"/>
      <c r="R89" s="1009"/>
      <c r="S89" s="1009"/>
      <c r="T89" s="1009"/>
      <c r="U89" s="1009"/>
      <c r="V89" s="1009"/>
      <c r="W89" s="1010"/>
      <c r="X89" s="1010"/>
      <c r="Y89" s="1010"/>
      <c r="Z89" s="1010"/>
      <c r="AA89" s="1010"/>
      <c r="AB89" s="1010"/>
      <c r="AC89" s="1010"/>
      <c r="AD89" s="1010"/>
      <c r="AE89" s="1010"/>
      <c r="AF89" s="1010"/>
      <c r="AG89" s="1010"/>
      <c r="AH89" s="1010"/>
      <c r="AI89" s="1010"/>
      <c r="AJ89" s="1010"/>
      <c r="AK89" s="1010"/>
      <c r="AL89" s="1010"/>
      <c r="AM89" s="1010"/>
      <c r="AN89" s="1010"/>
      <c r="AO89" s="1010"/>
      <c r="AP89" s="1010"/>
      <c r="AQ89" s="1010"/>
      <c r="AR89" s="1010"/>
      <c r="AS89" s="1010"/>
      <c r="AT89" s="1010"/>
      <c r="AU89" s="1010"/>
      <c r="AV89" s="1010"/>
      <c r="AW89" s="1010"/>
      <c r="AX89" s="1010"/>
      <c r="AY89" s="1010"/>
      <c r="AZ89" s="1010"/>
      <c r="BA89" s="1010"/>
      <c r="BB89" s="1010"/>
      <c r="BC89" s="1010"/>
      <c r="BD89" s="1010"/>
      <c r="BE89" s="1010"/>
      <c r="BF89" s="1010"/>
      <c r="BG89" s="1010"/>
      <c r="BH89" s="1010"/>
      <c r="BI89" s="1010"/>
      <c r="BJ89" s="1010"/>
      <c r="BK89" s="1010"/>
      <c r="BL89" s="1010"/>
      <c r="BM89" s="1010"/>
      <c r="BN89" s="1010"/>
      <c r="BO89" s="1010"/>
      <c r="BP89" s="1010"/>
      <c r="BQ89" s="1010"/>
      <c r="BR89" s="1010"/>
      <c r="BS89" s="1010"/>
      <c r="BT89" s="1010"/>
      <c r="BU89" s="1010"/>
      <c r="BV89" s="1010"/>
      <c r="BW89" s="1010"/>
      <c r="BX89" s="1010"/>
      <c r="BY89" s="1010"/>
      <c r="BZ89" s="1010"/>
      <c r="CA89" s="1010"/>
      <c r="CB89" s="1010"/>
      <c r="CC89" s="1010"/>
      <c r="CD89" s="1010"/>
      <c r="CE89" s="1010"/>
      <c r="CF89" s="1010"/>
      <c r="CG89" s="1010"/>
      <c r="CH89" s="1010"/>
      <c r="CI89" s="1010"/>
      <c r="CJ89" s="1010"/>
      <c r="CK89" s="1010"/>
      <c r="CL89" s="1010"/>
      <c r="CM89" s="1010"/>
      <c r="CN89" s="1010"/>
      <c r="CO89" s="1010"/>
      <c r="CP89" s="1010"/>
      <c r="CQ89" s="1010"/>
      <c r="CR89" s="1010"/>
      <c r="CS89" s="1010"/>
      <c r="CT89" s="1010"/>
      <c r="CU89" s="1010"/>
      <c r="CV89" s="1010"/>
      <c r="CW89" s="1010"/>
      <c r="CX89" s="1010"/>
      <c r="CY89" s="1010"/>
      <c r="CZ89" s="1010"/>
      <c r="DA89" s="1010"/>
      <c r="DB89" s="1010"/>
      <c r="DC89" s="1010"/>
      <c r="DD89" s="1010"/>
      <c r="DE89" s="1010"/>
      <c r="DF89" s="1010"/>
      <c r="DG89" s="1010"/>
      <c r="DH89" s="1010"/>
      <c r="DI89" s="1010"/>
      <c r="DJ89" s="1010"/>
      <c r="DK89" s="1010"/>
      <c r="DL89" s="1010"/>
      <c r="DM89" s="1010"/>
      <c r="DN89" s="1010"/>
      <c r="DO89" s="1010"/>
      <c r="DP89" s="1010"/>
      <c r="DQ89" s="1010"/>
      <c r="DR89" s="1010"/>
      <c r="DS89" s="1010"/>
      <c r="DT89" s="1010"/>
      <c r="DU89" s="1010"/>
      <c r="DV89" s="1010"/>
      <c r="DW89" s="1010"/>
      <c r="DX89" s="1010"/>
      <c r="DY89" s="1010"/>
      <c r="DZ89" s="1010"/>
      <c r="EA89" s="1010"/>
      <c r="EB89" s="1011"/>
      <c r="EC89" s="1011"/>
      <c r="ED89" s="1011"/>
      <c r="EE89" s="1011"/>
      <c r="EF89" s="1011"/>
      <c r="EG89" s="1011"/>
      <c r="EH89" s="1011"/>
      <c r="EI89" s="1011"/>
      <c r="EJ89" s="1011"/>
      <c r="EK89" s="1011"/>
      <c r="EL89" s="1011"/>
      <c r="EM89" s="1321"/>
    </row>
    <row r="90" spans="1:143" ht="30">
      <c r="A90" s="1013"/>
      <c r="B90" s="1014" t="s">
        <v>729</v>
      </c>
      <c r="C90" s="1015"/>
      <c r="D90" s="1138"/>
      <c r="E90" s="1138"/>
      <c r="F90" s="1138"/>
      <c r="G90" s="1139" t="s">
        <v>723</v>
      </c>
      <c r="H90" s="1139"/>
      <c r="I90" s="1139"/>
      <c r="J90" s="1139"/>
      <c r="K90" s="1139"/>
      <c r="L90" s="1140"/>
      <c r="M90" s="1140"/>
      <c r="N90" s="1140"/>
      <c r="O90" s="1140"/>
      <c r="P90" s="1140"/>
      <c r="Q90" s="1140"/>
      <c r="R90" s="1140"/>
      <c r="S90" s="1140"/>
      <c r="T90" s="1140"/>
      <c r="U90" s="1140"/>
      <c r="V90" s="1140"/>
      <c r="W90" s="1140"/>
      <c r="X90" s="1140"/>
      <c r="Y90" s="1140"/>
      <c r="Z90" s="1140"/>
      <c r="AA90" s="1140"/>
      <c r="AB90" s="1140"/>
      <c r="AC90" s="1140"/>
      <c r="AD90" s="1140"/>
      <c r="AE90" s="1140"/>
      <c r="AF90" s="1140"/>
      <c r="AG90" s="1141"/>
      <c r="AH90" s="1141"/>
      <c r="AI90" s="1141"/>
      <c r="AJ90" s="1141"/>
      <c r="AK90" s="1141"/>
      <c r="AL90" s="1141"/>
      <c r="AM90" s="1141"/>
      <c r="AN90" s="1141"/>
      <c r="AO90" s="1141"/>
      <c r="AP90" s="1141"/>
      <c r="AQ90" s="1141"/>
      <c r="AR90" s="1141"/>
      <c r="AS90" s="1141"/>
      <c r="AT90" s="1141"/>
      <c r="AU90" s="1140"/>
      <c r="AV90" s="1140"/>
      <c r="AW90" s="1140"/>
      <c r="AX90" s="1140"/>
      <c r="AY90" s="1140"/>
      <c r="AZ90" s="1140"/>
      <c r="BA90" s="1140"/>
      <c r="BB90" s="1140"/>
      <c r="BC90" s="1140"/>
      <c r="BD90" s="1140"/>
      <c r="BE90" s="1140"/>
      <c r="BF90" s="1140"/>
      <c r="BG90" s="1140"/>
      <c r="BH90" s="1140"/>
      <c r="BI90" s="1140"/>
      <c r="BJ90" s="1140"/>
      <c r="BK90" s="1140"/>
      <c r="BL90" s="1140"/>
      <c r="BM90" s="1140"/>
      <c r="BN90" s="1140"/>
      <c r="BO90" s="1140"/>
      <c r="BP90" s="1140"/>
      <c r="BQ90" s="1140"/>
      <c r="BR90" s="1140"/>
      <c r="BS90" s="1140"/>
      <c r="BT90" s="1140"/>
      <c r="BU90" s="1140"/>
      <c r="BV90" s="1139" t="s">
        <v>730</v>
      </c>
      <c r="BW90" s="1140"/>
      <c r="BX90" s="1140"/>
      <c r="BY90" s="1140"/>
      <c r="BZ90" s="1140"/>
      <c r="CA90" s="1140"/>
      <c r="CB90" s="1140"/>
      <c r="CC90" s="1140"/>
      <c r="CD90" s="1140"/>
      <c r="CE90" s="1140"/>
      <c r="CF90" s="1140"/>
      <c r="CG90" s="1140"/>
      <c r="CH90" s="1140"/>
      <c r="CI90" s="1140"/>
      <c r="CJ90" s="1140"/>
      <c r="CK90" s="1140"/>
      <c r="CL90" s="1140"/>
      <c r="CM90" s="1140"/>
      <c r="CN90" s="1140"/>
      <c r="CO90" s="1140"/>
      <c r="CP90" s="1140"/>
      <c r="CQ90" s="1140"/>
      <c r="CR90" s="1140"/>
      <c r="CS90" s="1140"/>
      <c r="CT90" s="1140"/>
      <c r="CU90" s="1140"/>
      <c r="CV90" s="1140"/>
      <c r="CW90" s="1140"/>
      <c r="CX90" s="1140"/>
      <c r="CY90" s="1140"/>
      <c r="CZ90" s="1140"/>
      <c r="DA90" s="1140"/>
      <c r="DB90" s="1140"/>
      <c r="DC90" s="1140"/>
      <c r="DD90" s="1140"/>
      <c r="DE90" s="1140"/>
      <c r="DF90" s="1140"/>
      <c r="DG90" s="1140"/>
      <c r="DH90" s="1140"/>
      <c r="DI90" s="1140"/>
      <c r="DJ90" s="1140"/>
      <c r="DK90" s="1140"/>
      <c r="DL90" s="1140"/>
      <c r="DM90" s="1140"/>
      <c r="DN90" s="1140"/>
      <c r="DO90" s="1140"/>
      <c r="DP90" s="1140"/>
      <c r="DQ90" s="1140"/>
      <c r="DR90" s="1140"/>
      <c r="DS90" s="1140"/>
      <c r="DT90" s="1140"/>
      <c r="DU90" s="1140"/>
      <c r="DV90" s="1140"/>
      <c r="DW90" s="1140"/>
      <c r="DX90" s="1140"/>
      <c r="DY90" s="1140"/>
      <c r="DZ90" s="1140"/>
      <c r="EA90" s="1142"/>
      <c r="EB90" s="1020"/>
      <c r="EC90" s="1020"/>
      <c r="ED90" s="1020"/>
      <c r="EE90" s="1020" t="s">
        <v>165</v>
      </c>
      <c r="EF90" s="1020"/>
      <c r="EG90" s="1021"/>
      <c r="EH90" s="1021"/>
      <c r="EI90" s="1021"/>
      <c r="EJ90" s="1021"/>
      <c r="EK90" s="1021"/>
      <c r="EL90" s="1021"/>
      <c r="EM90" s="1322"/>
    </row>
    <row r="91" spans="1:143" ht="15" customHeight="1">
      <c r="A91" s="998"/>
      <c r="B91" s="1175"/>
      <c r="C91" s="1176"/>
      <c r="D91" s="1177"/>
      <c r="E91" s="1027"/>
      <c r="F91" s="1178"/>
      <c r="G91" s="1027">
        <v>2006</v>
      </c>
      <c r="H91" s="1027"/>
      <c r="I91" s="1027"/>
      <c r="J91" s="1029"/>
      <c r="K91" s="1179"/>
      <c r="L91" s="1030"/>
      <c r="M91" s="1030"/>
      <c r="N91" s="1180"/>
      <c r="O91" s="1181"/>
      <c r="P91" s="1182">
        <v>2007</v>
      </c>
      <c r="Q91" s="1181"/>
      <c r="R91" s="1181"/>
      <c r="S91" s="1181"/>
      <c r="T91" s="1181"/>
      <c r="U91" s="1181"/>
      <c r="V91" s="1183"/>
      <c r="W91" s="1184"/>
      <c r="X91" s="1027"/>
      <c r="Y91" s="1027"/>
      <c r="Z91" s="1027"/>
      <c r="AA91" s="1027"/>
      <c r="AB91" s="1027">
        <v>2008</v>
      </c>
      <c r="AC91" s="1027"/>
      <c r="AD91" s="1027"/>
      <c r="AE91" s="1027"/>
      <c r="AF91" s="1027"/>
      <c r="AG91" s="1027"/>
      <c r="AH91" s="1029"/>
      <c r="AI91" s="1185"/>
      <c r="AJ91" s="1186"/>
      <c r="AK91" s="1186"/>
      <c r="AL91" s="1186"/>
      <c r="AM91" s="1186"/>
      <c r="AN91" s="1186">
        <v>2009</v>
      </c>
      <c r="AO91" s="1186"/>
      <c r="AP91" s="1186"/>
      <c r="AQ91" s="1186"/>
      <c r="AR91" s="1186"/>
      <c r="AS91" s="1186"/>
      <c r="AT91" s="1187"/>
      <c r="AU91" s="1036"/>
      <c r="AV91" s="1037"/>
      <c r="AW91" s="1037"/>
      <c r="AX91" s="1037"/>
      <c r="AY91" s="1037"/>
      <c r="AZ91" s="1037">
        <v>2010</v>
      </c>
      <c r="BA91" s="1037"/>
      <c r="BB91" s="1037"/>
      <c r="BC91" s="1037"/>
      <c r="BD91" s="1037"/>
      <c r="BE91" s="1037"/>
      <c r="BF91" s="1037"/>
      <c r="BG91" s="1038"/>
      <c r="BH91" s="1038"/>
      <c r="BI91" s="1038"/>
      <c r="BJ91" s="1038"/>
      <c r="BK91" s="1038"/>
      <c r="BL91" s="1038">
        <v>2011</v>
      </c>
      <c r="BM91" s="1038"/>
      <c r="BN91" s="1038"/>
      <c r="BO91" s="1038"/>
      <c r="BP91" s="1038"/>
      <c r="BQ91" s="1038"/>
      <c r="BR91" s="1038"/>
      <c r="BS91" s="1039"/>
      <c r="BT91" s="1040"/>
      <c r="BU91" s="1040"/>
      <c r="BV91" s="1040"/>
      <c r="BW91" s="1040"/>
      <c r="BX91" s="1040">
        <v>2012</v>
      </c>
      <c r="BY91" s="1040"/>
      <c r="BZ91" s="1040"/>
      <c r="CA91" s="1040"/>
      <c r="CB91" s="1040"/>
      <c r="CC91" s="1040"/>
      <c r="CD91" s="1040"/>
      <c r="CE91" s="1041"/>
      <c r="CF91" s="1042"/>
      <c r="CG91" s="1042"/>
      <c r="CH91" s="1042"/>
      <c r="CI91" s="1042"/>
      <c r="CJ91" s="1042">
        <v>2013</v>
      </c>
      <c r="CK91" s="1042"/>
      <c r="CL91" s="1042"/>
      <c r="CM91" s="1042"/>
      <c r="CN91" s="1042"/>
      <c r="CO91" s="1042"/>
      <c r="CP91" s="1042"/>
      <c r="CQ91" s="1043">
        <v>2014</v>
      </c>
      <c r="CR91" s="1044"/>
      <c r="CS91" s="1044"/>
      <c r="CT91" s="1044"/>
      <c r="CU91" s="1044"/>
      <c r="CV91" s="1044"/>
      <c r="CW91" s="1044"/>
      <c r="CX91" s="1044"/>
      <c r="CY91" s="1044"/>
      <c r="CZ91" s="1044"/>
      <c r="DA91" s="1044"/>
      <c r="DB91" s="1045"/>
      <c r="DC91" s="1046">
        <v>2015</v>
      </c>
      <c r="DD91" s="1046"/>
      <c r="DE91" s="1046"/>
      <c r="DF91" s="1046"/>
      <c r="DG91" s="1046"/>
      <c r="DH91" s="1046"/>
      <c r="DI91" s="1046"/>
      <c r="DJ91" s="1046"/>
      <c r="DK91" s="1046"/>
      <c r="DL91" s="1046"/>
      <c r="DM91" s="1046"/>
      <c r="DN91" s="1047"/>
      <c r="DO91" s="1044">
        <v>2016</v>
      </c>
      <c r="DP91" s="1044"/>
      <c r="DQ91" s="1044"/>
      <c r="DR91" s="1044"/>
      <c r="DS91" s="1044"/>
      <c r="DT91" s="1044"/>
      <c r="DU91" s="1044"/>
      <c r="DV91" s="1044"/>
      <c r="DW91" s="1044"/>
      <c r="DX91" s="1044"/>
      <c r="DY91" s="1044"/>
      <c r="DZ91" s="1044"/>
      <c r="EA91" s="1037"/>
      <c r="EB91" s="1048">
        <v>2006</v>
      </c>
      <c r="EC91" s="1049">
        <v>2007</v>
      </c>
      <c r="ED91" s="1049">
        <v>2008</v>
      </c>
      <c r="EE91" s="1049">
        <v>2009</v>
      </c>
      <c r="EF91" s="1049">
        <v>2010</v>
      </c>
      <c r="EG91" s="1049">
        <v>2011</v>
      </c>
      <c r="EH91" s="1049">
        <v>2012</v>
      </c>
      <c r="EI91" s="1049">
        <v>2013</v>
      </c>
      <c r="EJ91" s="1049">
        <v>2014</v>
      </c>
      <c r="EK91" s="1049">
        <v>2015</v>
      </c>
      <c r="EL91" s="1049">
        <v>2016</v>
      </c>
      <c r="EM91" s="1315" t="s">
        <v>899</v>
      </c>
    </row>
    <row r="92" spans="1:143">
      <c r="A92" s="998"/>
      <c r="B92" s="1188" t="s">
        <v>198</v>
      </c>
      <c r="C92" s="1189" t="s">
        <v>33</v>
      </c>
      <c r="D92" s="1054" t="s">
        <v>42</v>
      </c>
      <c r="E92" s="1055" t="s">
        <v>43</v>
      </c>
      <c r="F92" s="1055" t="s">
        <v>44</v>
      </c>
      <c r="G92" s="1056" t="s">
        <v>45</v>
      </c>
      <c r="H92" s="1056" t="s">
        <v>46</v>
      </c>
      <c r="I92" s="1056" t="s">
        <v>47</v>
      </c>
      <c r="J92" s="1057" t="s">
        <v>48</v>
      </c>
      <c r="K92" s="1058" t="s">
        <v>37</v>
      </c>
      <c r="L92" s="1059" t="s">
        <v>38</v>
      </c>
      <c r="M92" s="1059" t="s">
        <v>39</v>
      </c>
      <c r="N92" s="1059" t="s">
        <v>40</v>
      </c>
      <c r="O92" s="1059" t="s">
        <v>41</v>
      </c>
      <c r="P92" s="1059" t="s">
        <v>42</v>
      </c>
      <c r="Q92" s="1059" t="s">
        <v>43</v>
      </c>
      <c r="R92" s="1059" t="s">
        <v>44</v>
      </c>
      <c r="S92" s="1059" t="s">
        <v>45</v>
      </c>
      <c r="T92" s="1059" t="s">
        <v>46</v>
      </c>
      <c r="U92" s="1059" t="s">
        <v>47</v>
      </c>
      <c r="V92" s="1060" t="s">
        <v>48</v>
      </c>
      <c r="W92" s="1061" t="s">
        <v>37</v>
      </c>
      <c r="X92" s="1056" t="s">
        <v>38</v>
      </c>
      <c r="Y92" s="1056" t="s">
        <v>39</v>
      </c>
      <c r="Z92" s="1056" t="s">
        <v>40</v>
      </c>
      <c r="AA92" s="1056" t="s">
        <v>41</v>
      </c>
      <c r="AB92" s="1056" t="s">
        <v>42</v>
      </c>
      <c r="AC92" s="1056" t="s">
        <v>43</v>
      </c>
      <c r="AD92" s="1056" t="s">
        <v>44</v>
      </c>
      <c r="AE92" s="1056" t="s">
        <v>45</v>
      </c>
      <c r="AF92" s="1056" t="s">
        <v>46</v>
      </c>
      <c r="AG92" s="1056" t="s">
        <v>47</v>
      </c>
      <c r="AH92" s="1057" t="s">
        <v>48</v>
      </c>
      <c r="AI92" s="1062" t="s">
        <v>37</v>
      </c>
      <c r="AJ92" s="1062" t="s">
        <v>38</v>
      </c>
      <c r="AK92" s="1062" t="s">
        <v>39</v>
      </c>
      <c r="AL92" s="1062" t="s">
        <v>40</v>
      </c>
      <c r="AM92" s="1062" t="s">
        <v>41</v>
      </c>
      <c r="AN92" s="1062" t="s">
        <v>42</v>
      </c>
      <c r="AO92" s="1062" t="s">
        <v>43</v>
      </c>
      <c r="AP92" s="1062" t="s">
        <v>44</v>
      </c>
      <c r="AQ92" s="1062" t="s">
        <v>45</v>
      </c>
      <c r="AR92" s="1062" t="s">
        <v>46</v>
      </c>
      <c r="AS92" s="1062" t="s">
        <v>47</v>
      </c>
      <c r="AT92" s="1062" t="s">
        <v>48</v>
      </c>
      <c r="AU92" s="1061" t="s">
        <v>37</v>
      </c>
      <c r="AV92" s="1056" t="s">
        <v>38</v>
      </c>
      <c r="AW92" s="1056" t="s">
        <v>39</v>
      </c>
      <c r="AX92" s="1056" t="s">
        <v>40</v>
      </c>
      <c r="AY92" s="1056" t="s">
        <v>41</v>
      </c>
      <c r="AZ92" s="1056" t="s">
        <v>42</v>
      </c>
      <c r="BA92" s="1056" t="s">
        <v>43</v>
      </c>
      <c r="BB92" s="1056" t="s">
        <v>44</v>
      </c>
      <c r="BC92" s="1056" t="s">
        <v>45</v>
      </c>
      <c r="BD92" s="1056" t="s">
        <v>46</v>
      </c>
      <c r="BE92" s="1056" t="s">
        <v>47</v>
      </c>
      <c r="BF92" s="1056" t="s">
        <v>48</v>
      </c>
      <c r="BG92" s="1063" t="s">
        <v>37</v>
      </c>
      <c r="BH92" s="1063" t="s">
        <v>38</v>
      </c>
      <c r="BI92" s="1063" t="s">
        <v>39</v>
      </c>
      <c r="BJ92" s="1063" t="s">
        <v>40</v>
      </c>
      <c r="BK92" s="1063" t="s">
        <v>41</v>
      </c>
      <c r="BL92" s="1063" t="s">
        <v>42</v>
      </c>
      <c r="BM92" s="1063" t="s">
        <v>43</v>
      </c>
      <c r="BN92" s="1063" t="s">
        <v>44</v>
      </c>
      <c r="BO92" s="1063" t="s">
        <v>45</v>
      </c>
      <c r="BP92" s="1063" t="s">
        <v>46</v>
      </c>
      <c r="BQ92" s="1063" t="s">
        <v>47</v>
      </c>
      <c r="BR92" s="1063" t="s">
        <v>48</v>
      </c>
      <c r="BS92" s="1128" t="s">
        <v>37</v>
      </c>
      <c r="BT92" s="1129" t="s">
        <v>38</v>
      </c>
      <c r="BU92" s="1129" t="s">
        <v>39</v>
      </c>
      <c r="BV92" s="1129" t="s">
        <v>40</v>
      </c>
      <c r="BW92" s="1129" t="s">
        <v>41</v>
      </c>
      <c r="BX92" s="1129" t="s">
        <v>42</v>
      </c>
      <c r="BY92" s="1129" t="s">
        <v>43</v>
      </c>
      <c r="BZ92" s="1129" t="s">
        <v>44</v>
      </c>
      <c r="CA92" s="1129" t="s">
        <v>45</v>
      </c>
      <c r="CB92" s="1065" t="s">
        <v>46</v>
      </c>
      <c r="CC92" s="1065" t="s">
        <v>47</v>
      </c>
      <c r="CD92" s="1065" t="s">
        <v>48</v>
      </c>
      <c r="CE92" s="1066" t="s">
        <v>37</v>
      </c>
      <c r="CF92" s="1067" t="s">
        <v>38</v>
      </c>
      <c r="CG92" s="1067" t="s">
        <v>39</v>
      </c>
      <c r="CH92" s="1067" t="s">
        <v>40</v>
      </c>
      <c r="CI92" s="1067" t="s">
        <v>41</v>
      </c>
      <c r="CJ92" s="1067" t="s">
        <v>42</v>
      </c>
      <c r="CK92" s="1067" t="s">
        <v>43</v>
      </c>
      <c r="CL92" s="1067" t="s">
        <v>44</v>
      </c>
      <c r="CM92" s="1067" t="s">
        <v>45</v>
      </c>
      <c r="CN92" s="1067" t="s">
        <v>46</v>
      </c>
      <c r="CO92" s="1067" t="s">
        <v>47</v>
      </c>
      <c r="CP92" s="1067" t="s">
        <v>48</v>
      </c>
      <c r="CQ92" s="1068" t="s">
        <v>37</v>
      </c>
      <c r="CR92" s="1069" t="s">
        <v>38</v>
      </c>
      <c r="CS92" s="1069" t="s">
        <v>39</v>
      </c>
      <c r="CT92" s="1069" t="s">
        <v>40</v>
      </c>
      <c r="CU92" s="1069" t="s">
        <v>41</v>
      </c>
      <c r="CV92" s="1069" t="s">
        <v>42</v>
      </c>
      <c r="CW92" s="1069" t="s">
        <v>43</v>
      </c>
      <c r="CX92" s="1069" t="s">
        <v>44</v>
      </c>
      <c r="CY92" s="1069" t="s">
        <v>45</v>
      </c>
      <c r="CZ92" s="1069" t="s">
        <v>46</v>
      </c>
      <c r="DA92" s="1069" t="s">
        <v>47</v>
      </c>
      <c r="DB92" s="1070" t="s">
        <v>48</v>
      </c>
      <c r="DC92" s="1071" t="s">
        <v>37</v>
      </c>
      <c r="DD92" s="1071" t="s">
        <v>38</v>
      </c>
      <c r="DE92" s="1071" t="s">
        <v>39</v>
      </c>
      <c r="DF92" s="1071" t="s">
        <v>40</v>
      </c>
      <c r="DG92" s="1071" t="s">
        <v>41</v>
      </c>
      <c r="DH92" s="1071" t="s">
        <v>42</v>
      </c>
      <c r="DI92" s="1071" t="s">
        <v>43</v>
      </c>
      <c r="DJ92" s="1071" t="s">
        <v>44</v>
      </c>
      <c r="DK92" s="1071" t="s">
        <v>45</v>
      </c>
      <c r="DL92" s="1071" t="s">
        <v>46</v>
      </c>
      <c r="DM92" s="1071" t="s">
        <v>47</v>
      </c>
      <c r="DN92" s="1072" t="s">
        <v>48</v>
      </c>
      <c r="DO92" s="1071" t="s">
        <v>37</v>
      </c>
      <c r="DP92" s="1071" t="s">
        <v>38</v>
      </c>
      <c r="DQ92" s="1071" t="s">
        <v>39</v>
      </c>
      <c r="DR92" s="1071" t="s">
        <v>40</v>
      </c>
      <c r="DS92" s="1071" t="s">
        <v>41</v>
      </c>
      <c r="DT92" s="1071" t="s">
        <v>42</v>
      </c>
      <c r="DU92" s="1071" t="s">
        <v>43</v>
      </c>
      <c r="DV92" s="1071" t="s">
        <v>44</v>
      </c>
      <c r="DW92" s="1071" t="s">
        <v>45</v>
      </c>
      <c r="DX92" s="1071" t="s">
        <v>46</v>
      </c>
      <c r="DY92" s="1071" t="s">
        <v>47</v>
      </c>
      <c r="DZ92" s="1071" t="s">
        <v>48</v>
      </c>
      <c r="EA92" s="1056"/>
      <c r="EB92" s="1190" t="s">
        <v>167</v>
      </c>
      <c r="EC92" s="1165" t="s">
        <v>49</v>
      </c>
      <c r="ED92" s="1165" t="s">
        <v>49</v>
      </c>
      <c r="EE92" s="1165" t="s">
        <v>49</v>
      </c>
      <c r="EF92" s="1165" t="s">
        <v>49</v>
      </c>
      <c r="EG92" s="1165" t="s">
        <v>49</v>
      </c>
      <c r="EH92" s="1165" t="s">
        <v>706</v>
      </c>
      <c r="EI92" s="1165" t="s">
        <v>706</v>
      </c>
      <c r="EJ92" s="1165" t="s">
        <v>706</v>
      </c>
      <c r="EK92" s="1165" t="s">
        <v>706</v>
      </c>
      <c r="EL92" s="1165" t="s">
        <v>706</v>
      </c>
      <c r="EM92" s="1316"/>
    </row>
    <row r="93" spans="1:143">
      <c r="A93" s="998"/>
      <c r="B93" s="1166" t="s">
        <v>707</v>
      </c>
      <c r="C93" s="1171" t="s">
        <v>708</v>
      </c>
      <c r="D93" s="1098">
        <v>9.8296531791907515</v>
      </c>
      <c r="E93" s="1099">
        <v>6.131248016922263</v>
      </c>
      <c r="F93" s="1099">
        <v>6.0279566897295362</v>
      </c>
      <c r="G93" s="1099">
        <v>4.420018885741265</v>
      </c>
      <c r="H93" s="1099">
        <v>5.0376304147465438</v>
      </c>
      <c r="I93" s="1099">
        <v>5.5811244064577394</v>
      </c>
      <c r="J93" s="1100">
        <v>4.4849393216471327</v>
      </c>
      <c r="K93" s="1101">
        <v>6.5994468569065363</v>
      </c>
      <c r="L93" s="1102">
        <v>5.6845203754578746</v>
      </c>
      <c r="M93" s="1102">
        <v>6.24404259718776</v>
      </c>
      <c r="N93" s="1102">
        <v>5.5909401709401703</v>
      </c>
      <c r="O93" s="1102">
        <v>4.879242142266337</v>
      </c>
      <c r="P93" s="1102">
        <v>11.481415598290599</v>
      </c>
      <c r="Q93" s="1102">
        <v>6.1927646815550048</v>
      </c>
      <c r="R93" s="1102">
        <v>7.6889267990074464</v>
      </c>
      <c r="S93" s="1102">
        <v>5.8539626068376061</v>
      </c>
      <c r="T93" s="1102">
        <v>3.7348428453267162</v>
      </c>
      <c r="U93" s="1102">
        <v>4.818653846153846</v>
      </c>
      <c r="V93" s="1103">
        <v>4.2461186931348225</v>
      </c>
      <c r="W93" s="1098">
        <v>4.5546422663358159</v>
      </c>
      <c r="X93" s="1099">
        <v>4.993285809018567</v>
      </c>
      <c r="Y93" s="1099">
        <v>5.2708643507030608</v>
      </c>
      <c r="Z93" s="1099">
        <v>5.0618568376068369</v>
      </c>
      <c r="AA93" s="1099">
        <v>5.8474624356414839</v>
      </c>
      <c r="AB93" s="1099">
        <v>6.6643051031487506</v>
      </c>
      <c r="AC93" s="1099">
        <v>7.6156530419249764</v>
      </c>
      <c r="AD93" s="1099">
        <v>7.1613953977093621</v>
      </c>
      <c r="AE93" s="1099">
        <v>6.1017057546145486</v>
      </c>
      <c r="AF93" s="1099">
        <v>5.8347189240306827</v>
      </c>
      <c r="AG93" s="1099">
        <v>8.0770260586319225</v>
      </c>
      <c r="AH93" s="1100">
        <v>5.8512661553010403</v>
      </c>
      <c r="AI93" s="1104">
        <v>6.4342515285684172</v>
      </c>
      <c r="AJ93" s="1104">
        <v>6.3881407563025219</v>
      </c>
      <c r="AK93" s="1104">
        <v>6.711481324278437</v>
      </c>
      <c r="AL93" s="1104">
        <v>6.3908442982456144</v>
      </c>
      <c r="AM93" s="1104">
        <v>7.7363062393887931</v>
      </c>
      <c r="AN93" s="1104">
        <v>7.1461019736842104</v>
      </c>
      <c r="AO93" s="1104">
        <v>9.5664663714948368</v>
      </c>
      <c r="AP93" s="1104">
        <v>16.668226867572152</v>
      </c>
      <c r="AQ93" s="1104">
        <v>6.5858508771929811</v>
      </c>
      <c r="AR93" s="1104">
        <v>10.254684847198641</v>
      </c>
      <c r="AS93" s="1104">
        <v>9.484956140350878</v>
      </c>
      <c r="AT93" s="1104">
        <v>6.6716670203735129</v>
      </c>
      <c r="AU93" s="1098">
        <v>7.9519450339558562</v>
      </c>
      <c r="AV93" s="1099">
        <v>8.9373425751879694</v>
      </c>
      <c r="AW93" s="1099">
        <v>10.942134974533106</v>
      </c>
      <c r="AX93" s="1099">
        <v>8.9731162280701753</v>
      </c>
      <c r="AY93" s="1099">
        <v>9.1973896434634952</v>
      </c>
      <c r="AZ93" s="1099">
        <v>10.462845394736842</v>
      </c>
      <c r="BA93" s="1099">
        <v>10.053340407470285</v>
      </c>
      <c r="BB93" s="1099">
        <v>9.9351039898132409</v>
      </c>
      <c r="BC93" s="1099">
        <v>8.9899868421052638</v>
      </c>
      <c r="BD93" s="1099">
        <v>10.938793505942273</v>
      </c>
      <c r="BE93" s="1099">
        <v>10.425390350877192</v>
      </c>
      <c r="BF93" s="1099">
        <v>10.511679753820033</v>
      </c>
      <c r="BG93" s="1105">
        <v>7.5111576825127315</v>
      </c>
      <c r="BH93" s="1105">
        <v>9.643933270676694</v>
      </c>
      <c r="BI93" s="1105">
        <v>10.174419567062818</v>
      </c>
      <c r="BJ93" s="1105">
        <v>9.6502510964912283</v>
      </c>
      <c r="BK93" s="1105">
        <v>10.787307937181662</v>
      </c>
      <c r="BL93" s="1105">
        <v>9.8118563596491235</v>
      </c>
      <c r="BM93" s="1105">
        <v>8.7519386672325954</v>
      </c>
      <c r="BN93" s="1105">
        <v>8.7206536502546683</v>
      </c>
      <c r="BO93" s="1105">
        <v>11.104744517543862</v>
      </c>
      <c r="BP93" s="1105">
        <v>9.2817158319185058</v>
      </c>
      <c r="BQ93" s="1105">
        <v>10.594367324561405</v>
      </c>
      <c r="BR93" s="1105">
        <v>11.164749575551777</v>
      </c>
      <c r="BS93" s="1106">
        <v>9.4030379881154484</v>
      </c>
      <c r="BT93" s="1107">
        <v>9.9961751361161539</v>
      </c>
      <c r="BU93" s="1107">
        <v>10.096295628183359</v>
      </c>
      <c r="BV93" s="1107">
        <v>9.6172730263157895</v>
      </c>
      <c r="BW93" s="1107">
        <v>9.154035441426144</v>
      </c>
      <c r="BX93" s="1107">
        <v>12.522814692982454</v>
      </c>
      <c r="BY93" s="1107">
        <v>10.774420628183359</v>
      </c>
      <c r="BZ93" s="1107">
        <v>9.8820776740237655</v>
      </c>
      <c r="CA93" s="1107">
        <v>10.144878289473684</v>
      </c>
      <c r="CB93" s="1107">
        <v>10.102292020373511</v>
      </c>
      <c r="CC93" s="1107">
        <v>11.32752192982456</v>
      </c>
      <c r="CD93" s="1107">
        <v>9.7241786926994891</v>
      </c>
      <c r="CE93" s="1087">
        <v>9.1175742784380276</v>
      </c>
      <c r="CF93" s="1088">
        <v>10.839290413533835</v>
      </c>
      <c r="CG93" s="1088">
        <v>11.416505730050929</v>
      </c>
      <c r="CH93" s="1088">
        <v>11.026906798245614</v>
      </c>
      <c r="CI93" s="1088">
        <v>9.8686693548387083</v>
      </c>
      <c r="CJ93" s="1088">
        <v>9.364731359649122</v>
      </c>
      <c r="CK93" s="1088">
        <v>10.821798599320882</v>
      </c>
      <c r="CL93" s="1088">
        <v>10.009405772495754</v>
      </c>
      <c r="CM93" s="1088">
        <v>11.155138157894736</v>
      </c>
      <c r="CN93" s="1088">
        <v>11.09351867572156</v>
      </c>
      <c r="CO93" s="1088">
        <v>16.183752192982453</v>
      </c>
      <c r="CP93" s="1088">
        <v>14.959737903225804</v>
      </c>
      <c r="CQ93" s="1108">
        <v>9.6977865025466858</v>
      </c>
      <c r="CR93" s="1109">
        <v>15.918795817669171</v>
      </c>
      <c r="CS93" s="1109">
        <v>11.430639855687604</v>
      </c>
      <c r="CT93" s="1109">
        <v>12.191133771929824</v>
      </c>
      <c r="CU93" s="1109">
        <v>11.933478353140915</v>
      </c>
      <c r="CV93" s="1109">
        <v>10.703947368421053</v>
      </c>
      <c r="CW93" s="1109">
        <v>12.61</v>
      </c>
      <c r="CX93" s="1109">
        <v>12.512828947368421</v>
      </c>
      <c r="CY93" s="1109">
        <v>12.483548387096775</v>
      </c>
      <c r="CZ93" s="1109">
        <v>13.916451612903227</v>
      </c>
      <c r="DA93" s="1109">
        <v>14.616612903225807</v>
      </c>
      <c r="DB93" s="1110">
        <v>13.648322580645162</v>
      </c>
      <c r="DC93" s="1091">
        <v>14.647225806451612</v>
      </c>
      <c r="DD93" s="1091">
        <v>13.29</v>
      </c>
      <c r="DE93" s="1091">
        <v>15.457741935483874</v>
      </c>
      <c r="DF93" s="1091">
        <v>19.65632258064516</v>
      </c>
      <c r="DG93" s="1091">
        <v>18.113548387096774</v>
      </c>
      <c r="DH93" s="1091">
        <v>14.204193548387098</v>
      </c>
      <c r="DI93" s="1091">
        <v>14.561290322580644</v>
      </c>
      <c r="DJ93" s="1091">
        <v>8.4897435897435898</v>
      </c>
      <c r="DK93" s="1091">
        <v>9.1205128205128201</v>
      </c>
      <c r="DL93" s="1091">
        <v>16.488141025641024</v>
      </c>
      <c r="DM93" s="1091">
        <v>11.636593059936908</v>
      </c>
      <c r="DN93" s="1092">
        <v>9.7880877742946701</v>
      </c>
      <c r="DO93" s="1091">
        <v>10.952360515021461</v>
      </c>
      <c r="DP93" s="1091">
        <v>10.092703862660944</v>
      </c>
      <c r="DQ93" s="1091">
        <v>9.6405579399141619</v>
      </c>
      <c r="DR93" s="1091">
        <v>9.5841201716738205</v>
      </c>
      <c r="DS93" s="1091">
        <v>9.9336909871244643</v>
      </c>
      <c r="DT93" s="1091">
        <v>13.77725321888412</v>
      </c>
      <c r="DU93" s="1091">
        <v>10.678111587982833</v>
      </c>
      <c r="DV93" s="1091">
        <v>13.138197424892704</v>
      </c>
      <c r="DW93" s="1091">
        <v>7.2330472103004295</v>
      </c>
      <c r="DX93" s="1091">
        <v>16.778755364806866</v>
      </c>
      <c r="DY93" s="1091">
        <v>12.832403433476395</v>
      </c>
      <c r="DZ93" s="1091">
        <v>9.7933476394849794</v>
      </c>
      <c r="EA93" s="1099"/>
      <c r="EB93" s="1111">
        <v>5.7533262949442889</v>
      </c>
      <c r="EC93" s="1112">
        <v>6.0785278363189343</v>
      </c>
      <c r="ED93" s="1112">
        <v>6.0818990501650925</v>
      </c>
      <c r="EE93" s="1112">
        <v>8.3614393557675015</v>
      </c>
      <c r="EF93" s="1112">
        <v>9.7841856524873823</v>
      </c>
      <c r="EG93" s="1112">
        <v>9.7616902487382866</v>
      </c>
      <c r="EH93" s="1112">
        <v>10.222650812482032</v>
      </c>
      <c r="EI93" s="1112">
        <v>11.318683579668352</v>
      </c>
      <c r="EJ93" s="1112">
        <f t="shared" ref="EJ93:EJ100" si="12">AVERAGE(CQ93:DB93)</f>
        <v>12.638628841719553</v>
      </c>
      <c r="EK93" s="1113">
        <v>13.775655535348738</v>
      </c>
      <c r="EL93" s="1112">
        <f t="shared" ref="EL93:EL100" si="13">AVERAGE(DO93:DZ93)</f>
        <v>11.202879113018598</v>
      </c>
      <c r="EM93" s="1318">
        <v>11.426645207439201</v>
      </c>
    </row>
    <row r="94" spans="1:143">
      <c r="A94" s="998"/>
      <c r="B94" s="1166" t="s">
        <v>709</v>
      </c>
      <c r="C94" s="1171" t="s">
        <v>710</v>
      </c>
      <c r="D94" s="1098">
        <v>10.199344729344729</v>
      </c>
      <c r="E94" s="1099">
        <v>10.282436168887781</v>
      </c>
      <c r="F94" s="1099">
        <v>13.872997775305896</v>
      </c>
      <c r="G94" s="1099">
        <v>9.399552706552706</v>
      </c>
      <c r="H94" s="1099">
        <v>12.563860170063437</v>
      </c>
      <c r="I94" s="1099">
        <v>6.5445894134477829</v>
      </c>
      <c r="J94" s="1100">
        <v>6.0784633917815549</v>
      </c>
      <c r="K94" s="1101">
        <v>11.329989111201852</v>
      </c>
      <c r="L94" s="1102">
        <v>12.940363170584689</v>
      </c>
      <c r="M94" s="1102">
        <v>12.866137198856682</v>
      </c>
      <c r="N94" s="1102">
        <v>12.184388185654006</v>
      </c>
      <c r="O94" s="1102">
        <v>13.604772015788763</v>
      </c>
      <c r="P94" s="1102">
        <v>15.113805907172999</v>
      </c>
      <c r="Q94" s="1102">
        <v>16.171049407921604</v>
      </c>
      <c r="R94" s="1102">
        <v>15.486756499251399</v>
      </c>
      <c r="S94" s="1102">
        <v>13.866210970464136</v>
      </c>
      <c r="T94" s="1102">
        <v>16.275418538178851</v>
      </c>
      <c r="U94" s="1102">
        <v>19.011870604781997</v>
      </c>
      <c r="V94" s="1103">
        <v>15.691950455968428</v>
      </c>
      <c r="W94" s="1098">
        <v>15.981132323897302</v>
      </c>
      <c r="X94" s="1099">
        <v>16.62498099929627</v>
      </c>
      <c r="Y94" s="1099">
        <v>16.587794601711657</v>
      </c>
      <c r="Z94" s="1099">
        <v>16.854857142857146</v>
      </c>
      <c r="AA94" s="1099">
        <v>17.02550625411455</v>
      </c>
      <c r="AB94" s="1099">
        <v>17.491711564625852</v>
      </c>
      <c r="AC94" s="1099">
        <v>18.138533245556289</v>
      </c>
      <c r="AD94" s="1099">
        <v>18.073574720210669</v>
      </c>
      <c r="AE94" s="1099">
        <v>15.35307210884354</v>
      </c>
      <c r="AF94" s="1099">
        <v>16.011684002633309</v>
      </c>
      <c r="AG94" s="1099">
        <v>12.795970068027211</v>
      </c>
      <c r="AH94" s="1100">
        <v>13.267623436471363</v>
      </c>
      <c r="AI94" s="1104">
        <v>17.808688820912121</v>
      </c>
      <c r="AJ94" s="1104">
        <v>16.62142857142857</v>
      </c>
      <c r="AK94" s="1104">
        <v>14.942126451612904</v>
      </c>
      <c r="AL94" s="1104">
        <v>14.25154933333333</v>
      </c>
      <c r="AM94" s="1104">
        <v>15.855055483870967</v>
      </c>
      <c r="AN94" s="1104">
        <v>12.976515999999997</v>
      </c>
      <c r="AO94" s="1104">
        <v>17.555627096774188</v>
      </c>
      <c r="AP94" s="1104">
        <v>10.234940645161288</v>
      </c>
      <c r="AQ94" s="1104">
        <v>13.596848000000003</v>
      </c>
      <c r="AR94" s="1104">
        <v>14.039096774193544</v>
      </c>
      <c r="AS94" s="1104">
        <v>15.003216</v>
      </c>
      <c r="AT94" s="1104">
        <v>16.128103225806449</v>
      </c>
      <c r="AU94" s="1098">
        <v>15.923909677419351</v>
      </c>
      <c r="AV94" s="1099">
        <v>13.993178294573646</v>
      </c>
      <c r="AW94" s="1099">
        <v>13.838980995248816</v>
      </c>
      <c r="AX94" s="1099">
        <v>15.070020671834625</v>
      </c>
      <c r="AY94" s="1099">
        <v>19.401100275068774</v>
      </c>
      <c r="AZ94" s="1099">
        <v>12.829620155038761</v>
      </c>
      <c r="BA94" s="1099">
        <v>16.358335833958492</v>
      </c>
      <c r="BB94" s="1099">
        <v>16.59921980495124</v>
      </c>
      <c r="BC94" s="1099">
        <v>12.845439276485786</v>
      </c>
      <c r="BD94" s="1099">
        <v>15.323837209302329</v>
      </c>
      <c r="BE94" s="1099">
        <v>15.227072351421191</v>
      </c>
      <c r="BF94" s="1099">
        <v>17.161432858214553</v>
      </c>
      <c r="BG94" s="1105">
        <v>15.508337084271069</v>
      </c>
      <c r="BH94" s="1105">
        <v>16.842965116279071</v>
      </c>
      <c r="BI94" s="1105">
        <v>9.8329257314328604</v>
      </c>
      <c r="BJ94" s="1105">
        <v>12.144706718346251</v>
      </c>
      <c r="BK94" s="1105">
        <v>14.445725181295325</v>
      </c>
      <c r="BL94" s="1105">
        <v>14.846474160206718</v>
      </c>
      <c r="BM94" s="1105">
        <v>16.346759189797453</v>
      </c>
      <c r="BN94" s="1105">
        <v>16.550302575643915</v>
      </c>
      <c r="BO94" s="1105">
        <v>16.278940568475452</v>
      </c>
      <c r="BP94" s="1105">
        <v>15.668687171792952</v>
      </c>
      <c r="BQ94" s="1105">
        <v>17.441679586563311</v>
      </c>
      <c r="BR94" s="1105">
        <v>15.357551887971994</v>
      </c>
      <c r="BS94" s="1106">
        <v>18.756159039759936</v>
      </c>
      <c r="BT94" s="1107">
        <v>14.257455225875434</v>
      </c>
      <c r="BU94" s="1107">
        <v>15.346411602900728</v>
      </c>
      <c r="BV94" s="1107">
        <v>17.912684754521962</v>
      </c>
      <c r="BW94" s="1107">
        <v>15.744251062765695</v>
      </c>
      <c r="BX94" s="1107">
        <v>15.813726098191216</v>
      </c>
      <c r="BY94" s="1107">
        <v>16.215928203840843</v>
      </c>
      <c r="BZ94" s="1107">
        <v>15.86509100037655</v>
      </c>
      <c r="CA94" s="1107">
        <v>14.665185473411153</v>
      </c>
      <c r="CB94" s="1107">
        <v>19.610518388351949</v>
      </c>
      <c r="CC94" s="1107">
        <v>16.24669260700389</v>
      </c>
      <c r="CD94" s="1107">
        <v>16.005980921300363</v>
      </c>
      <c r="CE94" s="1087">
        <v>16.206307267478344</v>
      </c>
      <c r="CF94" s="1088">
        <v>15.252834908282383</v>
      </c>
      <c r="CG94" s="1088">
        <v>16.324488515124887</v>
      </c>
      <c r="CH94" s="1088">
        <v>17.858721141374836</v>
      </c>
      <c r="CI94" s="1088">
        <v>15.278316806828165</v>
      </c>
      <c r="CJ94" s="1088">
        <v>15.100603112840465</v>
      </c>
      <c r="CK94" s="1088">
        <v>15.389383707794654</v>
      </c>
      <c r="CL94" s="1088">
        <v>16.766845738672018</v>
      </c>
      <c r="CM94" s="1088">
        <v>20.02221141374838</v>
      </c>
      <c r="CN94" s="1088">
        <v>19.141542613279775</v>
      </c>
      <c r="CO94" s="1088">
        <v>20.137185473411154</v>
      </c>
      <c r="CP94" s="1088">
        <v>16.293887285050833</v>
      </c>
      <c r="CQ94" s="1108">
        <v>21.33163675160035</v>
      </c>
      <c r="CR94" s="1109">
        <v>23.084637298499167</v>
      </c>
      <c r="CS94" s="1109">
        <v>23.387920170704156</v>
      </c>
      <c r="CT94" s="1109">
        <v>24.030848249027237</v>
      </c>
      <c r="CU94" s="1109">
        <v>23.12520647671645</v>
      </c>
      <c r="CV94" s="1109">
        <v>24.393385214007782</v>
      </c>
      <c r="CW94" s="1109">
        <v>26.62</v>
      </c>
      <c r="CX94" s="1109">
        <v>27.023735408560309</v>
      </c>
      <c r="CY94" s="1109">
        <v>23.427626459143969</v>
      </c>
      <c r="CZ94" s="1109">
        <v>23.335797665369643</v>
      </c>
      <c r="DA94" s="1109">
        <v>21.639999999999997</v>
      </c>
      <c r="DB94" s="1110">
        <v>21.724824902723732</v>
      </c>
      <c r="DC94" s="1091">
        <v>20.223774319066148</v>
      </c>
      <c r="DD94" s="1091">
        <v>21.201167315175098</v>
      </c>
      <c r="DE94" s="1091">
        <v>21.576653696498056</v>
      </c>
      <c r="DF94" s="1091">
        <v>21.306731517509728</v>
      </c>
      <c r="DG94" s="1091">
        <v>20.132684824902725</v>
      </c>
      <c r="DH94" s="1091">
        <v>21.720866141732284</v>
      </c>
      <c r="DI94" s="1091">
        <v>27.117322834645673</v>
      </c>
      <c r="DJ94" s="1091">
        <v>22.380590717299579</v>
      </c>
      <c r="DK94" s="1091">
        <v>14.927426160337554</v>
      </c>
      <c r="DL94" s="1091">
        <v>23.272151898734176</v>
      </c>
      <c r="DM94" s="1091">
        <v>24.5126582278481</v>
      </c>
      <c r="DN94" s="1092">
        <v>26.314102564102566</v>
      </c>
      <c r="DO94" s="1091">
        <v>17.321188630490958</v>
      </c>
      <c r="DP94" s="1091">
        <v>17.071576227390178</v>
      </c>
      <c r="DQ94" s="1091">
        <v>16.791989664082688</v>
      </c>
      <c r="DR94" s="1091">
        <v>15.995865633074935</v>
      </c>
      <c r="DS94" s="1091">
        <v>14.248062015503876</v>
      </c>
      <c r="DT94" s="1091">
        <v>17.391214470284236</v>
      </c>
      <c r="DU94" s="1091">
        <v>16.202583979328164</v>
      </c>
      <c r="DV94" s="1091">
        <v>15.78372093023256</v>
      </c>
      <c r="DW94" s="1091">
        <v>15.422997416020673</v>
      </c>
      <c r="DX94" s="1091">
        <v>16.640051679586563</v>
      </c>
      <c r="DY94" s="1091">
        <v>15.719379844961241</v>
      </c>
      <c r="DZ94" s="1091">
        <v>16.498966408268728</v>
      </c>
      <c r="EA94" s="1099"/>
      <c r="EB94" s="1111">
        <v>9.8934000103553608</v>
      </c>
      <c r="EC94" s="1112">
        <v>14.552949887289746</v>
      </c>
      <c r="ED94" s="1112">
        <v>16.187579458012699</v>
      </c>
      <c r="EE94" s="1112">
        <v>14.891141883820749</v>
      </c>
      <c r="EF94" s="1112">
        <v>15.406266582909225</v>
      </c>
      <c r="EG94" s="1112">
        <v>15.09034522671765</v>
      </c>
      <c r="EH94" s="1112">
        <v>16.383730423156916</v>
      </c>
      <c r="EI94" s="1112">
        <v>16.980999840093816</v>
      </c>
      <c r="EJ94" s="1112">
        <f t="shared" si="12"/>
        <v>23.593801549696067</v>
      </c>
      <c r="EK94" s="1113">
        <v>22.062879107760669</v>
      </c>
      <c r="EL94" s="1112">
        <f t="shared" si="13"/>
        <v>16.257299741602068</v>
      </c>
      <c r="EM94" s="1318">
        <v>16.189534883720931</v>
      </c>
    </row>
    <row r="95" spans="1:143">
      <c r="A95" s="998"/>
      <c r="B95" s="1166" t="s">
        <v>711</v>
      </c>
      <c r="C95" s="1171" t="s">
        <v>712</v>
      </c>
      <c r="D95" s="1098">
        <v>25.291988511936815</v>
      </c>
      <c r="E95" s="1099">
        <v>26.912093510598098</v>
      </c>
      <c r="F95" s="1099">
        <v>27.450795756425734</v>
      </c>
      <c r="G95" s="1099">
        <v>28.346146205155939</v>
      </c>
      <c r="H95" s="1099">
        <v>30.384245954463367</v>
      </c>
      <c r="I95" s="1099">
        <v>30.903907813070465</v>
      </c>
      <c r="J95" s="1100">
        <v>24.235679112600859</v>
      </c>
      <c r="K95" s="1101">
        <v>27.270859755045709</v>
      </c>
      <c r="L95" s="1102">
        <v>28.94228533231475</v>
      </c>
      <c r="M95" s="1102">
        <v>29.012132693237543</v>
      </c>
      <c r="N95" s="1102">
        <v>27.708229835831546</v>
      </c>
      <c r="O95" s="1102">
        <v>27.107331284105815</v>
      </c>
      <c r="P95" s="1102">
        <v>31.29647448251249</v>
      </c>
      <c r="Q95" s="1102">
        <v>31.22498081111917</v>
      </c>
      <c r="R95" s="1102">
        <v>29.222846929612484</v>
      </c>
      <c r="S95" s="1102">
        <v>28.823107837886091</v>
      </c>
      <c r="T95" s="1102">
        <v>31.614326934706362</v>
      </c>
      <c r="U95" s="1102">
        <v>32.363374397429034</v>
      </c>
      <c r="V95" s="1103">
        <v>25.02078563411898</v>
      </c>
      <c r="W95" s="1098">
        <v>29.290230259585112</v>
      </c>
      <c r="X95" s="1099">
        <v>31.161337105870778</v>
      </c>
      <c r="Y95" s="1099">
        <v>29.121771537835063</v>
      </c>
      <c r="Z95" s="1099">
        <v>32.998395170142686</v>
      </c>
      <c r="AA95" s="1099">
        <v>34.030554186100147</v>
      </c>
      <c r="AB95" s="1099">
        <v>35.943225581821522</v>
      </c>
      <c r="AC95" s="1099">
        <v>36.332659738601514</v>
      </c>
      <c r="AD95" s="1099">
        <v>31.442142971146875</v>
      </c>
      <c r="AE95" s="1099">
        <v>36.00556276342315</v>
      </c>
      <c r="AF95" s="1099">
        <v>37.502536842291953</v>
      </c>
      <c r="AG95" s="1099">
        <v>38.024781255720292</v>
      </c>
      <c r="AH95" s="1100">
        <v>27.975022054525159</v>
      </c>
      <c r="AI95" s="1104">
        <v>28.072910664773108</v>
      </c>
      <c r="AJ95" s="1104">
        <v>28.61753125935909</v>
      </c>
      <c r="AK95" s="1104">
        <v>30.825000972160854</v>
      </c>
      <c r="AL95" s="1104">
        <v>30.022271780821907</v>
      </c>
      <c r="AM95" s="1104">
        <v>28.543364560318174</v>
      </c>
      <c r="AN95" s="1104">
        <v>31.096118173515986</v>
      </c>
      <c r="AO95" s="1104">
        <v>32.262210870525863</v>
      </c>
      <c r="AP95" s="1104">
        <v>32.425292620415384</v>
      </c>
      <c r="AQ95" s="1104">
        <v>29.698285688207381</v>
      </c>
      <c r="AR95" s="1104">
        <v>31.973190474507994</v>
      </c>
      <c r="AS95" s="1104">
        <v>34.031487951807222</v>
      </c>
      <c r="AT95" s="1104">
        <v>27.327344315553436</v>
      </c>
      <c r="AU95" s="1098">
        <v>28.703024524604061</v>
      </c>
      <c r="AV95" s="1099">
        <v>34.369896997068373</v>
      </c>
      <c r="AW95" s="1099">
        <v>35.799794786466997</v>
      </c>
      <c r="AX95" s="1099">
        <v>31.252738174427197</v>
      </c>
      <c r="AY95" s="1099">
        <v>33.680742972605678</v>
      </c>
      <c r="AZ95" s="1099">
        <v>36.089652808573561</v>
      </c>
      <c r="BA95" s="1099">
        <v>33.725714362348896</v>
      </c>
      <c r="BB95" s="1099">
        <v>33.035808239753955</v>
      </c>
      <c r="BC95" s="1099">
        <v>32.311264227642283</v>
      </c>
      <c r="BD95" s="1099">
        <v>35.93669658822688</v>
      </c>
      <c r="BE95" s="1099">
        <v>34.356653732446425</v>
      </c>
      <c r="BF95" s="1099">
        <v>36.963843430369778</v>
      </c>
      <c r="BG95" s="1105">
        <v>34.306376510979192</v>
      </c>
      <c r="BH95" s="1105">
        <v>38.43232360627178</v>
      </c>
      <c r="BI95" s="1105">
        <v>36.777526464487522</v>
      </c>
      <c r="BJ95" s="1105">
        <v>30.778798041389507</v>
      </c>
      <c r="BK95" s="1105">
        <v>35.556246691939059</v>
      </c>
      <c r="BL95" s="1105">
        <v>35.241087398373992</v>
      </c>
      <c r="BM95" s="1105">
        <v>35.955193119233243</v>
      </c>
      <c r="BN95" s="1105">
        <v>36.313596309276875</v>
      </c>
      <c r="BO95" s="1105">
        <v>36.79004785661494</v>
      </c>
      <c r="BP95" s="1105">
        <v>35.968073278020164</v>
      </c>
      <c r="BQ95" s="1105">
        <v>42.010857723577246</v>
      </c>
      <c r="BR95" s="1105">
        <v>40.955242471926191</v>
      </c>
      <c r="BS95" s="1106">
        <v>38.570584543308776</v>
      </c>
      <c r="BT95" s="1107">
        <v>43.362804686902685</v>
      </c>
      <c r="BU95" s="1107">
        <v>44.01470263214361</v>
      </c>
      <c r="BV95" s="1107">
        <v>39.751055247597947</v>
      </c>
      <c r="BW95" s="1107">
        <v>41.357539036648816</v>
      </c>
      <c r="BX95" s="1107">
        <v>45.300231522542525</v>
      </c>
      <c r="BY95" s="1107">
        <v>44.042617751562126</v>
      </c>
      <c r="BZ95" s="1107">
        <v>43.726811825039817</v>
      </c>
      <c r="CA95" s="1107">
        <v>42.897209621993149</v>
      </c>
      <c r="CB95" s="1107">
        <v>47.142404564787419</v>
      </c>
      <c r="CC95" s="1107">
        <v>50.723168746608806</v>
      </c>
      <c r="CD95" s="1107">
        <v>45.547364745418577</v>
      </c>
      <c r="CE95" s="1087">
        <v>49.552678312008808</v>
      </c>
      <c r="CF95" s="1088">
        <v>56.548351871947936</v>
      </c>
      <c r="CG95" s="1088">
        <v>66.301838167083815</v>
      </c>
      <c r="CH95" s="1088">
        <v>37.163885693615484</v>
      </c>
      <c r="CI95" s="1088">
        <v>41.309901633031686</v>
      </c>
      <c r="CJ95" s="1088">
        <v>47.808723819858947</v>
      </c>
      <c r="CK95" s="1088">
        <v>47.353531409168063</v>
      </c>
      <c r="CL95" s="1088">
        <v>41.694717238723655</v>
      </c>
      <c r="CM95" s="1088">
        <v>47.58922897449812</v>
      </c>
      <c r="CN95" s="1088">
        <v>45.296990180806176</v>
      </c>
      <c r="CO95" s="1088">
        <v>50.724646590703578</v>
      </c>
      <c r="CP95" s="1088">
        <v>41.06621812262614</v>
      </c>
      <c r="CQ95" s="1108">
        <v>42.52655680604903</v>
      </c>
      <c r="CR95" s="1109">
        <v>52.296114836059246</v>
      </c>
      <c r="CS95" s="1109">
        <v>46.009438503141787</v>
      </c>
      <c r="CT95" s="1109">
        <v>46.054957135105816</v>
      </c>
      <c r="CU95" s="1109">
        <v>43.485656800798125</v>
      </c>
      <c r="CV95" s="1109">
        <v>44.032013022246339</v>
      </c>
      <c r="CW95" s="1109">
        <v>47.48</v>
      </c>
      <c r="CX95" s="1109">
        <v>43.200976138828622</v>
      </c>
      <c r="CY95" s="1109">
        <v>48.36133405639913</v>
      </c>
      <c r="CZ95" s="1109">
        <v>47.5632863340564</v>
      </c>
      <c r="DA95" s="1109">
        <v>53.412548806941437</v>
      </c>
      <c r="DB95" s="1110">
        <v>46.445124728850324</v>
      </c>
      <c r="DC95" s="1091">
        <v>45.679533622559646</v>
      </c>
      <c r="DD95" s="1091">
        <v>46.188828633405635</v>
      </c>
      <c r="DE95" s="1091">
        <v>47.603524945770069</v>
      </c>
      <c r="DF95" s="1091">
        <v>45.46829175704989</v>
      </c>
      <c r="DG95" s="1091">
        <v>45.632646420824287</v>
      </c>
      <c r="DH95" s="1091">
        <v>47.128155339805822</v>
      </c>
      <c r="DI95" s="1091">
        <v>46.528586839266445</v>
      </c>
      <c r="DJ95" s="1091">
        <v>35.441812400635925</v>
      </c>
      <c r="DK95" s="1091">
        <v>40.056703762586118</v>
      </c>
      <c r="DL95" s="1091">
        <v>42.833333333333336</v>
      </c>
      <c r="DM95" s="1091">
        <v>43.290498938428875</v>
      </c>
      <c r="DN95" s="1092">
        <v>33.45849358974359</v>
      </c>
      <c r="DO95" s="1091">
        <v>33.710568720379136</v>
      </c>
      <c r="DP95" s="1091">
        <v>36.056255924170621</v>
      </c>
      <c r="DQ95" s="1091">
        <v>37.033412322274884</v>
      </c>
      <c r="DR95" s="1091">
        <v>36.95568720379147</v>
      </c>
      <c r="DS95" s="1091">
        <v>34.327298578199056</v>
      </c>
      <c r="DT95" s="1091">
        <v>39.572417061611375</v>
      </c>
      <c r="DU95" s="1091">
        <v>37.64620853080568</v>
      </c>
      <c r="DV95" s="1091">
        <v>35.763981042654031</v>
      </c>
      <c r="DW95" s="1091">
        <v>40.769526066350714</v>
      </c>
      <c r="DX95" s="1091">
        <v>60.875284090909084</v>
      </c>
      <c r="DY95" s="1091">
        <v>39.13303317535545</v>
      </c>
      <c r="DZ95" s="1091">
        <v>33.817914691943123</v>
      </c>
      <c r="EA95" s="1099"/>
      <c r="EB95" s="1111">
        <v>27.681860374182349</v>
      </c>
      <c r="EC95" s="1112">
        <v>29.140948375763294</v>
      </c>
      <c r="ED95" s="1112">
        <v>33.310263293629006</v>
      </c>
      <c r="EE95" s="1112">
        <v>30.398543405222171</v>
      </c>
      <c r="EF95" s="1112">
        <v>33.846044826843318</v>
      </c>
      <c r="EG95" s="1112">
        <v>36.579530662454921</v>
      </c>
      <c r="EH95" s="1112">
        <v>43.883205618608848</v>
      </c>
      <c r="EI95" s="1112">
        <v>47.648768580114329</v>
      </c>
      <c r="EJ95" s="1112">
        <f t="shared" si="12"/>
        <v>46.739000597373028</v>
      </c>
      <c r="EK95" s="1113">
        <v>43.212784517738847</v>
      </c>
      <c r="EL95" s="1112">
        <f t="shared" si="13"/>
        <v>38.80513228403705</v>
      </c>
      <c r="EM95" s="1318">
        <v>39.015471936485717</v>
      </c>
    </row>
    <row r="96" spans="1:143">
      <c r="A96" s="998"/>
      <c r="B96" s="1166" t="s">
        <v>713</v>
      </c>
      <c r="C96" s="1171" t="s">
        <v>714</v>
      </c>
      <c r="D96" s="1098">
        <v>10.498778359511343</v>
      </c>
      <c r="E96" s="1099">
        <v>9.3703833811856114</v>
      </c>
      <c r="F96" s="1099">
        <v>8.7976608680966049</v>
      </c>
      <c r="G96" s="1099">
        <v>9.3594729493891791</v>
      </c>
      <c r="H96" s="1099">
        <v>9.1640347914203684</v>
      </c>
      <c r="I96" s="1099">
        <v>9.4209908925318757</v>
      </c>
      <c r="J96" s="1100">
        <v>8.8177672690423918</v>
      </c>
      <c r="K96" s="1101">
        <v>10.121486511978873</v>
      </c>
      <c r="L96" s="1102">
        <v>9.8512740183792804</v>
      </c>
      <c r="M96" s="1102">
        <v>13.489911337483491</v>
      </c>
      <c r="N96" s="1102">
        <v>9.5059259259259257</v>
      </c>
      <c r="O96" s="1102">
        <v>9.6228862478777568</v>
      </c>
      <c r="P96" s="1102">
        <v>11.352662768031188</v>
      </c>
      <c r="Q96" s="1102">
        <v>11.690528202225995</v>
      </c>
      <c r="R96" s="1102">
        <v>10.688315412186379</v>
      </c>
      <c r="S96" s="1102">
        <v>8.6082144249512673</v>
      </c>
      <c r="T96" s="1102">
        <v>10.35402754197321</v>
      </c>
      <c r="U96" s="1102">
        <v>11.690799220272906</v>
      </c>
      <c r="V96" s="1103">
        <v>8.1768345595170722</v>
      </c>
      <c r="W96" s="1098">
        <v>11.016411997736277</v>
      </c>
      <c r="X96" s="1099">
        <v>11.914633998790078</v>
      </c>
      <c r="Y96" s="1099">
        <v>10.03372948500283</v>
      </c>
      <c r="Z96" s="1099">
        <v>10.854481481481482</v>
      </c>
      <c r="AA96" s="1099">
        <v>10.139813242784381</v>
      </c>
      <c r="AB96" s="1099">
        <v>10.565200779727096</v>
      </c>
      <c r="AC96" s="1099">
        <v>11.526421429918882</v>
      </c>
      <c r="AD96" s="1099">
        <v>16.053801169590642</v>
      </c>
      <c r="AE96" s="1099">
        <v>12.549091617933723</v>
      </c>
      <c r="AF96" s="1099">
        <v>13.867002452367476</v>
      </c>
      <c r="AG96" s="1099">
        <v>11.412054580896687</v>
      </c>
      <c r="AH96" s="1100">
        <v>9.5921844934917928</v>
      </c>
      <c r="AI96" s="1104">
        <v>14.389057772917807</v>
      </c>
      <c r="AJ96" s="1104">
        <v>12.420427764326069</v>
      </c>
      <c r="AK96" s="1104">
        <v>11.793567474708913</v>
      </c>
      <c r="AL96" s="1104">
        <v>10.728120315581856</v>
      </c>
      <c r="AM96" s="1104">
        <v>10.80673220080168</v>
      </c>
      <c r="AN96" s="1104">
        <v>11.067611439842208</v>
      </c>
      <c r="AO96" s="1104">
        <v>11.665783546478337</v>
      </c>
      <c r="AP96" s="1104">
        <v>10.739036075586943</v>
      </c>
      <c r="AQ96" s="1104">
        <v>14.689250493096644</v>
      </c>
      <c r="AR96" s="1104">
        <v>9.8558885283451048</v>
      </c>
      <c r="AS96" s="1104">
        <v>10.883439842209073</v>
      </c>
      <c r="AT96" s="1104">
        <v>9.2368810841763711</v>
      </c>
      <c r="AU96" s="1098">
        <v>9.6168715403702976</v>
      </c>
      <c r="AV96" s="1099">
        <v>13.568655959425191</v>
      </c>
      <c r="AW96" s="1099">
        <v>12.828440542088186</v>
      </c>
      <c r="AX96" s="1099">
        <v>13.051076923076922</v>
      </c>
      <c r="AY96" s="1099">
        <v>12.208368009162054</v>
      </c>
      <c r="AZ96" s="1099">
        <v>11.998453648915188</v>
      </c>
      <c r="BA96" s="1099">
        <v>11.895781637717125</v>
      </c>
      <c r="BB96" s="1099">
        <v>12.039893109372018</v>
      </c>
      <c r="BC96" s="1099">
        <v>12.764639053254438</v>
      </c>
      <c r="BD96" s="1099">
        <v>13.467211299866387</v>
      </c>
      <c r="BE96" s="1099">
        <v>12.883907297830376</v>
      </c>
      <c r="BF96" s="1099">
        <v>10.747280015270089</v>
      </c>
      <c r="BG96" s="1105">
        <v>9.8665775911433471</v>
      </c>
      <c r="BH96" s="1105">
        <v>12.124683009298394</v>
      </c>
      <c r="BI96" s="1105">
        <v>11.698606604313802</v>
      </c>
      <c r="BJ96" s="1105">
        <v>8.7323471400394475</v>
      </c>
      <c r="BK96" s="1105">
        <v>10.503149456003054</v>
      </c>
      <c r="BL96" s="1105">
        <v>14.298047337278108</v>
      </c>
      <c r="BM96" s="1105">
        <v>11.795762550104982</v>
      </c>
      <c r="BN96" s="1105">
        <v>11.409452185531592</v>
      </c>
      <c r="BO96" s="1105">
        <v>12.293688362919132</v>
      </c>
      <c r="BP96" s="1105">
        <v>12.722847871731247</v>
      </c>
      <c r="BQ96" s="1105">
        <v>12.066666666666666</v>
      </c>
      <c r="BR96" s="1105">
        <v>11.554876884901699</v>
      </c>
      <c r="BS96" s="1106">
        <v>12.745753006298912</v>
      </c>
      <c r="BT96" s="1107">
        <v>11.867986125280552</v>
      </c>
      <c r="BU96" s="1107">
        <v>11.30536361901126</v>
      </c>
      <c r="BV96" s="1107">
        <v>11.07680473372781</v>
      </c>
      <c r="BW96" s="1107">
        <v>14.304745180377934</v>
      </c>
      <c r="BX96" s="1107">
        <v>14.745846153846154</v>
      </c>
      <c r="BY96" s="1107">
        <v>14.383702996755106</v>
      </c>
      <c r="BZ96" s="1107">
        <v>13.547600687154036</v>
      </c>
      <c r="CA96" s="1107">
        <v>14.512402366863906</v>
      </c>
      <c r="CB96" s="1107">
        <v>13.309791945027676</v>
      </c>
      <c r="CC96" s="1107">
        <v>15.096252465483234</v>
      </c>
      <c r="CD96" s="1107">
        <v>8.6506966978431006</v>
      </c>
      <c r="CE96" s="1087">
        <v>11.158618056881084</v>
      </c>
      <c r="CF96" s="1088">
        <v>12.352916314454777</v>
      </c>
      <c r="CG96" s="1088">
        <v>12.959152510020999</v>
      </c>
      <c r="CH96" s="1088">
        <v>12.404536489151873</v>
      </c>
      <c r="CI96" s="1088">
        <v>13.820385569765222</v>
      </c>
      <c r="CJ96" s="1088">
        <v>12.790729783037476</v>
      </c>
      <c r="CK96" s="1088">
        <v>12.248329833937772</v>
      </c>
      <c r="CL96" s="1088">
        <v>12.700133613284978</v>
      </c>
      <c r="CM96" s="1088">
        <v>15.96803353057199</v>
      </c>
      <c r="CN96" s="1088">
        <v>14.226380988738311</v>
      </c>
      <c r="CO96" s="1088">
        <v>15.371084812623275</v>
      </c>
      <c r="CP96" s="1088">
        <v>11.283061652987211</v>
      </c>
      <c r="CQ96" s="1108">
        <v>12.8007921359038</v>
      </c>
      <c r="CR96" s="1109">
        <v>14.783252324598479</v>
      </c>
      <c r="CS96" s="1109">
        <v>15.298345104027486</v>
      </c>
      <c r="CT96" s="1109">
        <v>12.546554240631162</v>
      </c>
      <c r="CU96" s="1109">
        <v>15.149835846535597</v>
      </c>
      <c r="CV96" s="1109">
        <v>16.199408284023669</v>
      </c>
      <c r="CW96" s="1109">
        <v>17.010000000000002</v>
      </c>
      <c r="CX96" s="1109">
        <v>15.863905325443787</v>
      </c>
      <c r="CY96" s="1109">
        <v>20.127218934911241</v>
      </c>
      <c r="CZ96" s="1109">
        <v>39.905325443786985</v>
      </c>
      <c r="DA96" s="1109">
        <v>23.925857988165678</v>
      </c>
      <c r="DB96" s="1110">
        <v>14.655443786982248</v>
      </c>
      <c r="DC96" s="1091">
        <v>13.055621301775149</v>
      </c>
      <c r="DD96" s="1091">
        <v>12.197633136094675</v>
      </c>
      <c r="DE96" s="1091">
        <v>11.363905325443788</v>
      </c>
      <c r="DF96" s="1091">
        <v>16.701893491124263</v>
      </c>
      <c r="DG96" s="1091">
        <v>15.129585798816569</v>
      </c>
      <c r="DH96" s="1091">
        <v>9.4502958579881664</v>
      </c>
      <c r="DI96" s="1091">
        <v>8.3426035502958591</v>
      </c>
      <c r="DJ96" s="1091">
        <v>8.9988439306358394</v>
      </c>
      <c r="DK96" s="1091">
        <v>12.496531791907515</v>
      </c>
      <c r="DL96" s="1091">
        <v>9.2682080924855494</v>
      </c>
      <c r="DM96" s="1091">
        <v>8.9021164021164019</v>
      </c>
      <c r="DN96" s="1092">
        <v>9.4978835978835967</v>
      </c>
      <c r="DO96" s="1091">
        <v>6.7602564102564111</v>
      </c>
      <c r="DP96" s="1091">
        <v>7.1115384615384611</v>
      </c>
      <c r="DQ96" s="1091">
        <v>8.6282051282051277</v>
      </c>
      <c r="DR96" s="1091">
        <v>7.796153846153846</v>
      </c>
      <c r="DS96" s="1091">
        <v>6.9230769230769234</v>
      </c>
      <c r="DT96" s="1091">
        <v>5.7602564102564102</v>
      </c>
      <c r="DU96" s="1091">
        <v>4.4230769230769234</v>
      </c>
      <c r="DV96" s="1091">
        <v>5.1307692307692312</v>
      </c>
      <c r="DW96" s="1091">
        <v>4.6307692307692312</v>
      </c>
      <c r="DX96" s="1091">
        <v>6.8410256410256407</v>
      </c>
      <c r="DY96" s="1091">
        <v>7.4333333333333336</v>
      </c>
      <c r="DZ96" s="1091">
        <v>11.2</v>
      </c>
      <c r="EA96" s="1099"/>
      <c r="EB96" s="1111">
        <v>9.5296170798898068</v>
      </c>
      <c r="EC96" s="1112">
        <v>10.435691580549548</v>
      </c>
      <c r="ED96" s="1112">
        <v>11.628577956731535</v>
      </c>
      <c r="EE96" s="1112">
        <v>11.526861656772368</v>
      </c>
      <c r="EF96" s="1112">
        <v>12.240503850206702</v>
      </c>
      <c r="EG96" s="1112">
        <v>11.581652265542678</v>
      </c>
      <c r="EH96" s="1112">
        <v>12.958437287806778</v>
      </c>
      <c r="EI96" s="1112">
        <v>13.101893491124263</v>
      </c>
      <c r="EJ96" s="1112">
        <f t="shared" si="12"/>
        <v>18.188828284584179</v>
      </c>
      <c r="EK96" s="1113">
        <v>11.223773173391491</v>
      </c>
      <c r="EL96" s="1112">
        <f t="shared" si="13"/>
        <v>6.8865384615384615</v>
      </c>
      <c r="EM96" s="1318">
        <v>7.1155982905982915</v>
      </c>
    </row>
    <row r="97" spans="1:143">
      <c r="A97" s="998"/>
      <c r="B97" s="1166" t="s">
        <v>715</v>
      </c>
      <c r="C97" s="1171" t="s">
        <v>716</v>
      </c>
      <c r="D97" s="1098">
        <v>54.386265503875968</v>
      </c>
      <c r="E97" s="1099">
        <v>52.534973743435856</v>
      </c>
      <c r="F97" s="1099">
        <v>49.017168042010503</v>
      </c>
      <c r="G97" s="1099">
        <v>67.754335276967922</v>
      </c>
      <c r="H97" s="1099">
        <v>62.552384087275463</v>
      </c>
      <c r="I97" s="1099">
        <v>60.62392614188532</v>
      </c>
      <c r="J97" s="1100">
        <v>38.610229079008882</v>
      </c>
      <c r="K97" s="1101">
        <v>56.715892666860412</v>
      </c>
      <c r="L97" s="1102">
        <v>54.76412483912484</v>
      </c>
      <c r="M97" s="1102">
        <v>59.414690496948559</v>
      </c>
      <c r="N97" s="1102">
        <v>58.273513513513514</v>
      </c>
      <c r="O97" s="1102">
        <v>58.714184829991282</v>
      </c>
      <c r="P97" s="1102">
        <v>77.072972972972991</v>
      </c>
      <c r="Q97" s="1102">
        <v>53.519977598566307</v>
      </c>
      <c r="R97" s="1102">
        <v>52.480770609318995</v>
      </c>
      <c r="S97" s="1102">
        <v>55.682912962962959</v>
      </c>
      <c r="T97" s="1102">
        <v>63.565842293906812</v>
      </c>
      <c r="U97" s="1102">
        <v>64.812370370370374</v>
      </c>
      <c r="V97" s="1103">
        <v>43.002150537634407</v>
      </c>
      <c r="W97" s="1098">
        <v>41.806971326164877</v>
      </c>
      <c r="X97" s="1099">
        <v>66.639272030651341</v>
      </c>
      <c r="Y97" s="1099">
        <v>52.136559139784943</v>
      </c>
      <c r="Z97" s="1099">
        <v>55.808200000000006</v>
      </c>
      <c r="AA97" s="1099">
        <v>56.789358442962701</v>
      </c>
      <c r="AB97" s="1099">
        <v>70.199076350093122</v>
      </c>
      <c r="AC97" s="1099">
        <v>70.302973508740322</v>
      </c>
      <c r="AD97" s="1099">
        <v>68.599207064335914</v>
      </c>
      <c r="AE97" s="1099">
        <v>74.136040968342641</v>
      </c>
      <c r="AF97" s="1099">
        <v>72.650847900522606</v>
      </c>
      <c r="AG97" s="1099">
        <v>75.554889199255115</v>
      </c>
      <c r="AH97" s="1100">
        <v>57.78571634528744</v>
      </c>
      <c r="AI97" s="1104">
        <v>42.214874551971327</v>
      </c>
      <c r="AJ97" s="1104">
        <v>44.578497023809526</v>
      </c>
      <c r="AK97" s="1104">
        <v>75.137544802867382</v>
      </c>
      <c r="AL97" s="1104">
        <v>58.140466666666669</v>
      </c>
      <c r="AM97" s="1104">
        <v>50.184767025089606</v>
      </c>
      <c r="AN97" s="1104">
        <v>51.334629629629632</v>
      </c>
      <c r="AO97" s="1104">
        <v>48.834835105424403</v>
      </c>
      <c r="AP97" s="1104">
        <v>60.45884723433111</v>
      </c>
      <c r="AQ97" s="1104">
        <v>52.384524524524529</v>
      </c>
      <c r="AR97" s="1104">
        <v>60.499699699699704</v>
      </c>
      <c r="AS97" s="1104">
        <v>64.950990990990988</v>
      </c>
      <c r="AT97" s="1104">
        <v>39.923809938971232</v>
      </c>
      <c r="AU97" s="1098">
        <v>49.802796641652435</v>
      </c>
      <c r="AV97" s="1099">
        <v>65.358141252006419</v>
      </c>
      <c r="AW97" s="1099">
        <v>58.667995650598037</v>
      </c>
      <c r="AX97" s="1099">
        <v>55.17778277153559</v>
      </c>
      <c r="AY97" s="1099">
        <v>58.364619064878568</v>
      </c>
      <c r="AZ97" s="1099">
        <v>60.412802996254676</v>
      </c>
      <c r="BA97" s="1099">
        <v>57.918956143530259</v>
      </c>
      <c r="BB97" s="1099">
        <v>56.140558173251172</v>
      </c>
      <c r="BC97" s="1099">
        <v>56.081902621722847</v>
      </c>
      <c r="BD97" s="1099">
        <v>64.523818774918425</v>
      </c>
      <c r="BE97" s="1099">
        <v>57.370337078651687</v>
      </c>
      <c r="BF97" s="1099">
        <v>52.423733236679951</v>
      </c>
      <c r="BG97" s="1105">
        <v>40.937251177963027</v>
      </c>
      <c r="BH97" s="1105">
        <v>61.179500802568214</v>
      </c>
      <c r="BI97" s="1105">
        <v>67.890659659296844</v>
      </c>
      <c r="BJ97" s="1105">
        <v>54.504866666666665</v>
      </c>
      <c r="BK97" s="1105">
        <v>48.434903950706769</v>
      </c>
      <c r="BL97" s="1105">
        <v>58.849801498127341</v>
      </c>
      <c r="BM97" s="1105">
        <v>59.779575208408836</v>
      </c>
      <c r="BN97" s="1105">
        <v>59.174938021022101</v>
      </c>
      <c r="BO97" s="1105">
        <v>61.13240449438203</v>
      </c>
      <c r="BP97" s="1105">
        <v>66.047969554186295</v>
      </c>
      <c r="BQ97" s="1105">
        <v>96.292483895131099</v>
      </c>
      <c r="BR97" s="1105">
        <v>62.608350851757869</v>
      </c>
      <c r="BS97" s="1106">
        <v>84.688075389633909</v>
      </c>
      <c r="BT97" s="1107">
        <v>91.011730337078646</v>
      </c>
      <c r="BU97" s="1107">
        <v>96.020529177238132</v>
      </c>
      <c r="BV97" s="1107">
        <v>86.995920599250937</v>
      </c>
      <c r="BW97" s="1107">
        <v>71.595109822399408</v>
      </c>
      <c r="BX97" s="1107">
        <v>77.391220973782779</v>
      </c>
      <c r="BY97" s="1107">
        <v>73.795231605654209</v>
      </c>
      <c r="BZ97" s="1107">
        <v>69.124914824211672</v>
      </c>
      <c r="CA97" s="1107">
        <v>70.256859176029963</v>
      </c>
      <c r="CB97" s="1107">
        <v>70.770061616527713</v>
      </c>
      <c r="CC97" s="1107">
        <v>84.552659176029962</v>
      </c>
      <c r="CD97" s="1107">
        <v>53.25232982964841</v>
      </c>
      <c r="CE97" s="1087">
        <v>59.30630663283798</v>
      </c>
      <c r="CF97" s="1088">
        <v>82.31607383627609</v>
      </c>
      <c r="CG97" s="1088">
        <v>82.346748822036957</v>
      </c>
      <c r="CH97" s="1088">
        <v>65.245393258426972</v>
      </c>
      <c r="CI97" s="1088">
        <v>66.325085900688649</v>
      </c>
      <c r="CJ97" s="1088">
        <v>70.527913857677902</v>
      </c>
      <c r="CK97" s="1088">
        <v>66.805619427328736</v>
      </c>
      <c r="CL97" s="1088">
        <v>61.203325117796304</v>
      </c>
      <c r="CM97" s="1088">
        <v>70.996719101123603</v>
      </c>
      <c r="CN97" s="1088">
        <v>67.113061254077564</v>
      </c>
      <c r="CO97" s="1088">
        <v>72.747145318352054</v>
      </c>
      <c r="CP97" s="1088">
        <v>50.16905545487495</v>
      </c>
      <c r="CQ97" s="1108">
        <v>62.296574845958673</v>
      </c>
      <c r="CR97" s="1109">
        <v>74.915886837881231</v>
      </c>
      <c r="CS97" s="1109">
        <v>70.080681406306624</v>
      </c>
      <c r="CT97" s="1109">
        <v>70.667191011235957</v>
      </c>
      <c r="CU97" s="1109">
        <v>52.523012685755702</v>
      </c>
      <c r="CV97" s="1109">
        <v>67.361348314606744</v>
      </c>
      <c r="CW97" s="1109">
        <v>71.05</v>
      </c>
      <c r="CX97" s="1109">
        <v>69.033033707865158</v>
      </c>
      <c r="CY97" s="1109">
        <v>78.888764044943827</v>
      </c>
      <c r="CZ97" s="1109">
        <v>71.533033707865158</v>
      </c>
      <c r="DA97" s="1109">
        <v>80.726494382022466</v>
      </c>
      <c r="DB97" s="1110">
        <v>51.655730337078658</v>
      </c>
      <c r="DC97" s="1091">
        <v>61.437775280898876</v>
      </c>
      <c r="DD97" s="1091">
        <v>67.138202247191018</v>
      </c>
      <c r="DE97" s="1091">
        <v>70.953483146067413</v>
      </c>
      <c r="DF97" s="1091">
        <v>55.155955056179778</v>
      </c>
      <c r="DG97" s="1091">
        <v>63.869213483146069</v>
      </c>
      <c r="DH97" s="1091">
        <v>62.229662921348314</v>
      </c>
      <c r="DI97" s="1091">
        <v>58.029887640449445</v>
      </c>
      <c r="DJ97" s="1091">
        <v>55.779203539823008</v>
      </c>
      <c r="DK97" s="1091">
        <v>62.772787610619467</v>
      </c>
      <c r="DL97" s="1091">
        <v>64.119690265486724</v>
      </c>
      <c r="DM97" s="1091">
        <v>75.788716814159287</v>
      </c>
      <c r="DN97" s="1092">
        <v>37.436323851203504</v>
      </c>
      <c r="DO97" s="1091">
        <v>35.267593880389434</v>
      </c>
      <c r="DP97" s="1091">
        <v>44.725312934631432</v>
      </c>
      <c r="DQ97" s="1091">
        <v>43.503894297635604</v>
      </c>
      <c r="DR97" s="1091">
        <v>45.946175243393604</v>
      </c>
      <c r="DS97" s="1091">
        <v>46.48803894297636</v>
      </c>
      <c r="DT97" s="1091">
        <v>46.321140472879001</v>
      </c>
      <c r="DU97" s="1091">
        <v>45.986926286509039</v>
      </c>
      <c r="DV97" s="1091">
        <v>41.122531293463148</v>
      </c>
      <c r="DW97" s="1091">
        <v>38.41585535465925</v>
      </c>
      <c r="DX97" s="1091">
        <v>78.353268428372743</v>
      </c>
      <c r="DY97" s="1091">
        <v>50.314464534075107</v>
      </c>
      <c r="DZ97" s="1091">
        <v>32.249930458970788</v>
      </c>
      <c r="EA97" s="1099"/>
      <c r="EB97" s="1111">
        <v>55.689877523002068</v>
      </c>
      <c r="EC97" s="1112">
        <v>58.027798329025472</v>
      </c>
      <c r="ED97" s="1112">
        <v>63.440547878418585</v>
      </c>
      <c r="EE97" s="1112">
        <v>54.056275676652987</v>
      </c>
      <c r="EF97" s="1112">
        <v>57.644796377298903</v>
      </c>
      <c r="EG97" s="1112">
        <v>61.335604986917019</v>
      </c>
      <c r="EH97" s="1112">
        <v>77.354846441947586</v>
      </c>
      <c r="EI97" s="1112">
        <v>67.785508203786321</v>
      </c>
      <c r="EJ97" s="1112">
        <f t="shared" si="12"/>
        <v>68.394312606793349</v>
      </c>
      <c r="EK97" s="1113">
        <v>61.110859145376438</v>
      </c>
      <c r="EL97" s="1112">
        <f t="shared" si="13"/>
        <v>45.724594343996294</v>
      </c>
      <c r="EM97" s="1318">
        <v>46.114321145490919</v>
      </c>
    </row>
    <row r="98" spans="1:143">
      <c r="A98" s="998"/>
      <c r="B98" s="1166" t="s">
        <v>717</v>
      </c>
      <c r="C98" s="1171" t="s">
        <v>718</v>
      </c>
      <c r="D98" s="1098">
        <v>23.705113050505059</v>
      </c>
      <c r="E98" s="1099">
        <v>23.900603512632117</v>
      </c>
      <c r="F98" s="1099">
        <v>22.9007038481232</v>
      </c>
      <c r="G98" s="1099">
        <v>23.151692448231429</v>
      </c>
      <c r="H98" s="1099">
        <v>23.329303163169431</v>
      </c>
      <c r="I98" s="1099">
        <v>26.051183445190155</v>
      </c>
      <c r="J98" s="1100">
        <v>18.166103769918383</v>
      </c>
      <c r="K98" s="1101">
        <v>22.518997357835794</v>
      </c>
      <c r="L98" s="1102">
        <v>24.652377894276977</v>
      </c>
      <c r="M98" s="1102">
        <v>25.682457607066794</v>
      </c>
      <c r="N98" s="1102">
        <v>24.348765281173584</v>
      </c>
      <c r="O98" s="1102">
        <v>25.307967702500196</v>
      </c>
      <c r="P98" s="1102">
        <v>26.222933374083123</v>
      </c>
      <c r="Q98" s="1102">
        <v>29.087825841493569</v>
      </c>
      <c r="R98" s="1102">
        <v>27.757737299594371</v>
      </c>
      <c r="S98" s="1102">
        <v>32.862565269461086</v>
      </c>
      <c r="T98" s="1102">
        <v>28.119034189685138</v>
      </c>
      <c r="U98" s="1102">
        <v>31.438210652304001</v>
      </c>
      <c r="V98" s="1103">
        <v>21.354856287425154</v>
      </c>
      <c r="W98" s="1098">
        <v>24.600436546262316</v>
      </c>
      <c r="X98" s="1099">
        <v>30.238543671278141</v>
      </c>
      <c r="Y98" s="1099">
        <v>30.419327796020863</v>
      </c>
      <c r="Z98" s="1099">
        <v>32.00293453093812</v>
      </c>
      <c r="AA98" s="1099">
        <v>30.337775738844879</v>
      </c>
      <c r="AB98" s="1099">
        <v>31.383076646706581</v>
      </c>
      <c r="AC98" s="1099">
        <v>32.574089627197218</v>
      </c>
      <c r="AD98" s="1099">
        <v>31.771021827313117</v>
      </c>
      <c r="AE98" s="1099">
        <v>32.790150099800393</v>
      </c>
      <c r="AF98" s="1099">
        <v>32.527623739467444</v>
      </c>
      <c r="AG98" s="1099">
        <v>36.718413428969924</v>
      </c>
      <c r="AH98" s="1100">
        <v>28.941460274078068</v>
      </c>
      <c r="AI98" s="1104">
        <v>26.07719343399679</v>
      </c>
      <c r="AJ98" s="1104">
        <v>30.42374209860936</v>
      </c>
      <c r="AK98" s="1104">
        <v>27.578292962229725</v>
      </c>
      <c r="AL98" s="1104">
        <v>23.620365824308056</v>
      </c>
      <c r="AM98" s="1104">
        <v>25.798325239912142</v>
      </c>
      <c r="AN98" s="1104">
        <v>27.017621004566205</v>
      </c>
      <c r="AO98" s="1104">
        <v>28.890122576802636</v>
      </c>
      <c r="AP98" s="1104">
        <v>28.553962691332703</v>
      </c>
      <c r="AQ98" s="1104">
        <v>30.7295272945411</v>
      </c>
      <c r="AR98" s="1104">
        <v>32.401980610742498</v>
      </c>
      <c r="AS98" s="1104">
        <v>31.611462951985757</v>
      </c>
      <c r="AT98" s="1104">
        <v>24.510834082260935</v>
      </c>
      <c r="AU98" s="1098">
        <v>26.091476575695626</v>
      </c>
      <c r="AV98" s="1099">
        <v>31.749357219952202</v>
      </c>
      <c r="AW98" s="1099">
        <v>30.902597531465979</v>
      </c>
      <c r="AX98" s="1099">
        <v>29.664971808510643</v>
      </c>
      <c r="AY98" s="1099">
        <v>29.746071722717918</v>
      </c>
      <c r="AZ98" s="1099">
        <v>29.622244503546113</v>
      </c>
      <c r="BA98" s="1099">
        <v>32.474350205902553</v>
      </c>
      <c r="BB98" s="1099">
        <v>30.370527968428281</v>
      </c>
      <c r="BC98" s="1099">
        <v>29.612792553191504</v>
      </c>
      <c r="BD98" s="1099">
        <v>33.935006520247079</v>
      </c>
      <c r="BE98" s="1099">
        <v>34.999794326241137</v>
      </c>
      <c r="BF98" s="1099">
        <v>26.197689773507204</v>
      </c>
      <c r="BG98" s="1105">
        <v>26.387612731640356</v>
      </c>
      <c r="BH98" s="1105">
        <v>33.890691869300909</v>
      </c>
      <c r="BI98" s="1105">
        <v>33.325506348661634</v>
      </c>
      <c r="BJ98" s="1105">
        <v>32.063265602836886</v>
      </c>
      <c r="BK98" s="1105">
        <v>31.882311770761831</v>
      </c>
      <c r="BL98" s="1105">
        <v>32.910145390070923</v>
      </c>
      <c r="BM98" s="1105">
        <v>34.427584763212089</v>
      </c>
      <c r="BN98" s="1105">
        <v>34.359216197666434</v>
      </c>
      <c r="BO98" s="1105">
        <v>33.62376524822696</v>
      </c>
      <c r="BP98" s="1105">
        <v>36.793838709677431</v>
      </c>
      <c r="BQ98" s="1105">
        <v>39.35276684118675</v>
      </c>
      <c r="BR98" s="1105">
        <v>28.480390474581998</v>
      </c>
      <c r="BS98" s="1106">
        <v>31.729659179192701</v>
      </c>
      <c r="BT98" s="1107">
        <v>35.88130691460551</v>
      </c>
      <c r="BU98" s="1107">
        <v>41.739084107414293</v>
      </c>
      <c r="BV98" s="1107">
        <v>36.695298778359529</v>
      </c>
      <c r="BW98" s="1107">
        <v>42.505709846309749</v>
      </c>
      <c r="BX98" s="1107">
        <v>44.318541666666682</v>
      </c>
      <c r="BY98" s="1107">
        <v>39.154316295968968</v>
      </c>
      <c r="BZ98" s="1107">
        <v>38.569069736992844</v>
      </c>
      <c r="CA98" s="1107">
        <v>41.912790630813468</v>
      </c>
      <c r="CB98" s="1107">
        <v>42.98844536095973</v>
      </c>
      <c r="CC98" s="1107">
        <v>47.541451040081192</v>
      </c>
      <c r="CD98" s="1107">
        <v>33.50954648860084</v>
      </c>
      <c r="CE98" s="1087">
        <v>35.199999345346228</v>
      </c>
      <c r="CF98" s="1088">
        <v>45.786825940421835</v>
      </c>
      <c r="CG98" s="1088">
        <v>49.972168540613083</v>
      </c>
      <c r="CH98" s="1088">
        <v>45.737356164383577</v>
      </c>
      <c r="CI98" s="1088">
        <v>44.727060931899629</v>
      </c>
      <c r="CJ98" s="1088">
        <v>45.908337053948934</v>
      </c>
      <c r="CK98" s="1088">
        <v>46.780943356082545</v>
      </c>
      <c r="CL98" s="1088">
        <v>43.495276418515544</v>
      </c>
      <c r="CM98" s="1088">
        <v>48.381321878579612</v>
      </c>
      <c r="CN98" s="1088">
        <v>49.062748982532831</v>
      </c>
      <c r="CO98" s="1088">
        <v>48.297949108165611</v>
      </c>
      <c r="CP98" s="1088">
        <v>36.648350990545872</v>
      </c>
      <c r="CQ98" s="1108">
        <v>42.230307536383357</v>
      </c>
      <c r="CR98" s="1109">
        <v>54.900743039483842</v>
      </c>
      <c r="CS98" s="1109">
        <v>50.213391447262431</v>
      </c>
      <c r="CT98" s="1109">
        <v>45.771830751291013</v>
      </c>
      <c r="CU98" s="1109">
        <v>48.485211265335082</v>
      </c>
      <c r="CV98" s="1109">
        <v>43.978560719640178</v>
      </c>
      <c r="CW98" s="1109">
        <v>46.96</v>
      </c>
      <c r="CX98" s="1109">
        <v>46.676511744127936</v>
      </c>
      <c r="CY98" s="1109">
        <v>54.317691154422789</v>
      </c>
      <c r="CZ98" s="1109">
        <v>49.496601699150418</v>
      </c>
      <c r="DA98" s="1109">
        <v>54.730269461077839</v>
      </c>
      <c r="DB98" s="1110">
        <v>39.176601796407176</v>
      </c>
      <c r="DC98" s="1091">
        <v>41.778348303393209</v>
      </c>
      <c r="DD98" s="1091">
        <v>40.452095808383234</v>
      </c>
      <c r="DE98" s="1091">
        <v>49.648602794411175</v>
      </c>
      <c r="DF98" s="1091">
        <v>44.809011976047906</v>
      </c>
      <c r="DG98" s="1091">
        <v>45.714870259481039</v>
      </c>
      <c r="DH98" s="1091">
        <v>46.874424424424426</v>
      </c>
      <c r="DI98" s="1091">
        <v>45.750750750750754</v>
      </c>
      <c r="DJ98" s="1091">
        <v>42.732500000000009</v>
      </c>
      <c r="DK98" s="1091">
        <v>40.779635416666665</v>
      </c>
      <c r="DL98" s="1091">
        <v>44.834635416666671</v>
      </c>
      <c r="DM98" s="1091">
        <v>45.4650760356581</v>
      </c>
      <c r="DN98" s="1092">
        <v>36.271428571428572</v>
      </c>
      <c r="DO98" s="1091">
        <v>37.65897264843229</v>
      </c>
      <c r="DP98" s="1091">
        <v>40.750633755837228</v>
      </c>
      <c r="DQ98" s="1091">
        <v>41.344296197464971</v>
      </c>
      <c r="DR98" s="1091">
        <v>40.606871247498333</v>
      </c>
      <c r="DS98" s="1091">
        <v>38.334956637758502</v>
      </c>
      <c r="DT98" s="1091">
        <v>42.028285523682456</v>
      </c>
      <c r="DU98" s="1091">
        <v>36.795263509006006</v>
      </c>
      <c r="DV98" s="1091">
        <v>39.863975983989327</v>
      </c>
      <c r="DW98" s="1091">
        <v>41.687991994663108</v>
      </c>
      <c r="DX98" s="1091">
        <v>63.145096731154105</v>
      </c>
      <c r="DY98" s="1091">
        <v>40.404536357571715</v>
      </c>
      <c r="DZ98" s="1091">
        <v>29.133889259506333</v>
      </c>
      <c r="EA98" s="1099"/>
      <c r="EB98" s="1111">
        <v>23.009617776997043</v>
      </c>
      <c r="EC98" s="1112">
        <v>26.623100440302146</v>
      </c>
      <c r="ED98" s="1112">
        <v>31.17542083000184</v>
      </c>
      <c r="EE98" s="1112">
        <v>28.085417829935761</v>
      </c>
      <c r="EF98" s="1112">
        <v>30.441652543614477</v>
      </c>
      <c r="EG98" s="1112">
        <v>33.110432942406021</v>
      </c>
      <c r="EH98" s="1112">
        <v>39.724682698683857</v>
      </c>
      <c r="EI98" s="1112">
        <v>44.972870517728957</v>
      </c>
      <c r="EJ98" s="1112">
        <f t="shared" si="12"/>
        <v>48.078143384548504</v>
      </c>
      <c r="EK98" s="1113">
        <v>43.808793393610934</v>
      </c>
      <c r="EL98" s="1112">
        <f t="shared" si="13"/>
        <v>40.979564153880368</v>
      </c>
      <c r="EM98" s="1318">
        <v>41.198560151211922</v>
      </c>
    </row>
    <row r="99" spans="1:143">
      <c r="A99" s="998"/>
      <c r="B99" s="1166" t="s">
        <v>719</v>
      </c>
      <c r="C99" s="1171" t="s">
        <v>720</v>
      </c>
      <c r="D99" s="1098">
        <v>3.8639266450916936</v>
      </c>
      <c r="E99" s="1099">
        <v>3.499430003131851</v>
      </c>
      <c r="F99" s="1099">
        <v>4.0839521399957839</v>
      </c>
      <c r="G99" s="1099">
        <v>3.6568975188781017</v>
      </c>
      <c r="H99" s="1099">
        <v>3.0534443288241415</v>
      </c>
      <c r="I99" s="1099">
        <v>2.7774865156418556</v>
      </c>
      <c r="J99" s="1100">
        <v>3.0850819500991751</v>
      </c>
      <c r="K99" s="1101">
        <v>3.3265476563315586</v>
      </c>
      <c r="L99" s="1102">
        <v>3.7170665742024975</v>
      </c>
      <c r="M99" s="1102">
        <v>3.2104353272784212</v>
      </c>
      <c r="N99" s="1102">
        <v>3.3265372168284788</v>
      </c>
      <c r="O99" s="1102">
        <v>3.2437623969099065</v>
      </c>
      <c r="P99" s="1102">
        <v>3.6864077669902913</v>
      </c>
      <c r="Q99" s="1102">
        <v>3.5862596978358523</v>
      </c>
      <c r="R99" s="1102">
        <v>4.3256431196406693</v>
      </c>
      <c r="S99" s="1102">
        <v>3.5589662447257382</v>
      </c>
      <c r="T99" s="1102">
        <v>3.5209269089424255</v>
      </c>
      <c r="U99" s="1102">
        <v>3.3938185654008444</v>
      </c>
      <c r="V99" s="1103">
        <v>3.3901592486729277</v>
      </c>
      <c r="W99" s="1098">
        <v>3.6380971825234791</v>
      </c>
      <c r="X99" s="1099">
        <v>4.0959188127455262</v>
      </c>
      <c r="Y99" s="1099">
        <v>3.9011841567986933</v>
      </c>
      <c r="Z99" s="1099">
        <v>3.266139240506329</v>
      </c>
      <c r="AA99" s="1099">
        <v>3.2035524703960805</v>
      </c>
      <c r="AB99" s="1099">
        <v>3.7094936708860757</v>
      </c>
      <c r="AC99" s="1099">
        <v>4.1061657819518169</v>
      </c>
      <c r="AD99" s="1099">
        <v>4.0115761535320544</v>
      </c>
      <c r="AE99" s="1099">
        <v>3.8094936708860758</v>
      </c>
      <c r="AF99" s="1099">
        <v>3.7969017966516949</v>
      </c>
      <c r="AG99" s="1099">
        <v>3.7340717299578059</v>
      </c>
      <c r="AH99" s="1100">
        <v>3.8965567578603517</v>
      </c>
      <c r="AI99" s="1104">
        <v>3.8718129848917924</v>
      </c>
      <c r="AJ99" s="1104">
        <v>4.0893422242314648</v>
      </c>
      <c r="AK99" s="1104">
        <v>4.1337850136515319</v>
      </c>
      <c r="AL99" s="1104">
        <v>3.9306687565308249</v>
      </c>
      <c r="AM99" s="1104">
        <v>3.9622206492061887</v>
      </c>
      <c r="AN99" s="1104">
        <v>4.0730407523510967</v>
      </c>
      <c r="AO99" s="1104">
        <v>3.7157447669127315</v>
      </c>
      <c r="AP99" s="1104">
        <v>2.8790575386793411</v>
      </c>
      <c r="AQ99" s="1104">
        <v>2.7124346917450364</v>
      </c>
      <c r="AR99" s="1104">
        <v>2.9064617251491556</v>
      </c>
      <c r="AS99" s="1104">
        <v>2.7830721003134795</v>
      </c>
      <c r="AT99" s="1104">
        <v>2.6381838406310041</v>
      </c>
      <c r="AU99" s="1098">
        <v>2.796541611892001</v>
      </c>
      <c r="AV99" s="1099">
        <v>3.3368786386027764</v>
      </c>
      <c r="AW99" s="1099">
        <v>3.0527859237536656</v>
      </c>
      <c r="AX99" s="1099">
        <v>3.1385579937304073</v>
      </c>
      <c r="AY99" s="1099">
        <v>2.3901304479724952</v>
      </c>
      <c r="AZ99" s="1099">
        <v>2.7256008359456629</v>
      </c>
      <c r="BA99" s="1099">
        <v>2.6323187379917079</v>
      </c>
      <c r="BB99" s="1099">
        <v>2.8808777429467085</v>
      </c>
      <c r="BC99" s="1099">
        <v>2.8377220480668757</v>
      </c>
      <c r="BD99" s="1099">
        <v>2.9302255030842352</v>
      </c>
      <c r="BE99" s="1099">
        <v>2.8942528735632185</v>
      </c>
      <c r="BF99" s="1099">
        <v>3.0643138841136617</v>
      </c>
      <c r="BG99" s="1105">
        <v>2.8567640813024573</v>
      </c>
      <c r="BH99" s="1105">
        <v>3.1269592476489034</v>
      </c>
      <c r="BI99" s="1105">
        <v>2.8890686621498638</v>
      </c>
      <c r="BJ99" s="1105">
        <v>3.3618599791013586</v>
      </c>
      <c r="BK99" s="1105">
        <v>3.2780867630700778</v>
      </c>
      <c r="BL99" s="1105">
        <v>3.2792058516196456</v>
      </c>
      <c r="BM99" s="1105">
        <v>3.2091212458286984</v>
      </c>
      <c r="BN99" s="1105">
        <v>3.0432804125796347</v>
      </c>
      <c r="BO99" s="1105">
        <v>3.2559038662486941</v>
      </c>
      <c r="BP99" s="1105">
        <v>3.1675599150571343</v>
      </c>
      <c r="BQ99" s="1105">
        <v>3.5230929989550681</v>
      </c>
      <c r="BR99" s="1105">
        <v>3.1661442006269591</v>
      </c>
      <c r="BS99" s="1106">
        <v>3.0369096976438468</v>
      </c>
      <c r="BT99" s="1107">
        <v>3.1889525456707388</v>
      </c>
      <c r="BU99" s="1107">
        <v>2.967741935483871</v>
      </c>
      <c r="BV99" s="1107">
        <v>2.8037617554858936</v>
      </c>
      <c r="BW99" s="1107">
        <v>2.7757103852765699</v>
      </c>
      <c r="BX99" s="1107">
        <v>2.790700104493208</v>
      </c>
      <c r="BY99" s="1107">
        <v>2.9492940327733694</v>
      </c>
      <c r="BZ99" s="1107">
        <v>2.9204369782541484</v>
      </c>
      <c r="CA99" s="1107">
        <v>3.1167199148029816</v>
      </c>
      <c r="CB99" s="1107">
        <v>3.0204060599814486</v>
      </c>
      <c r="CC99" s="1107">
        <v>3.1093716719914806</v>
      </c>
      <c r="CD99" s="1107">
        <v>2.6959703184582087</v>
      </c>
      <c r="CE99" s="1087">
        <v>2.8459239410491599</v>
      </c>
      <c r="CF99" s="1088">
        <v>3.2687129164764945</v>
      </c>
      <c r="CG99" s="1088">
        <v>3.0045346799958774</v>
      </c>
      <c r="CH99" s="1088">
        <v>3.039723109691161</v>
      </c>
      <c r="CI99" s="1088">
        <v>2.8371637637843965</v>
      </c>
      <c r="CJ99" s="1088">
        <v>2.909612353567625</v>
      </c>
      <c r="CK99" s="1088">
        <v>3.1311924147170975</v>
      </c>
      <c r="CL99" s="1088">
        <v>5.1406884468721019</v>
      </c>
      <c r="CM99" s="1088">
        <v>3.7203578274760387</v>
      </c>
      <c r="CN99" s="1088">
        <v>3.4473224775842533</v>
      </c>
      <c r="CO99" s="1088">
        <v>3.2476741214057507</v>
      </c>
      <c r="CP99" s="1088">
        <v>3.1813799855714726</v>
      </c>
      <c r="CQ99" s="1108">
        <v>3.2538936411419144</v>
      </c>
      <c r="CR99" s="1109">
        <v>3.7044511638521227</v>
      </c>
      <c r="CS99" s="1109">
        <v>3.6935937338967331</v>
      </c>
      <c r="CT99" s="1109">
        <v>3.3934185303514379</v>
      </c>
      <c r="CU99" s="1109">
        <v>3.4900546222817685</v>
      </c>
      <c r="CV99" s="1109">
        <v>3.3587859424920126</v>
      </c>
      <c r="CW99" s="1109">
        <v>3.74</v>
      </c>
      <c r="CX99" s="1109">
        <v>3.3932907348242809</v>
      </c>
      <c r="CY99" s="1109">
        <v>3.5159744408945688</v>
      </c>
      <c r="CZ99" s="1109">
        <v>3.3555910543130985</v>
      </c>
      <c r="DA99" s="1109">
        <v>5.2230031948881788</v>
      </c>
      <c r="DB99" s="1110">
        <v>4.9581789137380179</v>
      </c>
      <c r="DC99" s="1091">
        <v>4.847667731629393</v>
      </c>
      <c r="DD99" s="1091">
        <v>5.2188498402555901</v>
      </c>
      <c r="DE99" s="1091">
        <v>5.4111821086261989</v>
      </c>
      <c r="DF99" s="1091">
        <v>5.8499361022364216</v>
      </c>
      <c r="DG99" s="1091">
        <v>5.2696485623003193</v>
      </c>
      <c r="DH99" s="1091">
        <v>4.6060702875399357</v>
      </c>
      <c r="DI99" s="1091">
        <v>5.3086261980830667</v>
      </c>
      <c r="DJ99" s="1091">
        <v>5.7188811188811188</v>
      </c>
      <c r="DK99" s="1091">
        <v>5.4695804195804198</v>
      </c>
      <c r="DL99" s="1091">
        <v>4.7139860139860135</v>
      </c>
      <c r="DM99" s="1091">
        <v>5.024468085106383</v>
      </c>
      <c r="DN99" s="1092">
        <v>7.2</v>
      </c>
      <c r="DO99" s="1091">
        <v>6.7561403508771942</v>
      </c>
      <c r="DP99" s="1091">
        <v>6.2666666666666666</v>
      </c>
      <c r="DQ99" s="1091">
        <v>6.1947368421052635</v>
      </c>
      <c r="DR99" s="1091">
        <v>5.712280701754386</v>
      </c>
      <c r="DS99" s="1091">
        <v>6.1701754385964902</v>
      </c>
      <c r="DT99" s="1091">
        <v>6.2649122807017541</v>
      </c>
      <c r="DU99" s="1091">
        <v>5.9614035087719293</v>
      </c>
      <c r="DV99" s="1091">
        <v>6.3947368421052628</v>
      </c>
      <c r="DW99" s="1091">
        <v>6.8754385964912279</v>
      </c>
      <c r="DX99" s="1091">
        <v>6.7807017543859649</v>
      </c>
      <c r="DY99" s="1091">
        <v>6.7368421052631575</v>
      </c>
      <c r="DZ99" s="1091">
        <v>6.8210526315789473</v>
      </c>
      <c r="EA99" s="1099"/>
      <c r="EB99" s="1111">
        <v>3.4335082598022955</v>
      </c>
      <c r="EC99" s="1112">
        <v>3.523868224733286</v>
      </c>
      <c r="ED99" s="1112">
        <v>3.763750432316527</v>
      </c>
      <c r="EE99" s="1112">
        <v>3.4699261986271899</v>
      </c>
      <c r="EF99" s="1112">
        <v>2.8862455447245234</v>
      </c>
      <c r="EG99" s="1112">
        <v>3.1782671877012922</v>
      </c>
      <c r="EH99" s="1112">
        <v>2.9464072632944238</v>
      </c>
      <c r="EI99" s="1112">
        <v>3.3158338658146964</v>
      </c>
      <c r="EJ99" s="1112">
        <f t="shared" si="12"/>
        <v>3.7566863310561782</v>
      </c>
      <c r="EK99" s="1113">
        <v>5.3809436878375196</v>
      </c>
      <c r="EL99" s="1112">
        <f t="shared" si="13"/>
        <v>6.4112573099415213</v>
      </c>
      <c r="EM99" s="1318">
        <v>6.4904970760233915</v>
      </c>
    </row>
    <row r="100" spans="1:143">
      <c r="A100" s="998"/>
      <c r="B100" s="1143" t="s">
        <v>731</v>
      </c>
      <c r="C100" s="1167"/>
      <c r="D100" s="1098">
        <v>23.060772973509934</v>
      </c>
      <c r="E100" s="1099">
        <v>23.1781896947478</v>
      </c>
      <c r="F100" s="1099">
        <v>23.08074115188716</v>
      </c>
      <c r="G100" s="1099">
        <v>24.455241414345867</v>
      </c>
      <c r="H100" s="1099">
        <v>25.030611278150968</v>
      </c>
      <c r="I100" s="1099">
        <v>25.796187687687684</v>
      </c>
      <c r="J100" s="1100">
        <v>19.135151070464609</v>
      </c>
      <c r="K100" s="1101">
        <v>23.464850438677882</v>
      </c>
      <c r="L100" s="1102">
        <v>24.725445419589654</v>
      </c>
      <c r="M100" s="1102">
        <v>25.543048009227942</v>
      </c>
      <c r="N100" s="1102">
        <v>24.308286066584468</v>
      </c>
      <c r="O100" s="1102">
        <v>24.452660130199011</v>
      </c>
      <c r="P100" s="1102">
        <v>28.210524523907395</v>
      </c>
      <c r="Q100" s="1102">
        <v>27.369089901566646</v>
      </c>
      <c r="R100" s="1102">
        <v>26.165522575414837</v>
      </c>
      <c r="S100" s="1102">
        <v>27.660336779512132</v>
      </c>
      <c r="T100" s="1102">
        <v>27.725954892331437</v>
      </c>
      <c r="U100" s="1102">
        <v>29.462693554924989</v>
      </c>
      <c r="V100" s="1103">
        <v>21.296149858937504</v>
      </c>
      <c r="W100" s="1098">
        <v>24.031775123558493</v>
      </c>
      <c r="X100" s="1099">
        <v>28.641176541018709</v>
      </c>
      <c r="Y100" s="1099">
        <v>26.815026091081599</v>
      </c>
      <c r="Z100" s="1099">
        <v>29.055531930827893</v>
      </c>
      <c r="AA100" s="1099">
        <v>28.982583814189336</v>
      </c>
      <c r="AB100" s="1099">
        <v>31.15677343430206</v>
      </c>
      <c r="AC100" s="1099">
        <v>31.867952279719539</v>
      </c>
      <c r="AD100" s="1099">
        <v>29.768484016214856</v>
      </c>
      <c r="AE100" s="1099">
        <v>31.882683790421602</v>
      </c>
      <c r="AF100" s="1099">
        <v>32.303136072420656</v>
      </c>
      <c r="AG100" s="1099">
        <v>34.03552858992709</v>
      </c>
      <c r="AH100" s="1100">
        <v>26.16554372042129</v>
      </c>
      <c r="AI100" s="1104">
        <v>24.595057619844759</v>
      </c>
      <c r="AJ100" s="1104">
        <v>26.320134589021531</v>
      </c>
      <c r="AK100" s="1104">
        <v>28.273241575887937</v>
      </c>
      <c r="AL100" s="1104">
        <v>25.271200995431929</v>
      </c>
      <c r="AM100" s="1104">
        <v>25.04599877576004</v>
      </c>
      <c r="AN100" s="1104">
        <v>26.330969900801733</v>
      </c>
      <c r="AO100" s="1104">
        <v>27.586833896611108</v>
      </c>
      <c r="AP100" s="1104">
        <v>28.203740198970017</v>
      </c>
      <c r="AQ100" s="1104">
        <v>27.04361113393589</v>
      </c>
      <c r="AR100" s="1104">
        <v>29.134941066997527</v>
      </c>
      <c r="AS100" s="1104">
        <v>29.963184738134213</v>
      </c>
      <c r="AT100" s="1104">
        <v>23.120124769891582</v>
      </c>
      <c r="AU100" s="1098">
        <v>25.465046424991968</v>
      </c>
      <c r="AV100" s="1099">
        <v>30.978376112821355</v>
      </c>
      <c r="AW100" s="1099">
        <v>30.665018944019618</v>
      </c>
      <c r="AX100" s="1099">
        <v>28.292512969041663</v>
      </c>
      <c r="AY100" s="1099">
        <v>29.59685012052395</v>
      </c>
      <c r="AZ100" s="1099">
        <v>30.327708631009877</v>
      </c>
      <c r="BA100" s="1099">
        <v>30.467979433070287</v>
      </c>
      <c r="BB100" s="1099">
        <v>29.336233112632296</v>
      </c>
      <c r="BC100" s="1099">
        <v>28.582265688356848</v>
      </c>
      <c r="BD100" s="1099">
        <v>32.405938623099487</v>
      </c>
      <c r="BE100" s="1099">
        <v>31.571223595288672</v>
      </c>
      <c r="BF100" s="1099">
        <v>28.901331992102104</v>
      </c>
      <c r="BG100" s="1105">
        <v>26.757635488231006</v>
      </c>
      <c r="BH100" s="1105">
        <v>32.939776501255082</v>
      </c>
      <c r="BI100" s="1105">
        <v>32.388211823181713</v>
      </c>
      <c r="BJ100" s="1105">
        <v>28.7070413850808</v>
      </c>
      <c r="BK100" s="1105">
        <v>30.017923935994606</v>
      </c>
      <c r="BL100" s="1105">
        <v>31.262751110252978</v>
      </c>
      <c r="BM100" s="1105">
        <v>32.068774953441014</v>
      </c>
      <c r="BN100" s="1105">
        <v>32.102329070875548</v>
      </c>
      <c r="BO100" s="1105">
        <v>32.337887751818258</v>
      </c>
      <c r="BP100" s="1105">
        <v>33.514831711863486</v>
      </c>
      <c r="BQ100" s="1105">
        <v>39.294548217828151</v>
      </c>
      <c r="BR100" s="1105">
        <v>31.956349742071733</v>
      </c>
      <c r="BS100" s="1106">
        <v>34.30439549415096</v>
      </c>
      <c r="BT100" s="1107">
        <v>37.81920561892219</v>
      </c>
      <c r="BU100" s="1107">
        <v>40.648737544820094</v>
      </c>
      <c r="BV100" s="1107">
        <v>36.633444551097504</v>
      </c>
      <c r="BW100" s="1107">
        <v>37.972910246246876</v>
      </c>
      <c r="BX100" s="1107">
        <v>40.748091081954769</v>
      </c>
      <c r="BY100" s="1107">
        <v>38.094958932113272</v>
      </c>
      <c r="BZ100" s="1107">
        <v>37.279113359535664</v>
      </c>
      <c r="CA100" s="1107">
        <v>38.328007355714838</v>
      </c>
      <c r="CB100" s="1107">
        <v>40.439852277290377</v>
      </c>
      <c r="CC100" s="1107">
        <v>44.503281780460206</v>
      </c>
      <c r="CD100" s="1107">
        <v>34.527327423613713</v>
      </c>
      <c r="CE100" s="1087">
        <v>37.119848261763664</v>
      </c>
      <c r="CF100" s="1088">
        <v>45.533944198954572</v>
      </c>
      <c r="CG100" s="1088">
        <v>50.571531984278579</v>
      </c>
      <c r="CH100" s="1088">
        <v>37.469868225826744</v>
      </c>
      <c r="CI100" s="1088">
        <v>38.467772416982015</v>
      </c>
      <c r="CJ100" s="1088">
        <v>41.4526230353326</v>
      </c>
      <c r="CK100" s="1088">
        <v>41.399703459437085</v>
      </c>
      <c r="CL100" s="1088">
        <v>37.963118179414472</v>
      </c>
      <c r="CM100" s="1088">
        <v>42.893662754595105</v>
      </c>
      <c r="CN100" s="1088">
        <v>41.926892937839547</v>
      </c>
      <c r="CO100" s="1088">
        <v>44.327548124689493</v>
      </c>
      <c r="CP100" s="1088">
        <v>34.333245036296354</v>
      </c>
      <c r="CQ100" s="1108">
        <v>37.953374957934741</v>
      </c>
      <c r="CR100" s="1109">
        <v>47.68667127954015</v>
      </c>
      <c r="CS100" s="1109">
        <v>43.07812361256449</v>
      </c>
      <c r="CT100" s="1109">
        <v>41.444140972743199</v>
      </c>
      <c r="CU100" s="1109">
        <v>40.089905984560652</v>
      </c>
      <c r="CV100" s="1109">
        <v>39.84246061515379</v>
      </c>
      <c r="CW100" s="1109">
        <v>42.72</v>
      </c>
      <c r="CX100" s="1109">
        <v>40.92895180948809</v>
      </c>
      <c r="CY100" s="1109">
        <v>46.331953549353813</v>
      </c>
      <c r="CZ100" s="1109">
        <v>44.331766248361113</v>
      </c>
      <c r="DA100" s="1109">
        <v>48.645898539872697</v>
      </c>
      <c r="DB100" s="1110">
        <v>37.623448146761497</v>
      </c>
      <c r="DC100" s="1091">
        <v>39.07872519655561</v>
      </c>
      <c r="DD100" s="1091">
        <v>39.194721078247845</v>
      </c>
      <c r="DE100" s="1091">
        <v>43.579614376637949</v>
      </c>
      <c r="DF100" s="1091">
        <v>40.136302882815428</v>
      </c>
      <c r="DG100" s="1091">
        <v>41.028940471733428</v>
      </c>
      <c r="DH100" s="1091">
        <v>41.490192775594238</v>
      </c>
      <c r="DI100" s="1091">
        <v>40.795545573647765</v>
      </c>
      <c r="DJ100" s="1091">
        <v>35.1780330358838</v>
      </c>
      <c r="DK100" s="1091">
        <v>36.523030187962789</v>
      </c>
      <c r="DL100" s="1091">
        <v>39.77643820011393</v>
      </c>
      <c r="DM100" s="1091">
        <v>40.83435839028094</v>
      </c>
      <c r="DN100" s="1092">
        <v>30.795355450236968</v>
      </c>
      <c r="DO100" s="1091">
        <v>30.90305229852969</v>
      </c>
      <c r="DP100" s="1091">
        <v>33.854531918853525</v>
      </c>
      <c r="DQ100" s="1091">
        <v>34.20158198399406</v>
      </c>
      <c r="DR100" s="1091">
        <v>34.207593523171411</v>
      </c>
      <c r="DS100" s="1091">
        <v>32.515559277870835</v>
      </c>
      <c r="DT100" s="1091">
        <v>36.128270984552394</v>
      </c>
      <c r="DU100" s="1091">
        <v>33.486916061790431</v>
      </c>
      <c r="DV100" s="1091">
        <v>33.155611390284768</v>
      </c>
      <c r="DW100" s="1091">
        <v>34.732793597617722</v>
      </c>
      <c r="DX100" s="1091">
        <v>54.906846511627897</v>
      </c>
      <c r="DY100" s="1091">
        <v>35.869030336869535</v>
      </c>
      <c r="DZ100" s="1091">
        <v>28.069086171598748</v>
      </c>
      <c r="EA100" s="1099"/>
      <c r="EB100" s="1111">
        <v>23.442721941067248</v>
      </c>
      <c r="EC100" s="1112">
        <v>25.869216807616958</v>
      </c>
      <c r="ED100" s="1112">
        <v>29.544509667994834</v>
      </c>
      <c r="EE100" s="1112">
        <v>26.734194149472234</v>
      </c>
      <c r="EF100" s="1112">
        <v>29.709056841375531</v>
      </c>
      <c r="EG100" s="1112">
        <v>31.931333609776672</v>
      </c>
      <c r="EH100" s="1112">
        <v>38.432827533867147</v>
      </c>
      <c r="EI100" s="1112">
        <v>41.076504733392078</v>
      </c>
      <c r="EJ100" s="1112">
        <f t="shared" si="12"/>
        <v>42.556391309694519</v>
      </c>
      <c r="EK100" s="1113">
        <v>39.038581514153336</v>
      </c>
      <c r="EL100" s="1112">
        <f t="shared" si="13"/>
        <v>35.169239504730086</v>
      </c>
      <c r="EM100" s="1318">
        <v>35.357239037281737</v>
      </c>
    </row>
    <row r="101" spans="1:143">
      <c r="A101" s="998"/>
      <c r="B101" s="1143"/>
      <c r="C101" s="1167"/>
      <c r="D101" s="1098"/>
      <c r="E101" s="1099"/>
      <c r="F101" s="1099"/>
      <c r="G101" s="1099"/>
      <c r="H101" s="1099"/>
      <c r="I101" s="1099"/>
      <c r="J101" s="1100"/>
      <c r="K101" s="1101"/>
      <c r="L101" s="1102"/>
      <c r="M101" s="1102"/>
      <c r="N101" s="1102"/>
      <c r="O101" s="1102"/>
      <c r="P101" s="1102"/>
      <c r="Q101" s="1102"/>
      <c r="R101" s="1102"/>
      <c r="S101" s="1102"/>
      <c r="T101" s="1102"/>
      <c r="U101" s="1102"/>
      <c r="V101" s="1103"/>
      <c r="W101" s="1098"/>
      <c r="X101" s="1099"/>
      <c r="Y101" s="1099"/>
      <c r="Z101" s="1099"/>
      <c r="AA101" s="1099"/>
      <c r="AB101" s="1099"/>
      <c r="AC101" s="1099"/>
      <c r="AD101" s="1099"/>
      <c r="AE101" s="1099"/>
      <c r="AF101" s="1099"/>
      <c r="AG101" s="1099"/>
      <c r="AH101" s="1100"/>
      <c r="AI101" s="1104"/>
      <c r="AJ101" s="1104"/>
      <c r="AK101" s="1104"/>
      <c r="AL101" s="1104"/>
      <c r="AM101" s="1104"/>
      <c r="AN101" s="1104"/>
      <c r="AO101" s="1104"/>
      <c r="AP101" s="1104"/>
      <c r="AQ101" s="1104"/>
      <c r="AR101" s="1104"/>
      <c r="AS101" s="1104"/>
      <c r="AT101" s="1104"/>
      <c r="AU101" s="1098"/>
      <c r="AV101" s="1099"/>
      <c r="AW101" s="1099"/>
      <c r="AX101" s="1099"/>
      <c r="AY101" s="1099"/>
      <c r="AZ101" s="1099"/>
      <c r="BA101" s="1099"/>
      <c r="BB101" s="1099"/>
      <c r="BC101" s="1099"/>
      <c r="BD101" s="1099"/>
      <c r="BE101" s="1099"/>
      <c r="BF101" s="1099"/>
      <c r="BG101" s="1105"/>
      <c r="BH101" s="1105"/>
      <c r="BI101" s="1105"/>
      <c r="BJ101" s="1105"/>
      <c r="BK101" s="1105"/>
      <c r="BL101" s="1105"/>
      <c r="BM101" s="1105"/>
      <c r="BN101" s="1105"/>
      <c r="BO101" s="1105"/>
      <c r="BP101" s="1105"/>
      <c r="BQ101" s="1105"/>
      <c r="BR101" s="1105"/>
      <c r="BS101" s="1106"/>
      <c r="BT101" s="1107"/>
      <c r="BU101" s="1107"/>
      <c r="BV101" s="1107"/>
      <c r="BW101" s="1107"/>
      <c r="BX101" s="1107"/>
      <c r="BY101" s="1107"/>
      <c r="BZ101" s="1107"/>
      <c r="CA101" s="1107"/>
      <c r="CB101" s="1107"/>
      <c r="CC101" s="1107"/>
      <c r="CD101" s="1107"/>
      <c r="CE101" s="1087"/>
      <c r="CF101" s="1088"/>
      <c r="CG101" s="1088"/>
      <c r="CH101" s="1088"/>
      <c r="CI101" s="1088"/>
      <c r="CJ101" s="1088"/>
      <c r="CK101" s="1088"/>
      <c r="CL101" s="1088"/>
      <c r="CM101" s="1088"/>
      <c r="CN101" s="1088"/>
      <c r="CO101" s="1088"/>
      <c r="CP101" s="1088"/>
      <c r="CQ101" s="1108"/>
      <c r="CR101" s="1109"/>
      <c r="CS101" s="1109"/>
      <c r="CT101" s="1109"/>
      <c r="CU101" s="1109"/>
      <c r="CV101" s="1109"/>
      <c r="CW101" s="1109"/>
      <c r="CX101" s="1109"/>
      <c r="CY101" s="1109"/>
      <c r="CZ101" s="1109"/>
      <c r="DA101" s="1109"/>
      <c r="DB101" s="1110"/>
      <c r="DC101" s="1091"/>
      <c r="DD101" s="1091"/>
      <c r="DE101" s="1091"/>
      <c r="DF101" s="1091"/>
      <c r="DG101" s="1091"/>
      <c r="DH101" s="1091"/>
      <c r="DI101" s="1091"/>
      <c r="DJ101" s="1091"/>
      <c r="DK101" s="1091"/>
      <c r="DL101" s="1091"/>
      <c r="DM101" s="1091"/>
      <c r="DN101" s="1092"/>
      <c r="DO101" s="1091"/>
      <c r="DP101" s="1091"/>
      <c r="DQ101" s="1091"/>
      <c r="DR101" s="1091"/>
      <c r="DS101" s="1091"/>
      <c r="DT101" s="1091"/>
      <c r="DU101" s="1091"/>
      <c r="DV101" s="1091"/>
      <c r="DW101" s="1091"/>
      <c r="DX101" s="1091"/>
      <c r="DY101" s="1091"/>
      <c r="DZ101" s="1091"/>
      <c r="EA101" s="1099"/>
      <c r="EB101" s="1111"/>
      <c r="EC101" s="1112"/>
      <c r="ED101" s="1112"/>
      <c r="EE101" s="1112"/>
      <c r="EF101" s="1112"/>
      <c r="EG101" s="1112"/>
      <c r="EH101" s="1112"/>
      <c r="EI101" s="1112"/>
      <c r="EJ101" s="1112"/>
      <c r="EK101" s="1113"/>
      <c r="EL101" s="1112"/>
      <c r="EM101" s="1318"/>
    </row>
    <row r="102" spans="1:143">
      <c r="A102" s="998"/>
      <c r="B102" s="1143" t="s">
        <v>725</v>
      </c>
      <c r="C102" s="1144"/>
      <c r="D102" s="1145"/>
      <c r="E102" s="1146"/>
      <c r="F102" s="1099"/>
      <c r="G102" s="1146"/>
      <c r="H102" s="1146"/>
      <c r="I102" s="1146"/>
      <c r="J102" s="1151"/>
      <c r="K102" s="1147"/>
      <c r="L102" s="1148"/>
      <c r="M102" s="1148"/>
      <c r="N102" s="1102"/>
      <c r="O102" s="1102"/>
      <c r="P102" s="1102"/>
      <c r="Q102" s="1102"/>
      <c r="R102" s="1102"/>
      <c r="S102" s="1102"/>
      <c r="T102" s="1102"/>
      <c r="U102" s="1102"/>
      <c r="V102" s="1103"/>
      <c r="W102" s="1098"/>
      <c r="X102" s="1099"/>
      <c r="Y102" s="1099"/>
      <c r="Z102" s="1099"/>
      <c r="AA102" s="1099"/>
      <c r="AB102" s="1099"/>
      <c r="AC102" s="1099"/>
      <c r="AD102" s="1099"/>
      <c r="AE102" s="1099"/>
      <c r="AF102" s="1099"/>
      <c r="AG102" s="1099"/>
      <c r="AH102" s="1100"/>
      <c r="AI102" s="1104"/>
      <c r="AJ102" s="1104"/>
      <c r="AK102" s="1104"/>
      <c r="AL102" s="1104"/>
      <c r="AM102" s="1104"/>
      <c r="AN102" s="1104"/>
      <c r="AO102" s="1104"/>
      <c r="AP102" s="1104"/>
      <c r="AQ102" s="1104"/>
      <c r="AR102" s="1104"/>
      <c r="AS102" s="1104"/>
      <c r="AT102" s="1104"/>
      <c r="AU102" s="1098"/>
      <c r="AV102" s="1099"/>
      <c r="AW102" s="1099"/>
      <c r="AX102" s="1099"/>
      <c r="AY102" s="1099"/>
      <c r="AZ102" s="1099"/>
      <c r="BA102" s="1099"/>
      <c r="BB102" s="1099"/>
      <c r="BC102" s="1099"/>
      <c r="BD102" s="1099"/>
      <c r="BE102" s="1099"/>
      <c r="BF102" s="1099"/>
      <c r="BG102" s="1105"/>
      <c r="BH102" s="1105"/>
      <c r="BI102" s="1105"/>
      <c r="BJ102" s="1105"/>
      <c r="BK102" s="1105"/>
      <c r="BL102" s="1105"/>
      <c r="BM102" s="1105"/>
      <c r="BN102" s="1105"/>
      <c r="BO102" s="1105"/>
      <c r="BP102" s="1105"/>
      <c r="BQ102" s="1105"/>
      <c r="BR102" s="1105"/>
      <c r="BS102" s="1106"/>
      <c r="BT102" s="1107"/>
      <c r="BU102" s="1107"/>
      <c r="BV102" s="1107"/>
      <c r="BW102" s="1107"/>
      <c r="BX102" s="1107"/>
      <c r="BY102" s="1107"/>
      <c r="BZ102" s="1107"/>
      <c r="CA102" s="1107"/>
      <c r="CB102" s="1107"/>
      <c r="CC102" s="1107"/>
      <c r="CD102" s="1107"/>
      <c r="CE102" s="1087"/>
      <c r="CF102" s="1088"/>
      <c r="CG102" s="1088"/>
      <c r="CH102" s="1088"/>
      <c r="CI102" s="1088"/>
      <c r="CJ102" s="1088"/>
      <c r="CK102" s="1088"/>
      <c r="CL102" s="1088"/>
      <c r="CM102" s="1088"/>
      <c r="CN102" s="1088"/>
      <c r="CO102" s="1088"/>
      <c r="CP102" s="1088"/>
      <c r="CQ102" s="1108"/>
      <c r="CR102" s="1109"/>
      <c r="CS102" s="1109"/>
      <c r="CT102" s="1109"/>
      <c r="CU102" s="1109"/>
      <c r="CV102" s="1109"/>
      <c r="CW102" s="1109"/>
      <c r="CX102" s="1109"/>
      <c r="CY102" s="1109"/>
      <c r="CZ102" s="1109"/>
      <c r="DA102" s="1109"/>
      <c r="DB102" s="1110"/>
      <c r="DC102" s="1091"/>
      <c r="DD102" s="1091"/>
      <c r="DE102" s="1091"/>
      <c r="DF102" s="1091"/>
      <c r="DG102" s="1091"/>
      <c r="DH102" s="1091"/>
      <c r="DI102" s="1091"/>
      <c r="DJ102" s="1091"/>
      <c r="DK102" s="1091"/>
      <c r="DL102" s="1091"/>
      <c r="DM102" s="1091"/>
      <c r="DN102" s="1092"/>
      <c r="DO102" s="1091"/>
      <c r="DP102" s="1091"/>
      <c r="DQ102" s="1091"/>
      <c r="DR102" s="1091"/>
      <c r="DS102" s="1091"/>
      <c r="DT102" s="1091"/>
      <c r="DU102" s="1091"/>
      <c r="DV102" s="1091"/>
      <c r="DW102" s="1091"/>
      <c r="DX102" s="1091"/>
      <c r="DY102" s="1091"/>
      <c r="DZ102" s="1091"/>
      <c r="EA102" s="1099"/>
      <c r="EB102" s="1170"/>
      <c r="EC102" s="1161"/>
      <c r="ED102" s="1161"/>
      <c r="EE102" s="1161"/>
      <c r="EF102" s="1161"/>
      <c r="EG102" s="1161"/>
      <c r="EH102" s="1161"/>
      <c r="EI102" s="1161"/>
      <c r="EJ102" s="1161"/>
      <c r="EK102" s="1191"/>
      <c r="EL102" s="1161"/>
      <c r="EM102" s="1326"/>
    </row>
    <row r="103" spans="1:143">
      <c r="A103" s="998"/>
      <c r="B103" s="1168"/>
      <c r="C103" s="1171" t="s">
        <v>162</v>
      </c>
      <c r="D103" s="1145"/>
      <c r="E103" s="1146"/>
      <c r="F103" s="1099"/>
      <c r="G103" s="1146"/>
      <c r="H103" s="1146"/>
      <c r="I103" s="1146"/>
      <c r="J103" s="1151"/>
      <c r="K103" s="1147"/>
      <c r="L103" s="1148"/>
      <c r="M103" s="1148"/>
      <c r="N103" s="1192"/>
      <c r="O103" s="1192"/>
      <c r="P103" s="1192"/>
      <c r="Q103" s="1192"/>
      <c r="R103" s="1192"/>
      <c r="S103" s="1192"/>
      <c r="T103" s="1192"/>
      <c r="U103" s="1192"/>
      <c r="V103" s="1193"/>
      <c r="W103" s="1098"/>
      <c r="X103" s="1099"/>
      <c r="Y103" s="1099"/>
      <c r="Z103" s="1099"/>
      <c r="AA103" s="1099"/>
      <c r="AB103" s="1099"/>
      <c r="AC103" s="1099"/>
      <c r="AD103" s="1099"/>
      <c r="AE103" s="1099"/>
      <c r="AF103" s="1099"/>
      <c r="AG103" s="1099"/>
      <c r="AH103" s="1100"/>
      <c r="AI103" s="1104"/>
      <c r="AJ103" s="1104"/>
      <c r="AK103" s="1104"/>
      <c r="AL103" s="1104"/>
      <c r="AM103" s="1104"/>
      <c r="AN103" s="1104"/>
      <c r="AO103" s="1104"/>
      <c r="AP103" s="1104"/>
      <c r="AQ103" s="1104"/>
      <c r="AR103" s="1104"/>
      <c r="AS103" s="1104"/>
      <c r="AT103" s="1104"/>
      <c r="AU103" s="1098"/>
      <c r="AV103" s="1099"/>
      <c r="AW103" s="1099"/>
      <c r="AX103" s="1099"/>
      <c r="AY103" s="1099"/>
      <c r="AZ103" s="1099"/>
      <c r="BA103" s="1099"/>
      <c r="BB103" s="1099"/>
      <c r="BC103" s="1099"/>
      <c r="BD103" s="1099"/>
      <c r="BE103" s="1099"/>
      <c r="BF103" s="1099"/>
      <c r="BG103" s="1105"/>
      <c r="BH103" s="1105"/>
      <c r="BI103" s="1105"/>
      <c r="BJ103" s="1105"/>
      <c r="BK103" s="1105"/>
      <c r="BL103" s="1105"/>
      <c r="BM103" s="1105"/>
      <c r="BN103" s="1105"/>
      <c r="BO103" s="1105"/>
      <c r="BP103" s="1105"/>
      <c r="BQ103" s="1105"/>
      <c r="BR103" s="1105"/>
      <c r="BS103" s="1106"/>
      <c r="BT103" s="1107"/>
      <c r="BU103" s="1107"/>
      <c r="BV103" s="1107"/>
      <c r="BW103" s="1107"/>
      <c r="BX103" s="1107"/>
      <c r="BY103" s="1107"/>
      <c r="BZ103" s="1107"/>
      <c r="CA103" s="1107"/>
      <c r="CB103" s="1107"/>
      <c r="CC103" s="1107"/>
      <c r="CD103" s="1107"/>
      <c r="CE103" s="1087"/>
      <c r="CF103" s="1088"/>
      <c r="CG103" s="1088"/>
      <c r="CH103" s="1088"/>
      <c r="CI103" s="1088"/>
      <c r="CJ103" s="1088"/>
      <c r="CK103" s="1088"/>
      <c r="CL103" s="1088"/>
      <c r="CM103" s="1088"/>
      <c r="CN103" s="1088"/>
      <c r="CO103" s="1088"/>
      <c r="CP103" s="1088"/>
      <c r="CQ103" s="1108"/>
      <c r="CR103" s="1109"/>
      <c r="CS103" s="1109"/>
      <c r="CT103" s="1109"/>
      <c r="CU103" s="1109"/>
      <c r="CV103" s="1109"/>
      <c r="CW103" s="1109"/>
      <c r="CX103" s="1109"/>
      <c r="CY103" s="1109"/>
      <c r="CZ103" s="1109"/>
      <c r="DA103" s="1109"/>
      <c r="DB103" s="1110"/>
      <c r="DC103" s="1091"/>
      <c r="DD103" s="1091"/>
      <c r="DE103" s="1091"/>
      <c r="DF103" s="1091"/>
      <c r="DG103" s="1091"/>
      <c r="DH103" s="1091"/>
      <c r="DI103" s="1091"/>
      <c r="DJ103" s="1091"/>
      <c r="DK103" s="1091"/>
      <c r="DL103" s="1091"/>
      <c r="DM103" s="1091"/>
      <c r="DN103" s="1092"/>
      <c r="DO103" s="1091"/>
      <c r="DP103" s="1091"/>
      <c r="DQ103" s="1091"/>
      <c r="DR103" s="1091"/>
      <c r="DS103" s="1091"/>
      <c r="DT103" s="1091"/>
      <c r="DU103" s="1091"/>
      <c r="DV103" s="1091"/>
      <c r="DW103" s="1091"/>
      <c r="DX103" s="1091"/>
      <c r="DY103" s="1091"/>
      <c r="DZ103" s="1091"/>
      <c r="EA103" s="1099"/>
      <c r="EB103" s="1170"/>
      <c r="EC103" s="1161"/>
      <c r="ED103" s="1161"/>
      <c r="EE103" s="1161"/>
      <c r="EF103" s="1161"/>
      <c r="EG103" s="1161"/>
      <c r="EH103" s="1161"/>
      <c r="EI103" s="1161"/>
      <c r="EJ103" s="1161"/>
      <c r="EK103" s="1191"/>
      <c r="EL103" s="1161"/>
      <c r="EM103" s="1326"/>
    </row>
    <row r="104" spans="1:143">
      <c r="A104" s="998"/>
      <c r="B104" s="1166" t="s">
        <v>707</v>
      </c>
      <c r="C104" s="1171" t="s">
        <v>708</v>
      </c>
      <c r="D104" s="1098" t="s">
        <v>443</v>
      </c>
      <c r="E104" s="1099" t="s">
        <v>443</v>
      </c>
      <c r="F104" s="1099" t="s">
        <v>443</v>
      </c>
      <c r="G104" s="1099" t="s">
        <v>443</v>
      </c>
      <c r="H104" s="1099" t="s">
        <v>443</v>
      </c>
      <c r="I104" s="1099" t="s">
        <v>443</v>
      </c>
      <c r="J104" s="1100" t="s">
        <v>443</v>
      </c>
      <c r="K104" s="1101" t="s">
        <v>443</v>
      </c>
      <c r="L104" s="1102" t="s">
        <v>443</v>
      </c>
      <c r="M104" s="1102" t="s">
        <v>443</v>
      </c>
      <c r="N104" s="1102" t="s">
        <v>443</v>
      </c>
      <c r="O104" s="1102" t="s">
        <v>443</v>
      </c>
      <c r="P104" s="1102" t="s">
        <v>443</v>
      </c>
      <c r="Q104" s="1102" t="s">
        <v>443</v>
      </c>
      <c r="R104" s="1102" t="s">
        <v>443</v>
      </c>
      <c r="S104" s="1102" t="s">
        <v>443</v>
      </c>
      <c r="T104" s="1102" t="s">
        <v>443</v>
      </c>
      <c r="U104" s="1102" t="s">
        <v>443</v>
      </c>
      <c r="V104" s="1103" t="s">
        <v>443</v>
      </c>
      <c r="W104" s="1098" t="s">
        <v>443</v>
      </c>
      <c r="X104" s="1099" t="s">
        <v>443</v>
      </c>
      <c r="Y104" s="1099" t="s">
        <v>443</v>
      </c>
      <c r="Z104" s="1099" t="s">
        <v>443</v>
      </c>
      <c r="AA104" s="1099" t="s">
        <v>443</v>
      </c>
      <c r="AB104" s="1099" t="s">
        <v>443</v>
      </c>
      <c r="AC104" s="1099" t="s">
        <v>443</v>
      </c>
      <c r="AD104" s="1099" t="s">
        <v>443</v>
      </c>
      <c r="AE104" s="1099" t="s">
        <v>443</v>
      </c>
      <c r="AF104" s="1099" t="s">
        <v>443</v>
      </c>
      <c r="AG104" s="1099" t="s">
        <v>443</v>
      </c>
      <c r="AH104" s="1100" t="s">
        <v>443</v>
      </c>
      <c r="AI104" s="1104" t="s">
        <v>443</v>
      </c>
      <c r="AJ104" s="1104" t="s">
        <v>443</v>
      </c>
      <c r="AK104" s="1104" t="s">
        <v>443</v>
      </c>
      <c r="AL104" s="1104" t="s">
        <v>443</v>
      </c>
      <c r="AM104" s="1104" t="s">
        <v>443</v>
      </c>
      <c r="AN104" s="1104" t="s">
        <v>443</v>
      </c>
      <c r="AO104" s="1104" t="s">
        <v>443</v>
      </c>
      <c r="AP104" s="1104" t="s">
        <v>443</v>
      </c>
      <c r="AQ104" s="1104" t="s">
        <v>443</v>
      </c>
      <c r="AR104" s="1104" t="s">
        <v>443</v>
      </c>
      <c r="AS104" s="1104" t="s">
        <v>443</v>
      </c>
      <c r="AT104" s="1104" t="s">
        <v>443</v>
      </c>
      <c r="AU104" s="1098" t="s">
        <v>443</v>
      </c>
      <c r="AV104" s="1099" t="s">
        <v>443</v>
      </c>
      <c r="AW104" s="1099" t="s">
        <v>443</v>
      </c>
      <c r="AX104" s="1099" t="s">
        <v>443</v>
      </c>
      <c r="AY104" s="1099" t="s">
        <v>443</v>
      </c>
      <c r="AZ104" s="1099" t="s">
        <v>443</v>
      </c>
      <c r="BA104" s="1099" t="s">
        <v>443</v>
      </c>
      <c r="BB104" s="1099" t="s">
        <v>443</v>
      </c>
      <c r="BC104" s="1099" t="s">
        <v>443</v>
      </c>
      <c r="BD104" s="1099" t="s">
        <v>443</v>
      </c>
      <c r="BE104" s="1099" t="s">
        <v>443</v>
      </c>
      <c r="BF104" s="1099" t="s">
        <v>443</v>
      </c>
      <c r="BG104" s="1105" t="s">
        <v>443</v>
      </c>
      <c r="BH104" s="1105" t="s">
        <v>443</v>
      </c>
      <c r="BI104" s="1105" t="s">
        <v>443</v>
      </c>
      <c r="BJ104" s="1105" t="s">
        <v>443</v>
      </c>
      <c r="BK104" s="1105" t="s">
        <v>443</v>
      </c>
      <c r="BL104" s="1105" t="s">
        <v>443</v>
      </c>
      <c r="BM104" s="1105" t="s">
        <v>443</v>
      </c>
      <c r="BN104" s="1105" t="s">
        <v>443</v>
      </c>
      <c r="BO104" s="1105" t="s">
        <v>443</v>
      </c>
      <c r="BP104" s="1105" t="s">
        <v>443</v>
      </c>
      <c r="BQ104" s="1105" t="s">
        <v>443</v>
      </c>
      <c r="BR104" s="1105" t="s">
        <v>443</v>
      </c>
      <c r="BS104" s="1106" t="s">
        <v>443</v>
      </c>
      <c r="BT104" s="1107" t="s">
        <v>443</v>
      </c>
      <c r="BU104" s="1107" t="s">
        <v>443</v>
      </c>
      <c r="BV104" s="1107" t="s">
        <v>443</v>
      </c>
      <c r="BW104" s="1107" t="s">
        <v>443</v>
      </c>
      <c r="BX104" s="1107" t="s">
        <v>443</v>
      </c>
      <c r="BY104" s="1107" t="s">
        <v>443</v>
      </c>
      <c r="BZ104" s="1107" t="s">
        <v>443</v>
      </c>
      <c r="CA104" s="1107" t="s">
        <v>443</v>
      </c>
      <c r="CB104" s="1107" t="s">
        <v>443</v>
      </c>
      <c r="CC104" s="1107" t="s">
        <v>443</v>
      </c>
      <c r="CD104" s="1107" t="s">
        <v>443</v>
      </c>
      <c r="CE104" s="1087" t="s">
        <v>443</v>
      </c>
      <c r="CF104" s="1088" t="s">
        <v>443</v>
      </c>
      <c r="CG104" s="1088" t="s">
        <v>443</v>
      </c>
      <c r="CH104" s="1088" t="s">
        <v>443</v>
      </c>
      <c r="CI104" s="1088" t="s">
        <v>443</v>
      </c>
      <c r="CJ104" s="1088" t="s">
        <v>443</v>
      </c>
      <c r="CK104" s="1088" t="s">
        <v>443</v>
      </c>
      <c r="CL104" s="1088" t="s">
        <v>443</v>
      </c>
      <c r="CM104" s="1088" t="s">
        <v>443</v>
      </c>
      <c r="CN104" s="1088" t="s">
        <v>443</v>
      </c>
      <c r="CO104" s="1088"/>
      <c r="CP104" s="1088"/>
      <c r="CQ104" s="1108" t="s">
        <v>443</v>
      </c>
      <c r="CR104" s="1109" t="s">
        <v>443</v>
      </c>
      <c r="CS104" s="1109" t="s">
        <v>443</v>
      </c>
      <c r="CT104" s="1109" t="s">
        <v>443</v>
      </c>
      <c r="CU104" s="1109" t="s">
        <v>443</v>
      </c>
      <c r="CV104" s="1109" t="s">
        <v>443</v>
      </c>
      <c r="CW104" s="1109" t="s">
        <v>443</v>
      </c>
      <c r="CX104" s="1109" t="s">
        <v>443</v>
      </c>
      <c r="CY104" s="1109" t="s">
        <v>443</v>
      </c>
      <c r="CZ104" s="1109" t="s">
        <v>443</v>
      </c>
      <c r="DA104" s="1109" t="s">
        <v>443</v>
      </c>
      <c r="DB104" s="1110" t="s">
        <v>443</v>
      </c>
      <c r="DC104" s="1091" t="s">
        <v>443</v>
      </c>
      <c r="DD104" s="1091" t="s">
        <v>443</v>
      </c>
      <c r="DE104" s="1091" t="s">
        <v>443</v>
      </c>
      <c r="DF104" s="1091" t="s">
        <v>443</v>
      </c>
      <c r="DG104" s="1091" t="s">
        <v>443</v>
      </c>
      <c r="DH104" s="1091" t="s">
        <v>443</v>
      </c>
      <c r="DI104" s="1091" t="s">
        <v>443</v>
      </c>
      <c r="DJ104" s="1091" t="s">
        <v>443</v>
      </c>
      <c r="DK104" s="1091" t="s">
        <v>443</v>
      </c>
      <c r="DL104" s="1091" t="s">
        <v>443</v>
      </c>
      <c r="DM104" s="1091" t="s">
        <v>443</v>
      </c>
      <c r="DN104" s="1092" t="s">
        <v>443</v>
      </c>
      <c r="DO104" s="1091" t="s">
        <v>443</v>
      </c>
      <c r="DP104" s="1091" t="s">
        <v>443</v>
      </c>
      <c r="DQ104" s="1091" t="s">
        <v>443</v>
      </c>
      <c r="DR104" s="1091" t="s">
        <v>443</v>
      </c>
      <c r="DS104" s="1091" t="s">
        <v>443</v>
      </c>
      <c r="DT104" s="1091" t="s">
        <v>443</v>
      </c>
      <c r="DU104" s="1091" t="s">
        <v>443</v>
      </c>
      <c r="DV104" s="1091" t="s">
        <v>443</v>
      </c>
      <c r="DW104" s="1091" t="s">
        <v>443</v>
      </c>
      <c r="DX104" s="1091" t="s">
        <v>443</v>
      </c>
      <c r="DY104" s="1091" t="s">
        <v>443</v>
      </c>
      <c r="DZ104" s="1091" t="s">
        <v>443</v>
      </c>
      <c r="EA104" s="1099"/>
      <c r="EB104" s="1111" t="s">
        <v>443</v>
      </c>
      <c r="EC104" s="1112" t="s">
        <v>443</v>
      </c>
      <c r="ED104" s="1112" t="s">
        <v>443</v>
      </c>
      <c r="EE104" s="1112" t="s">
        <v>443</v>
      </c>
      <c r="EF104" s="1112" t="s">
        <v>443</v>
      </c>
      <c r="EG104" s="1112" t="s">
        <v>443</v>
      </c>
      <c r="EH104" s="1112" t="s">
        <v>443</v>
      </c>
      <c r="EI104" s="1112" t="s">
        <v>443</v>
      </c>
      <c r="EJ104" s="1112" t="s">
        <v>443</v>
      </c>
      <c r="EK104" s="1113" t="s">
        <v>443</v>
      </c>
      <c r="EL104" s="1113" t="s">
        <v>443</v>
      </c>
      <c r="EM104" s="1323" t="s">
        <v>443</v>
      </c>
    </row>
    <row r="105" spans="1:143">
      <c r="A105" s="998"/>
      <c r="B105" s="1166" t="s">
        <v>709</v>
      </c>
      <c r="C105" s="1171" t="s">
        <v>710</v>
      </c>
      <c r="D105" s="1098" t="s">
        <v>443</v>
      </c>
      <c r="E105" s="1099" t="s">
        <v>443</v>
      </c>
      <c r="F105" s="1099" t="s">
        <v>443</v>
      </c>
      <c r="G105" s="1099" t="s">
        <v>443</v>
      </c>
      <c r="H105" s="1099" t="s">
        <v>443</v>
      </c>
      <c r="I105" s="1099" t="s">
        <v>443</v>
      </c>
      <c r="J105" s="1100" t="s">
        <v>443</v>
      </c>
      <c r="K105" s="1101" t="s">
        <v>443</v>
      </c>
      <c r="L105" s="1102" t="s">
        <v>443</v>
      </c>
      <c r="M105" s="1102" t="s">
        <v>443</v>
      </c>
      <c r="N105" s="1102" t="s">
        <v>443</v>
      </c>
      <c r="O105" s="1102" t="s">
        <v>443</v>
      </c>
      <c r="P105" s="1102" t="s">
        <v>443</v>
      </c>
      <c r="Q105" s="1102" t="s">
        <v>443</v>
      </c>
      <c r="R105" s="1102" t="s">
        <v>443</v>
      </c>
      <c r="S105" s="1102" t="s">
        <v>443</v>
      </c>
      <c r="T105" s="1102" t="s">
        <v>443</v>
      </c>
      <c r="U105" s="1102" t="s">
        <v>443</v>
      </c>
      <c r="V105" s="1103" t="s">
        <v>443</v>
      </c>
      <c r="W105" s="1098" t="s">
        <v>443</v>
      </c>
      <c r="X105" s="1099" t="s">
        <v>443</v>
      </c>
      <c r="Y105" s="1099" t="s">
        <v>443</v>
      </c>
      <c r="Z105" s="1099" t="s">
        <v>443</v>
      </c>
      <c r="AA105" s="1099" t="s">
        <v>443</v>
      </c>
      <c r="AB105" s="1099" t="s">
        <v>443</v>
      </c>
      <c r="AC105" s="1099" t="s">
        <v>443</v>
      </c>
      <c r="AD105" s="1099" t="s">
        <v>443</v>
      </c>
      <c r="AE105" s="1099" t="s">
        <v>443</v>
      </c>
      <c r="AF105" s="1099" t="s">
        <v>443</v>
      </c>
      <c r="AG105" s="1099" t="s">
        <v>443</v>
      </c>
      <c r="AH105" s="1100" t="s">
        <v>443</v>
      </c>
      <c r="AI105" s="1104" t="s">
        <v>443</v>
      </c>
      <c r="AJ105" s="1104" t="s">
        <v>443</v>
      </c>
      <c r="AK105" s="1104" t="s">
        <v>443</v>
      </c>
      <c r="AL105" s="1104" t="s">
        <v>443</v>
      </c>
      <c r="AM105" s="1104" t="s">
        <v>443</v>
      </c>
      <c r="AN105" s="1104" t="s">
        <v>443</v>
      </c>
      <c r="AO105" s="1104" t="s">
        <v>443</v>
      </c>
      <c r="AP105" s="1104" t="s">
        <v>443</v>
      </c>
      <c r="AQ105" s="1104" t="s">
        <v>443</v>
      </c>
      <c r="AR105" s="1104" t="s">
        <v>443</v>
      </c>
      <c r="AS105" s="1104" t="s">
        <v>443</v>
      </c>
      <c r="AT105" s="1104" t="s">
        <v>443</v>
      </c>
      <c r="AU105" s="1098" t="s">
        <v>443</v>
      </c>
      <c r="AV105" s="1099" t="s">
        <v>443</v>
      </c>
      <c r="AW105" s="1099" t="s">
        <v>443</v>
      </c>
      <c r="AX105" s="1099" t="s">
        <v>443</v>
      </c>
      <c r="AY105" s="1099" t="s">
        <v>443</v>
      </c>
      <c r="AZ105" s="1099" t="s">
        <v>443</v>
      </c>
      <c r="BA105" s="1099" t="s">
        <v>443</v>
      </c>
      <c r="BB105" s="1099" t="s">
        <v>443</v>
      </c>
      <c r="BC105" s="1099" t="s">
        <v>443</v>
      </c>
      <c r="BD105" s="1099" t="s">
        <v>443</v>
      </c>
      <c r="BE105" s="1099" t="s">
        <v>443</v>
      </c>
      <c r="BF105" s="1099" t="s">
        <v>443</v>
      </c>
      <c r="BG105" s="1105" t="s">
        <v>443</v>
      </c>
      <c r="BH105" s="1105" t="s">
        <v>443</v>
      </c>
      <c r="BI105" s="1105" t="s">
        <v>443</v>
      </c>
      <c r="BJ105" s="1105" t="s">
        <v>443</v>
      </c>
      <c r="BK105" s="1105" t="s">
        <v>443</v>
      </c>
      <c r="BL105" s="1105" t="s">
        <v>443</v>
      </c>
      <c r="BM105" s="1105" t="s">
        <v>443</v>
      </c>
      <c r="BN105" s="1105" t="s">
        <v>443</v>
      </c>
      <c r="BO105" s="1105" t="s">
        <v>443</v>
      </c>
      <c r="BP105" s="1105" t="s">
        <v>443</v>
      </c>
      <c r="BQ105" s="1105" t="s">
        <v>443</v>
      </c>
      <c r="BR105" s="1105" t="s">
        <v>443</v>
      </c>
      <c r="BS105" s="1106" t="s">
        <v>443</v>
      </c>
      <c r="BT105" s="1107" t="s">
        <v>443</v>
      </c>
      <c r="BU105" s="1107" t="s">
        <v>443</v>
      </c>
      <c r="BV105" s="1107" t="s">
        <v>443</v>
      </c>
      <c r="BW105" s="1107" t="s">
        <v>443</v>
      </c>
      <c r="BX105" s="1107" t="s">
        <v>443</v>
      </c>
      <c r="BY105" s="1107" t="s">
        <v>443</v>
      </c>
      <c r="BZ105" s="1107" t="s">
        <v>443</v>
      </c>
      <c r="CA105" s="1107" t="s">
        <v>443</v>
      </c>
      <c r="CB105" s="1107" t="s">
        <v>443</v>
      </c>
      <c r="CC105" s="1107" t="s">
        <v>443</v>
      </c>
      <c r="CD105" s="1107" t="s">
        <v>443</v>
      </c>
      <c r="CE105" s="1087" t="s">
        <v>443</v>
      </c>
      <c r="CF105" s="1088" t="s">
        <v>443</v>
      </c>
      <c r="CG105" s="1088" t="s">
        <v>443</v>
      </c>
      <c r="CH105" s="1088" t="s">
        <v>443</v>
      </c>
      <c r="CI105" s="1088" t="s">
        <v>443</v>
      </c>
      <c r="CJ105" s="1088" t="s">
        <v>443</v>
      </c>
      <c r="CK105" s="1088" t="s">
        <v>443</v>
      </c>
      <c r="CL105" s="1088" t="s">
        <v>443</v>
      </c>
      <c r="CM105" s="1088" t="s">
        <v>443</v>
      </c>
      <c r="CN105" s="1088" t="s">
        <v>443</v>
      </c>
      <c r="CO105" s="1088"/>
      <c r="CP105" s="1088"/>
      <c r="CQ105" s="1108" t="s">
        <v>443</v>
      </c>
      <c r="CR105" s="1109" t="s">
        <v>443</v>
      </c>
      <c r="CS105" s="1109" t="s">
        <v>443</v>
      </c>
      <c r="CT105" s="1109" t="s">
        <v>443</v>
      </c>
      <c r="CU105" s="1109" t="s">
        <v>443</v>
      </c>
      <c r="CV105" s="1109" t="s">
        <v>443</v>
      </c>
      <c r="CW105" s="1109" t="s">
        <v>443</v>
      </c>
      <c r="CX105" s="1109" t="s">
        <v>443</v>
      </c>
      <c r="CY105" s="1109" t="s">
        <v>443</v>
      </c>
      <c r="CZ105" s="1109" t="s">
        <v>443</v>
      </c>
      <c r="DA105" s="1109" t="s">
        <v>443</v>
      </c>
      <c r="DB105" s="1110" t="s">
        <v>443</v>
      </c>
      <c r="DC105" s="1091" t="s">
        <v>443</v>
      </c>
      <c r="DD105" s="1091" t="s">
        <v>443</v>
      </c>
      <c r="DE105" s="1091" t="s">
        <v>443</v>
      </c>
      <c r="DF105" s="1091" t="s">
        <v>443</v>
      </c>
      <c r="DG105" s="1091" t="s">
        <v>443</v>
      </c>
      <c r="DH105" s="1091" t="s">
        <v>443</v>
      </c>
      <c r="DI105" s="1091" t="s">
        <v>443</v>
      </c>
      <c r="DJ105" s="1091" t="s">
        <v>443</v>
      </c>
      <c r="DK105" s="1091" t="s">
        <v>443</v>
      </c>
      <c r="DL105" s="1091" t="s">
        <v>443</v>
      </c>
      <c r="DM105" s="1091" t="s">
        <v>443</v>
      </c>
      <c r="DN105" s="1092" t="s">
        <v>443</v>
      </c>
      <c r="DO105" s="1091" t="s">
        <v>443</v>
      </c>
      <c r="DP105" s="1091" t="s">
        <v>443</v>
      </c>
      <c r="DQ105" s="1091" t="s">
        <v>443</v>
      </c>
      <c r="DR105" s="1091" t="s">
        <v>443</v>
      </c>
      <c r="DS105" s="1091" t="s">
        <v>443</v>
      </c>
      <c r="DT105" s="1091" t="s">
        <v>443</v>
      </c>
      <c r="DU105" s="1091" t="s">
        <v>443</v>
      </c>
      <c r="DV105" s="1091" t="s">
        <v>443</v>
      </c>
      <c r="DW105" s="1091" t="s">
        <v>443</v>
      </c>
      <c r="DX105" s="1091" t="s">
        <v>443</v>
      </c>
      <c r="DY105" s="1091" t="s">
        <v>443</v>
      </c>
      <c r="DZ105" s="1091" t="s">
        <v>443</v>
      </c>
      <c r="EA105" s="1099"/>
      <c r="EB105" s="1111" t="s">
        <v>443</v>
      </c>
      <c r="EC105" s="1112" t="s">
        <v>443</v>
      </c>
      <c r="ED105" s="1112" t="s">
        <v>443</v>
      </c>
      <c r="EE105" s="1112" t="s">
        <v>443</v>
      </c>
      <c r="EF105" s="1112" t="s">
        <v>443</v>
      </c>
      <c r="EG105" s="1112" t="s">
        <v>443</v>
      </c>
      <c r="EH105" s="1112" t="s">
        <v>443</v>
      </c>
      <c r="EI105" s="1112" t="s">
        <v>443</v>
      </c>
      <c r="EJ105" s="1112" t="s">
        <v>443</v>
      </c>
      <c r="EK105" s="1113" t="s">
        <v>443</v>
      </c>
      <c r="EL105" s="1113" t="s">
        <v>443</v>
      </c>
      <c r="EM105" s="1323" t="s">
        <v>443</v>
      </c>
    </row>
    <row r="106" spans="1:143">
      <c r="A106" s="998"/>
      <c r="B106" s="1166" t="s">
        <v>711</v>
      </c>
      <c r="C106" s="1171" t="s">
        <v>712</v>
      </c>
      <c r="D106" s="1098">
        <v>49.192418560606058</v>
      </c>
      <c r="E106" s="1099">
        <v>51.454792758018563</v>
      </c>
      <c r="F106" s="1099">
        <v>53.030942998533725</v>
      </c>
      <c r="G106" s="1099">
        <v>53.700969267139477</v>
      </c>
      <c r="H106" s="1099">
        <v>55.048057633184968</v>
      </c>
      <c r="I106" s="1099">
        <v>57.297883831199627</v>
      </c>
      <c r="J106" s="1100">
        <v>42.124934612031382</v>
      </c>
      <c r="K106" s="1101">
        <v>50.501491649508118</v>
      </c>
      <c r="L106" s="1102">
        <v>52.04304711246202</v>
      </c>
      <c r="M106" s="1102">
        <v>56.467835735529633</v>
      </c>
      <c r="N106" s="1102">
        <v>50.732661938534278</v>
      </c>
      <c r="O106" s="1102">
        <v>50.665160375200173</v>
      </c>
      <c r="P106" s="1102">
        <v>60.654596690307329</v>
      </c>
      <c r="Q106" s="1102">
        <v>57.448769244868032</v>
      </c>
      <c r="R106" s="1102">
        <v>52.54248135438116</v>
      </c>
      <c r="S106" s="1102">
        <v>54.346744318181806</v>
      </c>
      <c r="T106" s="1102">
        <v>59.40958119501466</v>
      </c>
      <c r="U106" s="1102">
        <v>59.545246212121206</v>
      </c>
      <c r="V106" s="1103">
        <v>48.00762937099379</v>
      </c>
      <c r="W106" s="1098">
        <v>56.929756631403414</v>
      </c>
      <c r="X106" s="1099">
        <v>60.299126680969081</v>
      </c>
      <c r="Y106" s="1099">
        <v>55.324377110969699</v>
      </c>
      <c r="Z106" s="1099">
        <v>64.037593829033895</v>
      </c>
      <c r="AA106" s="1099">
        <v>65.977124675706108</v>
      </c>
      <c r="AB106" s="1099">
        <v>69.180814365199794</v>
      </c>
      <c r="AC106" s="1099">
        <v>68.738267658720446</v>
      </c>
      <c r="AD106" s="1099">
        <v>60.049488472269822</v>
      </c>
      <c r="AE106" s="1099">
        <v>68.185183611532622</v>
      </c>
      <c r="AF106" s="1099">
        <v>71.401531156689018</v>
      </c>
      <c r="AG106" s="1099">
        <v>71.216508851795638</v>
      </c>
      <c r="AH106" s="1100">
        <v>46.146374761368648</v>
      </c>
      <c r="AI106" s="1104">
        <v>47.069005635177703</v>
      </c>
      <c r="AJ106" s="1104">
        <v>48.298706523875026</v>
      </c>
      <c r="AK106" s="1104">
        <v>56.158339125752605</v>
      </c>
      <c r="AL106" s="1104">
        <v>53.797189681335368</v>
      </c>
      <c r="AM106" s="1104">
        <v>48.394304664937103</v>
      </c>
      <c r="AN106" s="1104">
        <v>57.265843702579666</v>
      </c>
      <c r="AO106" s="1104">
        <v>58.675493171471935</v>
      </c>
      <c r="AP106" s="1104">
        <v>61.146564197953893</v>
      </c>
      <c r="AQ106" s="1104">
        <v>54.394408194233698</v>
      </c>
      <c r="AR106" s="1104">
        <v>60.047224533751042</v>
      </c>
      <c r="AS106" s="1104">
        <v>62.052112291350532</v>
      </c>
      <c r="AT106" s="1104">
        <v>45.13060257477116</v>
      </c>
      <c r="AU106" s="1098">
        <v>50.729359733711881</v>
      </c>
      <c r="AV106" s="1099">
        <v>61.729148059830912</v>
      </c>
      <c r="AW106" s="1099">
        <v>65.712988398844786</v>
      </c>
      <c r="AX106" s="1099">
        <v>56.06184066767829</v>
      </c>
      <c r="AY106" s="1099">
        <v>60.545394292427439</v>
      </c>
      <c r="AZ106" s="1099">
        <v>62.985561962569555</v>
      </c>
      <c r="BA106" s="1099">
        <v>58.965852464633606</v>
      </c>
      <c r="BB106" s="1099">
        <v>60.236259239316659</v>
      </c>
      <c r="BC106" s="1099">
        <v>56.836660091047044</v>
      </c>
      <c r="BD106" s="1099">
        <v>66.015215624847031</v>
      </c>
      <c r="BE106" s="1099">
        <v>62.314563480020226</v>
      </c>
      <c r="BF106" s="1099">
        <v>70.399575603309017</v>
      </c>
      <c r="BG106" s="1105">
        <v>64.514557247050774</v>
      </c>
      <c r="BH106" s="1105">
        <v>77.448838608280937</v>
      </c>
      <c r="BI106" s="1105">
        <v>69.630290763130844</v>
      </c>
      <c r="BJ106" s="1105">
        <v>52.731562974203335</v>
      </c>
      <c r="BK106" s="1105">
        <v>66.341588428214791</v>
      </c>
      <c r="BL106" s="1105">
        <v>65.326496206373292</v>
      </c>
      <c r="BM106" s="1105">
        <v>64.490693621812127</v>
      </c>
      <c r="BN106" s="1105">
        <v>66.277188800234953</v>
      </c>
      <c r="BO106" s="1105">
        <v>68.600133535660092</v>
      </c>
      <c r="BP106" s="1105">
        <v>64.267972979587839</v>
      </c>
      <c r="BQ106" s="1105">
        <v>78.59599595346485</v>
      </c>
      <c r="BR106" s="1105">
        <v>78.889558960301528</v>
      </c>
      <c r="BS106" s="1106">
        <v>69.619364628714081</v>
      </c>
      <c r="BT106" s="1107">
        <v>81.001838731620538</v>
      </c>
      <c r="BU106" s="1107">
        <v>83.67283322727495</v>
      </c>
      <c r="BV106" s="1107">
        <v>72.56719777440567</v>
      </c>
      <c r="BW106" s="1107">
        <v>76.63171618777227</v>
      </c>
      <c r="BX106" s="1107">
        <v>83.121722306525044</v>
      </c>
      <c r="BY106" s="1107">
        <v>76.95271427872143</v>
      </c>
      <c r="BZ106" s="1107">
        <v>78.915146115815759</v>
      </c>
      <c r="CA106" s="1107">
        <v>78.416742539200811</v>
      </c>
      <c r="CB106" s="1107">
        <v>88.671936952371624</v>
      </c>
      <c r="CC106" s="1107">
        <v>93.903136064744558</v>
      </c>
      <c r="CD106" s="1107">
        <v>94.54417886338048</v>
      </c>
      <c r="CE106" s="1087">
        <v>99.866989084145104</v>
      </c>
      <c r="CF106" s="1088">
        <v>115.18370691523953</v>
      </c>
      <c r="CG106" s="1088">
        <v>136.70081012286454</v>
      </c>
      <c r="CH106" s="1088">
        <v>60.950506322711178</v>
      </c>
      <c r="CI106" s="1088">
        <v>70.712487150619211</v>
      </c>
      <c r="CJ106" s="1088">
        <v>87.090639858371262</v>
      </c>
      <c r="CK106" s="1088">
        <v>84.234546478045914</v>
      </c>
      <c r="CL106" s="1088">
        <v>69.400438592197361</v>
      </c>
      <c r="CM106" s="1088">
        <v>85.068719271623678</v>
      </c>
      <c r="CN106" s="1088">
        <v>76.746203925791761</v>
      </c>
      <c r="CO106" s="1088">
        <v>89.116337379868483</v>
      </c>
      <c r="CP106" s="1088">
        <v>71.775303245386453</v>
      </c>
      <c r="CQ106" s="1108">
        <v>75.545717362572816</v>
      </c>
      <c r="CR106" s="1109">
        <v>98.327781270322987</v>
      </c>
      <c r="CS106" s="1109">
        <v>84.283490626070787</v>
      </c>
      <c r="CT106" s="1109">
        <v>83.317601416287317</v>
      </c>
      <c r="CU106" s="1109">
        <v>76.56149640217339</v>
      </c>
      <c r="CV106" s="1109">
        <v>75.955538694992413</v>
      </c>
      <c r="CW106" s="1109">
        <v>84.6</v>
      </c>
      <c r="CX106" s="1109">
        <v>74.133383915022762</v>
      </c>
      <c r="CY106" s="1109">
        <v>89.288012139605456</v>
      </c>
      <c r="CZ106" s="1109">
        <v>84.854476479514418</v>
      </c>
      <c r="DA106" s="1109">
        <v>95.896889226100157</v>
      </c>
      <c r="DB106" s="1110">
        <v>80.621365705614565</v>
      </c>
      <c r="DC106" s="1091">
        <v>79.59286798179059</v>
      </c>
      <c r="DD106" s="1091">
        <v>87.261153262518974</v>
      </c>
      <c r="DE106" s="1091">
        <v>86.644461305007596</v>
      </c>
      <c r="DF106" s="1091">
        <v>83.681502276176033</v>
      </c>
      <c r="DG106" s="1091">
        <v>86.012898330804248</v>
      </c>
      <c r="DH106" s="1091">
        <v>78.573444613050071</v>
      </c>
      <c r="DI106" s="1091">
        <v>79.670106221547798</v>
      </c>
      <c r="DJ106" s="1091">
        <v>63.393626707132015</v>
      </c>
      <c r="DK106" s="1091">
        <v>73.453110773899851</v>
      </c>
      <c r="DL106" s="1091">
        <v>80.226555386949926</v>
      </c>
      <c r="DM106" s="1091">
        <v>76.245827010622151</v>
      </c>
      <c r="DN106" s="1092">
        <v>54.98300455235205</v>
      </c>
      <c r="DO106" s="1091">
        <v>54.98300455235205</v>
      </c>
      <c r="DP106" s="1091">
        <v>71.894537177541736</v>
      </c>
      <c r="DQ106" s="1091">
        <v>67.199848254931723</v>
      </c>
      <c r="DR106" s="1091">
        <v>68.561153262518971</v>
      </c>
      <c r="DS106" s="1091">
        <v>66.854931714719271</v>
      </c>
      <c r="DT106" s="1091">
        <v>73.194537177541733</v>
      </c>
      <c r="DU106" s="1091">
        <v>65.506069802731417</v>
      </c>
      <c r="DV106" s="1091">
        <v>60.01077389984826</v>
      </c>
      <c r="DW106" s="1091">
        <v>68.405614567526555</v>
      </c>
      <c r="DX106" s="1091">
        <v>117.43353566009105</v>
      </c>
      <c r="DY106" s="1091">
        <v>79.261760242792107</v>
      </c>
      <c r="DZ106" s="1091">
        <v>62.895144157814869</v>
      </c>
      <c r="EA106" s="1099"/>
      <c r="EB106" s="1111">
        <v>51.733084248785538</v>
      </c>
      <c r="EC106" s="1112">
        <v>54.426357700452193</v>
      </c>
      <c r="ED106" s="1112">
        <v>63.116100252548407</v>
      </c>
      <c r="EE106" s="1112">
        <v>54.280997640535332</v>
      </c>
      <c r="EF106" s="1112">
        <v>61.055120377491846</v>
      </c>
      <c r="EG106" s="1112">
        <v>68.03550826283076</v>
      </c>
      <c r="EH106" s="1112">
        <v>81.498802955297407</v>
      </c>
      <c r="EI106" s="1112">
        <v>87.080739767601401</v>
      </c>
      <c r="EJ106" s="1112">
        <f>AVERAGE(CQ106:DB106)</f>
        <v>83.615479436523103</v>
      </c>
      <c r="EK106" s="1113">
        <v>77.392213607167378</v>
      </c>
      <c r="EL106" s="1112">
        <f>AVERAGE(DO106:DZ106)</f>
        <v>71.350075872534148</v>
      </c>
      <c r="EM106" s="1318">
        <v>71.713960546282252</v>
      </c>
    </row>
    <row r="107" spans="1:143">
      <c r="A107" s="998"/>
      <c r="B107" s="1166" t="s">
        <v>713</v>
      </c>
      <c r="C107" s="1171" t="s">
        <v>714</v>
      </c>
      <c r="D107" s="1098"/>
      <c r="E107" s="1099"/>
      <c r="F107" s="1099"/>
      <c r="G107" s="1099"/>
      <c r="H107" s="1099"/>
      <c r="I107" s="1099"/>
      <c r="J107" s="1100"/>
      <c r="K107" s="1101"/>
      <c r="L107" s="1102"/>
      <c r="M107" s="1102"/>
      <c r="N107" s="1102"/>
      <c r="O107" s="1102"/>
      <c r="P107" s="1102"/>
      <c r="Q107" s="1102"/>
      <c r="R107" s="1102"/>
      <c r="S107" s="1102"/>
      <c r="T107" s="1102"/>
      <c r="U107" s="1102"/>
      <c r="V107" s="1103"/>
      <c r="W107" s="1098"/>
      <c r="X107" s="1099"/>
      <c r="Y107" s="1099"/>
      <c r="Z107" s="1099"/>
      <c r="AA107" s="1099"/>
      <c r="AB107" s="1099"/>
      <c r="AC107" s="1099"/>
      <c r="AD107" s="1099"/>
      <c r="AE107" s="1099"/>
      <c r="AF107" s="1099"/>
      <c r="AG107" s="1099"/>
      <c r="AH107" s="1100"/>
      <c r="AI107" s="1104"/>
      <c r="AJ107" s="1104"/>
      <c r="AK107" s="1104"/>
      <c r="AL107" s="1104"/>
      <c r="AM107" s="1104"/>
      <c r="AN107" s="1104"/>
      <c r="AO107" s="1104"/>
      <c r="AP107" s="1104"/>
      <c r="AQ107" s="1104"/>
      <c r="AR107" s="1104"/>
      <c r="AS107" s="1104"/>
      <c r="AT107" s="1104"/>
      <c r="AU107" s="1098"/>
      <c r="AV107" s="1099"/>
      <c r="AW107" s="1099"/>
      <c r="AX107" s="1099"/>
      <c r="AY107" s="1099"/>
      <c r="AZ107" s="1099"/>
      <c r="BA107" s="1099"/>
      <c r="BB107" s="1099"/>
      <c r="BC107" s="1099"/>
      <c r="BD107" s="1099"/>
      <c r="BE107" s="1099"/>
      <c r="BF107" s="1099"/>
      <c r="BG107" s="1105"/>
      <c r="BH107" s="1105"/>
      <c r="BI107" s="1105"/>
      <c r="BJ107" s="1105"/>
      <c r="BK107" s="1105"/>
      <c r="BL107" s="1105"/>
      <c r="BM107" s="1105"/>
      <c r="BN107" s="1105"/>
      <c r="BO107" s="1105"/>
      <c r="BP107" s="1105"/>
      <c r="BQ107" s="1105"/>
      <c r="BR107" s="1105"/>
      <c r="BS107" s="1106"/>
      <c r="BT107" s="1107"/>
      <c r="BU107" s="1107"/>
      <c r="BV107" s="1107"/>
      <c r="BW107" s="1107"/>
      <c r="BX107" s="1107"/>
      <c r="BY107" s="1107"/>
      <c r="BZ107" s="1107"/>
      <c r="CA107" s="1107"/>
      <c r="CB107" s="1107"/>
      <c r="CC107" s="1107"/>
      <c r="CD107" s="1107"/>
      <c r="CE107" s="1087"/>
      <c r="CF107" s="1088"/>
      <c r="CG107" s="1088"/>
      <c r="CH107" s="1088"/>
      <c r="CI107" s="1088"/>
      <c r="CJ107" s="1088"/>
      <c r="CK107" s="1088"/>
      <c r="CL107" s="1088"/>
      <c r="CM107" s="1088"/>
      <c r="CN107" s="1088"/>
      <c r="CO107" s="1088"/>
      <c r="CP107" s="1088"/>
      <c r="CQ107" s="1108" t="s">
        <v>443</v>
      </c>
      <c r="CR107" s="1109" t="s">
        <v>443</v>
      </c>
      <c r="CS107" s="1109" t="s">
        <v>443</v>
      </c>
      <c r="CT107" s="1109" t="s">
        <v>443</v>
      </c>
      <c r="CU107" s="1109" t="s">
        <v>443</v>
      </c>
      <c r="CV107" s="1109" t="s">
        <v>443</v>
      </c>
      <c r="CW107" s="1109" t="s">
        <v>443</v>
      </c>
      <c r="CX107" s="1109" t="s">
        <v>443</v>
      </c>
      <c r="CY107" s="1109" t="s">
        <v>443</v>
      </c>
      <c r="CZ107" s="1109" t="s">
        <v>443</v>
      </c>
      <c r="DA107" s="1109" t="s">
        <v>443</v>
      </c>
      <c r="DB107" s="1110" t="s">
        <v>443</v>
      </c>
      <c r="DC107" s="1091" t="s">
        <v>443</v>
      </c>
      <c r="DD107" s="1091" t="s">
        <v>443</v>
      </c>
      <c r="DE107" s="1091" t="s">
        <v>443</v>
      </c>
      <c r="DF107" s="1091" t="s">
        <v>443</v>
      </c>
      <c r="DG107" s="1091" t="s">
        <v>443</v>
      </c>
      <c r="DH107" s="1091" t="s">
        <v>443</v>
      </c>
      <c r="DI107" s="1091" t="s">
        <v>443</v>
      </c>
      <c r="DJ107" s="1091" t="s">
        <v>443</v>
      </c>
      <c r="DK107" s="1091" t="s">
        <v>443</v>
      </c>
      <c r="DL107" s="1091" t="s">
        <v>443</v>
      </c>
      <c r="DM107" s="1091" t="s">
        <v>443</v>
      </c>
      <c r="DN107" s="1092" t="s">
        <v>443</v>
      </c>
      <c r="DO107" s="1091" t="s">
        <v>443</v>
      </c>
      <c r="DP107" s="1091" t="s">
        <v>443</v>
      </c>
      <c r="DQ107" s="1091" t="s">
        <v>443</v>
      </c>
      <c r="DR107" s="1091" t="s">
        <v>443</v>
      </c>
      <c r="DS107" s="1091" t="s">
        <v>443</v>
      </c>
      <c r="DT107" s="1091" t="s">
        <v>443</v>
      </c>
      <c r="DU107" s="1091" t="s">
        <v>443</v>
      </c>
      <c r="DV107" s="1091" t="s">
        <v>443</v>
      </c>
      <c r="DW107" s="1091" t="s">
        <v>443</v>
      </c>
      <c r="DX107" s="1091" t="s">
        <v>443</v>
      </c>
      <c r="DY107" s="1091" t="s">
        <v>443</v>
      </c>
      <c r="DZ107" s="1091" t="s">
        <v>443</v>
      </c>
      <c r="EA107" s="1099"/>
      <c r="EB107" s="1111" t="s">
        <v>443</v>
      </c>
      <c r="EC107" s="1112"/>
      <c r="ED107" s="1112"/>
      <c r="EE107" s="1112"/>
      <c r="EF107" s="1112"/>
      <c r="EG107" s="1112"/>
      <c r="EH107" s="1112"/>
      <c r="EI107" s="1112"/>
      <c r="EJ107" s="1112"/>
      <c r="EK107" s="1113" t="s">
        <v>443</v>
      </c>
      <c r="EL107" s="1112"/>
      <c r="EM107" s="1318"/>
    </row>
    <row r="108" spans="1:143">
      <c r="A108" s="998"/>
      <c r="B108" s="1166" t="s">
        <v>715</v>
      </c>
      <c r="C108" s="1171" t="s">
        <v>716</v>
      </c>
      <c r="D108" s="1098">
        <v>66.916517448856794</v>
      </c>
      <c r="E108" s="1099">
        <v>64.757920111796906</v>
      </c>
      <c r="F108" s="1099">
        <v>60.085939210434383</v>
      </c>
      <c r="G108" s="1099">
        <v>83.142738868832737</v>
      </c>
      <c r="H108" s="1099">
        <v>76.96168626994293</v>
      </c>
      <c r="I108" s="1099">
        <v>74.08016847172081</v>
      </c>
      <c r="J108" s="1100">
        <v>47.059042739024108</v>
      </c>
      <c r="K108" s="1101">
        <v>74.025827096774194</v>
      </c>
      <c r="L108" s="1102">
        <v>70.730100000000007</v>
      </c>
      <c r="M108" s="1102">
        <v>77.803870967741929</v>
      </c>
      <c r="N108" s="1102">
        <v>76.16</v>
      </c>
      <c r="O108" s="1102">
        <v>76.830699354838714</v>
      </c>
      <c r="P108" s="1102">
        <v>101.69795999999999</v>
      </c>
      <c r="Q108" s="1102">
        <v>68.170676604169088</v>
      </c>
      <c r="R108" s="1102">
        <v>66.681425410504247</v>
      </c>
      <c r="S108" s="1102">
        <v>71.052021660649828</v>
      </c>
      <c r="T108" s="1102">
        <v>80.122603936182614</v>
      </c>
      <c r="U108" s="1102">
        <v>81.643032490974733</v>
      </c>
      <c r="V108" s="1103">
        <v>54.791195993944335</v>
      </c>
      <c r="W108" s="1098">
        <v>53.37624315826249</v>
      </c>
      <c r="X108" s="1099">
        <v>85.189592929167191</v>
      </c>
      <c r="Y108" s="1099">
        <v>66.786537789682072</v>
      </c>
      <c r="Z108" s="1099">
        <v>71.005843561973535</v>
      </c>
      <c r="AA108" s="1099">
        <v>73.408832844574789</v>
      </c>
      <c r="AB108" s="1099">
        <v>90.539898181818188</v>
      </c>
      <c r="AC108" s="1099">
        <v>90.38826979472141</v>
      </c>
      <c r="AD108" s="1099">
        <v>87.648375366568914</v>
      </c>
      <c r="AE108" s="1099">
        <v>95.288421818181817</v>
      </c>
      <c r="AF108" s="1099">
        <v>93.355485043988267</v>
      </c>
      <c r="AG108" s="1099">
        <v>96.467334545454548</v>
      </c>
      <c r="AH108" s="1100">
        <v>73.279516715542528</v>
      </c>
      <c r="AI108" s="1104">
        <v>53.188773727727963</v>
      </c>
      <c r="AJ108" s="1104">
        <v>56.361945590510572</v>
      </c>
      <c r="AK108" s="1104">
        <v>96.035285897286599</v>
      </c>
      <c r="AL108" s="1104">
        <v>73.162098676293624</v>
      </c>
      <c r="AM108" s="1104">
        <v>63.19203447071154</v>
      </c>
      <c r="AN108" s="1104">
        <v>64.901083032490973</v>
      </c>
      <c r="AO108" s="1104">
        <v>62.134545454545453</v>
      </c>
      <c r="AP108" s="1104">
        <v>78.243055483870975</v>
      </c>
      <c r="AQ108" s="1104">
        <v>67.993520000000004</v>
      </c>
      <c r="AR108" s="1104">
        <v>78.742245161290327</v>
      </c>
      <c r="AS108" s="1104">
        <v>84.572720000000004</v>
      </c>
      <c r="AT108" s="1104">
        <v>51.552708387096772</v>
      </c>
      <c r="AU108" s="1098">
        <v>60.668366709535192</v>
      </c>
      <c r="AV108" s="1099">
        <v>78.939368587213892</v>
      </c>
      <c r="AW108" s="1099">
        <v>71.164765638923541</v>
      </c>
      <c r="AX108" s="1099">
        <v>66.819834254143643</v>
      </c>
      <c r="AY108" s="1099">
        <v>70.729363749777221</v>
      </c>
      <c r="AZ108" s="1099">
        <v>73.087009208103126</v>
      </c>
      <c r="BA108" s="1099">
        <v>70.21137052218856</v>
      </c>
      <c r="BB108" s="1099">
        <v>68.030208518980572</v>
      </c>
      <c r="BC108" s="1099">
        <v>67.882725598526704</v>
      </c>
      <c r="BD108" s="1099">
        <v>78.272507574407413</v>
      </c>
      <c r="BE108" s="1099">
        <v>69.245303867403308</v>
      </c>
      <c r="BF108" s="1099">
        <v>63.307289253252534</v>
      </c>
      <c r="BG108" s="1105">
        <v>49.228424523257885</v>
      </c>
      <c r="BH108" s="1105">
        <v>74.216020126282558</v>
      </c>
      <c r="BI108" s="1105">
        <v>82.315242381037237</v>
      </c>
      <c r="BJ108" s="1105">
        <v>66.014730202578264</v>
      </c>
      <c r="BK108" s="1105">
        <v>58.515638923543044</v>
      </c>
      <c r="BL108" s="1105">
        <v>71.092711786372021</v>
      </c>
      <c r="BM108" s="1105">
        <v>71.632885403671352</v>
      </c>
      <c r="BN108" s="1105">
        <v>71.740355551595087</v>
      </c>
      <c r="BO108" s="1105">
        <v>74.046372007366486</v>
      </c>
      <c r="BP108" s="1105">
        <v>79.758486900730702</v>
      </c>
      <c r="BQ108" s="1105">
        <v>116.78422283609575</v>
      </c>
      <c r="BR108" s="1105">
        <v>75.116824095526638</v>
      </c>
      <c r="BS108" s="1106">
        <v>102.63286401710926</v>
      </c>
      <c r="BT108" s="1107">
        <v>110.33048009144598</v>
      </c>
      <c r="BU108" s="1107">
        <v>115.94022455890217</v>
      </c>
      <c r="BV108" s="1107">
        <v>105.28706629834255</v>
      </c>
      <c r="BW108" s="1107">
        <v>86.212844412760646</v>
      </c>
      <c r="BX108" s="1107">
        <v>93.150902394106822</v>
      </c>
      <c r="BY108" s="1107">
        <v>88.815649616824103</v>
      </c>
      <c r="BZ108" s="1107">
        <v>83.44860096239529</v>
      </c>
      <c r="CA108" s="1107">
        <v>84.517409760589331</v>
      </c>
      <c r="CB108" s="1107">
        <v>85.400017822135098</v>
      </c>
      <c r="CC108" s="1107">
        <v>102.10220994475138</v>
      </c>
      <c r="CD108" s="1107">
        <v>63.702182320441992</v>
      </c>
      <c r="CE108" s="1087">
        <v>71.932498663339871</v>
      </c>
      <c r="CF108" s="1088">
        <v>100.33941199684294</v>
      </c>
      <c r="CG108" s="1088">
        <v>100.16034574942077</v>
      </c>
      <c r="CH108" s="1088">
        <v>78.807918968692448</v>
      </c>
      <c r="CI108" s="1088">
        <v>80.362908572446983</v>
      </c>
      <c r="CJ108" s="1088">
        <v>85.352453959484336</v>
      </c>
      <c r="CK108" s="1088">
        <v>80.645118517198355</v>
      </c>
      <c r="CL108" s="1088">
        <v>73.697546783104613</v>
      </c>
      <c r="CM108" s="1088">
        <v>84.273314917127067</v>
      </c>
      <c r="CN108" s="1088">
        <v>80.480812689360178</v>
      </c>
      <c r="CO108" s="1088">
        <v>87.470662062615105</v>
      </c>
      <c r="CP108" s="1088">
        <v>59.76796649438603</v>
      </c>
      <c r="CQ108" s="1108">
        <v>75.155342184993756</v>
      </c>
      <c r="CR108" s="1109">
        <v>90.574383385951066</v>
      </c>
      <c r="CS108" s="1109">
        <v>84.054803065407242</v>
      </c>
      <c r="CT108" s="1109">
        <v>84.864272559852665</v>
      </c>
      <c r="CU108" s="1109">
        <v>62.4418071644983</v>
      </c>
      <c r="CV108" s="1109">
        <v>80.61491712707182</v>
      </c>
      <c r="CW108" s="1109">
        <v>85.46</v>
      </c>
      <c r="CX108" s="1109">
        <v>82.702209944751374</v>
      </c>
      <c r="CY108" s="1109">
        <v>94.726519337016569</v>
      </c>
      <c r="CZ108" s="1109">
        <v>86.026519337016566</v>
      </c>
      <c r="DA108" s="1109">
        <v>97.75635359116022</v>
      </c>
      <c r="DB108" s="1110">
        <v>61.872928176795583</v>
      </c>
      <c r="DC108" s="1091">
        <v>73.267513812154704</v>
      </c>
      <c r="DD108" s="1091">
        <v>81.274033149171274</v>
      </c>
      <c r="DE108" s="1091">
        <v>85.819337016574579</v>
      </c>
      <c r="DF108" s="1091">
        <v>66.124309392265189</v>
      </c>
      <c r="DG108" s="1091">
        <v>75.971823204419891</v>
      </c>
      <c r="DH108" s="1091">
        <v>75.150276243093927</v>
      </c>
      <c r="DI108" s="1091">
        <v>69.733149171270725</v>
      </c>
      <c r="DJ108" s="1091">
        <v>63.444473007712077</v>
      </c>
      <c r="DK108" s="1091">
        <v>71.548843187660665</v>
      </c>
      <c r="DL108" s="1091">
        <v>72.820051413881743</v>
      </c>
      <c r="DM108" s="1091">
        <v>86.379948586118246</v>
      </c>
      <c r="DN108" s="1092">
        <v>42.39203084832905</v>
      </c>
      <c r="DO108" s="1091">
        <v>36.362458471760796</v>
      </c>
      <c r="DP108" s="1091">
        <v>49.211960132890368</v>
      </c>
      <c r="DQ108" s="1091">
        <v>46.562292358803987</v>
      </c>
      <c r="DR108" s="1091">
        <v>49.696179401993355</v>
      </c>
      <c r="DS108" s="1091">
        <v>51.081395348837212</v>
      </c>
      <c r="DT108" s="1091">
        <v>50.789368770764121</v>
      </c>
      <c r="DU108" s="1091">
        <v>50.198671096345514</v>
      </c>
      <c r="DV108" s="1091">
        <v>43.372591362126251</v>
      </c>
      <c r="DW108" s="1091">
        <v>40.732890365448505</v>
      </c>
      <c r="DX108" s="1091">
        <v>85.778737541528244</v>
      </c>
      <c r="DY108" s="1091">
        <v>55.333388704318935</v>
      </c>
      <c r="DZ108" s="1091">
        <v>33.750664451827241</v>
      </c>
      <c r="EA108" s="1099"/>
      <c r="EB108" s="1111">
        <v>68.485114858186833</v>
      </c>
      <c r="EC108" s="1112">
        <v>74.690174187781935</v>
      </c>
      <c r="ED108" s="1112">
        <v>81.268084684613243</v>
      </c>
      <c r="EE108" s="1112">
        <v>69.120218961532117</v>
      </c>
      <c r="EF108" s="1112">
        <v>69.818469733068284</v>
      </c>
      <c r="EG108" s="1112">
        <v>74.11981714977675</v>
      </c>
      <c r="EH108" s="1112">
        <v>93.338894725719285</v>
      </c>
      <c r="EI108" s="1112">
        <v>81.767389464920896</v>
      </c>
      <c r="EJ108" s="1112">
        <f>AVERAGE(CQ108:DB108)</f>
        <v>82.187504656209597</v>
      </c>
      <c r="EK108" s="1113">
        <v>71.743623193723806</v>
      </c>
      <c r="EL108" s="1112">
        <f>AVERAGE(DO108:DZ108)</f>
        <v>49.405883167220367</v>
      </c>
      <c r="EM108" s="1318">
        <v>49.993307114840746</v>
      </c>
    </row>
    <row r="109" spans="1:143">
      <c r="A109" s="998"/>
      <c r="B109" s="1166" t="s">
        <v>717</v>
      </c>
      <c r="C109" s="1171" t="s">
        <v>718</v>
      </c>
      <c r="D109" s="1098">
        <v>37.300678030303033</v>
      </c>
      <c r="E109" s="1099">
        <v>41.73820994582988</v>
      </c>
      <c r="F109" s="1099">
        <v>37.172570609318996</v>
      </c>
      <c r="G109" s="1099">
        <v>39.492681992337161</v>
      </c>
      <c r="H109" s="1099">
        <v>39.805542056509793</v>
      </c>
      <c r="I109" s="1099">
        <v>42.678205868205872</v>
      </c>
      <c r="J109" s="1100">
        <v>30.439118443733072</v>
      </c>
      <c r="K109" s="1101">
        <v>38.92683644595359</v>
      </c>
      <c r="L109" s="1102">
        <v>43.322121046892043</v>
      </c>
      <c r="M109" s="1102">
        <v>43.556690470327503</v>
      </c>
      <c r="N109" s="1102">
        <v>41.05584223918575</v>
      </c>
      <c r="O109" s="1102">
        <v>38.908092095542969</v>
      </c>
      <c r="P109" s="1102">
        <v>44.139330279898225</v>
      </c>
      <c r="Q109" s="1102">
        <v>48.871211690587842</v>
      </c>
      <c r="R109" s="1102">
        <v>46.436012661173947</v>
      </c>
      <c r="S109" s="1102">
        <v>57.619731508165231</v>
      </c>
      <c r="T109" s="1102">
        <v>43.971283815190112</v>
      </c>
      <c r="U109" s="1102">
        <v>51.637853025936607</v>
      </c>
      <c r="V109" s="1103">
        <v>31.981449288835172</v>
      </c>
      <c r="W109" s="1098">
        <v>39.301292181835088</v>
      </c>
      <c r="X109" s="1099">
        <v>51.249026632217031</v>
      </c>
      <c r="Y109" s="1099">
        <v>49.70730686994515</v>
      </c>
      <c r="Z109" s="1099">
        <v>53.310873198847268</v>
      </c>
      <c r="AA109" s="1099">
        <v>49.515268662266429</v>
      </c>
      <c r="AB109" s="1099">
        <v>51.785780979827088</v>
      </c>
      <c r="AC109" s="1099">
        <v>52.816276842985971</v>
      </c>
      <c r="AD109" s="1099">
        <v>51.27067490936134</v>
      </c>
      <c r="AE109" s="1099">
        <v>54.174442843419783</v>
      </c>
      <c r="AF109" s="1099">
        <v>54.6970800409036</v>
      </c>
      <c r="AG109" s="1099">
        <v>62.511982708933715</v>
      </c>
      <c r="AH109" s="1100">
        <v>49.151321929906111</v>
      </c>
      <c r="AI109" s="1104">
        <v>41.692194287826972</v>
      </c>
      <c r="AJ109" s="1104">
        <v>51.974820916905443</v>
      </c>
      <c r="AK109" s="1104">
        <v>47.211308878104482</v>
      </c>
      <c r="AL109" s="1104">
        <v>36.371256145526054</v>
      </c>
      <c r="AM109" s="1104">
        <v>41.633503663526497</v>
      </c>
      <c r="AN109" s="1104">
        <v>42.928210422812192</v>
      </c>
      <c r="AO109" s="1104">
        <v>46.185073746312682</v>
      </c>
      <c r="AP109" s="1104">
        <v>49.372654391473972</v>
      </c>
      <c r="AQ109" s="1104">
        <v>51.229523107177982</v>
      </c>
      <c r="AR109" s="1104">
        <v>55.587583499857267</v>
      </c>
      <c r="AS109" s="1104">
        <v>54.855150442477878</v>
      </c>
      <c r="AT109" s="1104">
        <v>39.494833951850794</v>
      </c>
      <c r="AU109" s="1098">
        <v>42.293484457478009</v>
      </c>
      <c r="AV109" s="1099">
        <v>54.665755844155839</v>
      </c>
      <c r="AW109" s="1099">
        <v>55.101368328445751</v>
      </c>
      <c r="AX109" s="1099">
        <v>47.23117454545455</v>
      </c>
      <c r="AY109" s="1099">
        <v>50.036173607038123</v>
      </c>
      <c r="AZ109" s="1099">
        <v>46.954585454545452</v>
      </c>
      <c r="BA109" s="1099">
        <v>52.168672140762467</v>
      </c>
      <c r="BB109" s="1099">
        <v>50.797704985337234</v>
      </c>
      <c r="BC109" s="1099">
        <v>49.507269090909105</v>
      </c>
      <c r="BD109" s="1099">
        <v>56.328398826979466</v>
      </c>
      <c r="BE109" s="1099">
        <v>56.38827393939394</v>
      </c>
      <c r="BF109" s="1099">
        <v>40.44912082111437</v>
      </c>
      <c r="BG109" s="1105">
        <v>41.711762463343113</v>
      </c>
      <c r="BH109" s="1105">
        <v>53.873571428571431</v>
      </c>
      <c r="BI109" s="1105">
        <v>54.752699120234603</v>
      </c>
      <c r="BJ109" s="1105">
        <v>50.891908484848486</v>
      </c>
      <c r="BK109" s="1105">
        <v>55.886699120234603</v>
      </c>
      <c r="BL109" s="1105">
        <v>56.583299393939392</v>
      </c>
      <c r="BM109" s="1105">
        <v>54.680181231671554</v>
      </c>
      <c r="BN109" s="1105">
        <v>55.261603519061588</v>
      </c>
      <c r="BO109" s="1105">
        <v>56.337248484848473</v>
      </c>
      <c r="BP109" s="1105">
        <v>59.418642815249257</v>
      </c>
      <c r="BQ109" s="1105">
        <v>64.210667272727278</v>
      </c>
      <c r="BR109" s="1105">
        <v>41.355696187683286</v>
      </c>
      <c r="BS109" s="1106">
        <v>48.853361876832849</v>
      </c>
      <c r="BT109" s="1107">
        <v>57.186210658307211</v>
      </c>
      <c r="BU109" s="1107">
        <v>71.622537243401752</v>
      </c>
      <c r="BV109" s="1107">
        <v>59.299306666666666</v>
      </c>
      <c r="BW109" s="1107">
        <v>70.035704398826979</v>
      </c>
      <c r="BX109" s="1107">
        <v>71.757018888888894</v>
      </c>
      <c r="BY109" s="1107">
        <v>59.165707526881718</v>
      </c>
      <c r="BZ109" s="1107">
        <v>57.992152688172048</v>
      </c>
      <c r="CA109" s="1107">
        <v>67.176940000000002</v>
      </c>
      <c r="CB109" s="1107">
        <v>70.134516129032264</v>
      </c>
      <c r="CC109" s="1107">
        <v>80.385222222222225</v>
      </c>
      <c r="CD109" s="1107">
        <v>48.195430645161288</v>
      </c>
      <c r="CE109" s="1087">
        <v>54.283067204301076</v>
      </c>
      <c r="CF109" s="1088">
        <v>68.776034523809514</v>
      </c>
      <c r="CG109" s="1088">
        <v>78.878203763440865</v>
      </c>
      <c r="CH109" s="1088">
        <v>74.780075555555555</v>
      </c>
      <c r="CI109" s="1088">
        <v>68.615268817204296</v>
      </c>
      <c r="CJ109" s="1088">
        <v>69.077838888888891</v>
      </c>
      <c r="CK109" s="1088">
        <v>69.239540860215058</v>
      </c>
      <c r="CL109" s="1088">
        <v>58.374969892473118</v>
      </c>
      <c r="CM109" s="1088">
        <v>71.932207222222218</v>
      </c>
      <c r="CN109" s="1088">
        <v>71.921110215053758</v>
      </c>
      <c r="CO109" s="1088">
        <v>66.772921111111117</v>
      </c>
      <c r="CP109" s="1088">
        <v>51.868698924731184</v>
      </c>
      <c r="CQ109" s="1108">
        <v>58.090643010752686</v>
      </c>
      <c r="CR109" s="1109">
        <v>80.539316071428587</v>
      </c>
      <c r="CS109" s="1109">
        <v>71.822549999999993</v>
      </c>
      <c r="CT109" s="1109">
        <v>68.499854444444438</v>
      </c>
      <c r="CU109" s="1109">
        <v>73.058589784946236</v>
      </c>
      <c r="CV109" s="1109">
        <v>60.580666666666666</v>
      </c>
      <c r="CW109" s="1109">
        <v>71.34</v>
      </c>
      <c r="CX109" s="1109">
        <v>63.623999999999995</v>
      </c>
      <c r="CY109" s="1109">
        <v>86.378</v>
      </c>
      <c r="CZ109" s="1109">
        <v>72.358000000000004</v>
      </c>
      <c r="DA109" s="1109">
        <v>81.056066666666666</v>
      </c>
      <c r="DB109" s="1110">
        <v>47.467466666666667</v>
      </c>
      <c r="DC109" s="1091">
        <v>64.388066666666674</v>
      </c>
      <c r="DD109" s="1091">
        <v>63.076666666666668</v>
      </c>
      <c r="DE109" s="1091">
        <v>68.545333333333332</v>
      </c>
      <c r="DF109" s="1091">
        <v>65.012133333333324</v>
      </c>
      <c r="DG109" s="1091">
        <v>69.396000000000001</v>
      </c>
      <c r="DH109" s="1091">
        <v>64.76733333333334</v>
      </c>
      <c r="DI109" s="1091">
        <v>65.455333333333328</v>
      </c>
      <c r="DJ109" s="1091">
        <v>61.16944937833037</v>
      </c>
      <c r="DK109" s="1091">
        <v>52.482238010657191</v>
      </c>
      <c r="DL109" s="1091">
        <v>66.32877442273535</v>
      </c>
      <c r="DM109" s="1091">
        <v>73.462166962699825</v>
      </c>
      <c r="DN109" s="1092">
        <v>54.116755793226382</v>
      </c>
      <c r="DO109" s="1091">
        <v>69.266816143497763</v>
      </c>
      <c r="DP109" s="1091">
        <v>65.645291479820628</v>
      </c>
      <c r="DQ109" s="1091">
        <v>69.150672645739903</v>
      </c>
      <c r="DR109" s="1091">
        <v>71.899551569506727</v>
      </c>
      <c r="DS109" s="1091">
        <v>65.107174887892384</v>
      </c>
      <c r="DT109" s="1091">
        <v>70.240358744394612</v>
      </c>
      <c r="DU109" s="1091">
        <v>60.078026905829603</v>
      </c>
      <c r="DV109" s="1091">
        <v>63.055605381165925</v>
      </c>
      <c r="DW109" s="1091">
        <v>78.303587443946185</v>
      </c>
      <c r="DX109" s="1091">
        <v>110.142600896861</v>
      </c>
      <c r="DY109" s="1091">
        <v>68.165919282511211</v>
      </c>
      <c r="DZ109" s="1091">
        <v>42.194618834080721</v>
      </c>
      <c r="EA109" s="1099"/>
      <c r="EB109" s="1111">
        <v>38.542203197467551</v>
      </c>
      <c r="EC109" s="1112">
        <v>44.283674243981878</v>
      </c>
      <c r="ED109" s="1112">
        <v>51.584562920268972</v>
      </c>
      <c r="EE109" s="1112">
        <v>46.502553227428081</v>
      </c>
      <c r="EF109" s="1112">
        <v>50.124665404732255</v>
      </c>
      <c r="EG109" s="1112">
        <v>53.710245280199253</v>
      </c>
      <c r="EH109" s="1112">
        <v>63.521697783018872</v>
      </c>
      <c r="EI109" s="1112">
        <v>66.989662739726029</v>
      </c>
      <c r="EJ109" s="1112">
        <f>AVERAGE(CQ109:DB109)</f>
        <v>69.567929442630998</v>
      </c>
      <c r="EK109" s="1113">
        <v>64.095455393689889</v>
      </c>
      <c r="EL109" s="1112">
        <f>AVERAGE(DO109:DZ109)</f>
        <v>69.437518684603901</v>
      </c>
      <c r="EM109" s="1318">
        <v>70.034043348281031</v>
      </c>
    </row>
    <row r="110" spans="1:143">
      <c r="A110" s="998"/>
      <c r="B110" s="1166" t="s">
        <v>719</v>
      </c>
      <c r="C110" s="1171" t="s">
        <v>720</v>
      </c>
      <c r="D110" s="1098" t="s">
        <v>443</v>
      </c>
      <c r="E110" s="1099" t="s">
        <v>443</v>
      </c>
      <c r="F110" s="1099" t="s">
        <v>443</v>
      </c>
      <c r="G110" s="1099" t="s">
        <v>443</v>
      </c>
      <c r="H110" s="1099" t="s">
        <v>443</v>
      </c>
      <c r="I110" s="1099" t="s">
        <v>443</v>
      </c>
      <c r="J110" s="1100" t="s">
        <v>443</v>
      </c>
      <c r="K110" s="1101"/>
      <c r="L110" s="1102"/>
      <c r="M110" s="1102"/>
      <c r="N110" s="1102"/>
      <c r="O110" s="1102"/>
      <c r="P110" s="1102"/>
      <c r="Q110" s="1102"/>
      <c r="R110" s="1102"/>
      <c r="S110" s="1102"/>
      <c r="T110" s="1102"/>
      <c r="U110" s="1102"/>
      <c r="V110" s="1103"/>
      <c r="W110" s="1098"/>
      <c r="X110" s="1099"/>
      <c r="Y110" s="1099"/>
      <c r="Z110" s="1099"/>
      <c r="AA110" s="1099"/>
      <c r="AB110" s="1099"/>
      <c r="AC110" s="1099"/>
      <c r="AD110" s="1099"/>
      <c r="AE110" s="1099"/>
      <c r="AF110" s="1099"/>
      <c r="AG110" s="1099"/>
      <c r="AH110" s="1100"/>
      <c r="AI110" s="1104"/>
      <c r="AJ110" s="1104"/>
      <c r="AK110" s="1104"/>
      <c r="AL110" s="1104"/>
      <c r="AM110" s="1104"/>
      <c r="AN110" s="1104"/>
      <c r="AO110" s="1104"/>
      <c r="AP110" s="1104"/>
      <c r="AQ110" s="1104"/>
      <c r="AR110" s="1104"/>
      <c r="AS110" s="1104"/>
      <c r="AT110" s="1104"/>
      <c r="AU110" s="1098"/>
      <c r="AV110" s="1099"/>
      <c r="AW110" s="1099"/>
      <c r="AX110" s="1099"/>
      <c r="AY110" s="1099"/>
      <c r="AZ110" s="1099"/>
      <c r="BA110" s="1099"/>
      <c r="BB110" s="1099"/>
      <c r="BC110" s="1099"/>
      <c r="BD110" s="1099"/>
      <c r="BE110" s="1099"/>
      <c r="BF110" s="1099"/>
      <c r="BG110" s="1105"/>
      <c r="BH110" s="1105"/>
      <c r="BI110" s="1105"/>
      <c r="BJ110" s="1105"/>
      <c r="BK110" s="1105"/>
      <c r="BL110" s="1105"/>
      <c r="BM110" s="1105"/>
      <c r="BN110" s="1105"/>
      <c r="BO110" s="1105"/>
      <c r="BP110" s="1105"/>
      <c r="BQ110" s="1105"/>
      <c r="BR110" s="1105"/>
      <c r="BS110" s="1106"/>
      <c r="BT110" s="1107"/>
      <c r="BU110" s="1107"/>
      <c r="BV110" s="1107"/>
      <c r="BW110" s="1107"/>
      <c r="BX110" s="1107"/>
      <c r="BY110" s="1107"/>
      <c r="BZ110" s="1107"/>
      <c r="CA110" s="1107"/>
      <c r="CB110" s="1107"/>
      <c r="CC110" s="1107"/>
      <c r="CD110" s="1107"/>
      <c r="CE110" s="1087"/>
      <c r="CF110" s="1088"/>
      <c r="CG110" s="1088"/>
      <c r="CH110" s="1088"/>
      <c r="CI110" s="1088"/>
      <c r="CJ110" s="1088"/>
      <c r="CK110" s="1088"/>
      <c r="CL110" s="1088"/>
      <c r="CM110" s="1088"/>
      <c r="CN110" s="1088"/>
      <c r="CO110" s="1088"/>
      <c r="CP110" s="1088"/>
      <c r="CQ110" s="1108" t="s">
        <v>443</v>
      </c>
      <c r="CR110" s="1109" t="s">
        <v>443</v>
      </c>
      <c r="CS110" s="1109" t="s">
        <v>443</v>
      </c>
      <c r="CT110" s="1109" t="s">
        <v>443</v>
      </c>
      <c r="CU110" s="1109" t="s">
        <v>443</v>
      </c>
      <c r="CV110" s="1109" t="s">
        <v>443</v>
      </c>
      <c r="CW110" s="1109" t="s">
        <v>443</v>
      </c>
      <c r="CX110" s="1109" t="s">
        <v>443</v>
      </c>
      <c r="CY110" s="1109" t="s">
        <v>443</v>
      </c>
      <c r="CZ110" s="1109" t="s">
        <v>443</v>
      </c>
      <c r="DA110" s="1109" t="s">
        <v>443</v>
      </c>
      <c r="DB110" s="1110" t="s">
        <v>443</v>
      </c>
      <c r="DC110" s="1091" t="s">
        <v>443</v>
      </c>
      <c r="DD110" s="1091" t="s">
        <v>443</v>
      </c>
      <c r="DE110" s="1091" t="s">
        <v>443</v>
      </c>
      <c r="DF110" s="1091" t="s">
        <v>443</v>
      </c>
      <c r="DG110" s="1091" t="s">
        <v>443</v>
      </c>
      <c r="DH110" s="1091" t="s">
        <v>443</v>
      </c>
      <c r="DI110" s="1091" t="s">
        <v>443</v>
      </c>
      <c r="DJ110" s="1091" t="s">
        <v>443</v>
      </c>
      <c r="DK110" s="1091" t="s">
        <v>443</v>
      </c>
      <c r="DL110" s="1091" t="s">
        <v>443</v>
      </c>
      <c r="DM110" s="1091" t="s">
        <v>443</v>
      </c>
      <c r="DN110" s="1092" t="s">
        <v>443</v>
      </c>
      <c r="DO110" s="1091" t="s">
        <v>443</v>
      </c>
      <c r="DP110" s="1091" t="s">
        <v>443</v>
      </c>
      <c r="DQ110" s="1091" t="s">
        <v>443</v>
      </c>
      <c r="DR110" s="1091" t="s">
        <v>443</v>
      </c>
      <c r="DS110" s="1091" t="s">
        <v>443</v>
      </c>
      <c r="DT110" s="1091" t="s">
        <v>443</v>
      </c>
      <c r="DU110" s="1091" t="s">
        <v>443</v>
      </c>
      <c r="DV110" s="1091" t="s">
        <v>443</v>
      </c>
      <c r="DW110" s="1091" t="s">
        <v>443</v>
      </c>
      <c r="DX110" s="1091" t="s">
        <v>443</v>
      </c>
      <c r="DY110" s="1091" t="s">
        <v>443</v>
      </c>
      <c r="DZ110" s="1091" t="s">
        <v>443</v>
      </c>
      <c r="EA110" s="1099"/>
      <c r="EB110" s="1111" t="s">
        <v>443</v>
      </c>
      <c r="EC110" s="1111" t="s">
        <v>443</v>
      </c>
      <c r="ED110" s="1111" t="s">
        <v>443</v>
      </c>
      <c r="EE110" s="1111" t="s">
        <v>443</v>
      </c>
      <c r="EF110" s="1111" t="s">
        <v>443</v>
      </c>
      <c r="EG110" s="1111" t="s">
        <v>443</v>
      </c>
      <c r="EH110" s="1111" t="s">
        <v>443</v>
      </c>
      <c r="EI110" s="1111" t="s">
        <v>443</v>
      </c>
      <c r="EJ110" s="1111" t="s">
        <v>443</v>
      </c>
      <c r="EK110" s="1111" t="s">
        <v>443</v>
      </c>
      <c r="EL110" s="1112"/>
      <c r="EM110" s="1318"/>
    </row>
    <row r="111" spans="1:143">
      <c r="A111" s="998"/>
      <c r="B111" s="1143" t="s">
        <v>726</v>
      </c>
      <c r="C111" s="1167"/>
      <c r="D111" s="1098">
        <v>47.679746816948445</v>
      </c>
      <c r="E111" s="1099">
        <v>49.785466561762391</v>
      </c>
      <c r="F111" s="1099">
        <v>47.747025479195884</v>
      </c>
      <c r="G111" s="1099">
        <v>52.667835915772748</v>
      </c>
      <c r="H111" s="1099">
        <v>52.362469968956681</v>
      </c>
      <c r="I111" s="1099">
        <v>54.020690775054796</v>
      </c>
      <c r="J111" s="1100">
        <v>38.279392325145508</v>
      </c>
      <c r="K111" s="1101">
        <v>50.031675515600213</v>
      </c>
      <c r="L111" s="1102">
        <v>51.396809006211178</v>
      </c>
      <c r="M111" s="1102">
        <v>54.528213784812671</v>
      </c>
      <c r="N111" s="1102">
        <v>50.744163561076604</v>
      </c>
      <c r="O111" s="1102">
        <v>49.944977158886012</v>
      </c>
      <c r="P111" s="1102">
        <v>60.308845962732917</v>
      </c>
      <c r="Q111" s="1102">
        <v>55.721122821319049</v>
      </c>
      <c r="R111" s="1102">
        <v>52.354245353875775</v>
      </c>
      <c r="S111" s="1102">
        <v>58.465439800995028</v>
      </c>
      <c r="T111" s="1102">
        <v>56.438434280211851</v>
      </c>
      <c r="U111" s="1102">
        <v>59.923369154228851</v>
      </c>
      <c r="V111" s="1103">
        <v>42.194345709068777</v>
      </c>
      <c r="W111" s="1098">
        <v>48.616248731994325</v>
      </c>
      <c r="X111" s="1099">
        <v>60.675746139200328</v>
      </c>
      <c r="Y111" s="1099">
        <v>54.880678804670495</v>
      </c>
      <c r="Z111" s="1099">
        <v>60.654686503067481</v>
      </c>
      <c r="AA111" s="1099">
        <v>60.214957398747714</v>
      </c>
      <c r="AB111" s="1099">
        <v>65.373440212940224</v>
      </c>
      <c r="AC111" s="1099">
        <v>65.607978322897679</v>
      </c>
      <c r="AD111" s="1099">
        <v>60.969142823175076</v>
      </c>
      <c r="AE111" s="1099">
        <v>66.790795659295654</v>
      </c>
      <c r="AF111" s="1099">
        <v>67.989030078465561</v>
      </c>
      <c r="AG111" s="1099">
        <v>71.771199221949217</v>
      </c>
      <c r="AH111" s="1100">
        <v>52.010654474122212</v>
      </c>
      <c r="AI111" s="1104">
        <v>45.859934801561728</v>
      </c>
      <c r="AJ111" s="1104">
        <v>51.118591992613723</v>
      </c>
      <c r="AK111" s="1104">
        <v>59.243734260702723</v>
      </c>
      <c r="AL111" s="1104">
        <v>49.800471499380421</v>
      </c>
      <c r="AM111" s="1104">
        <v>48.093900747491695</v>
      </c>
      <c r="AN111" s="1104">
        <v>52.553356670797186</v>
      </c>
      <c r="AO111" s="1104">
        <v>54.012177419354842</v>
      </c>
      <c r="AP111" s="1104">
        <v>58.809709738398681</v>
      </c>
      <c r="AQ111" s="1104">
        <v>55.184569418189469</v>
      </c>
      <c r="AR111" s="1104">
        <v>61.086996768095624</v>
      </c>
      <c r="AS111" s="1104">
        <v>62.525087586641469</v>
      </c>
      <c r="AT111" s="1104">
        <v>43.734556781917604</v>
      </c>
      <c r="AU111" s="1098">
        <v>49.992553292670323</v>
      </c>
      <c r="AV111" s="1099">
        <v>63.221976902791667</v>
      </c>
      <c r="AW111" s="1099">
        <v>63.254142009404326</v>
      </c>
      <c r="AX111" s="1099">
        <v>55.449190961171212</v>
      </c>
      <c r="AY111" s="1099">
        <v>59.212819859961812</v>
      </c>
      <c r="AZ111" s="1099">
        <v>59.700830468915761</v>
      </c>
      <c r="BA111" s="1099">
        <v>59.177455493727031</v>
      </c>
      <c r="BB111" s="1099">
        <v>58.727796349150942</v>
      </c>
      <c r="BC111" s="1099">
        <v>56.815979418629318</v>
      </c>
      <c r="BD111" s="1099">
        <v>65.448309480298136</v>
      </c>
      <c r="BE111" s="1099">
        <v>61.836822406110755</v>
      </c>
      <c r="BF111" s="1099">
        <v>58.279806164144468</v>
      </c>
      <c r="BG111" s="1105">
        <v>53.009072092975501</v>
      </c>
      <c r="BH111" s="1105">
        <v>68.450317131945084</v>
      </c>
      <c r="BI111" s="1105">
        <v>67.344661916593083</v>
      </c>
      <c r="BJ111" s="1105">
        <v>55.148301718650544</v>
      </c>
      <c r="BK111" s="1105">
        <v>60.878072934847332</v>
      </c>
      <c r="BL111" s="1105">
        <v>63.594231275196265</v>
      </c>
      <c r="BM111" s="1105">
        <v>62.701827683209792</v>
      </c>
      <c r="BN111" s="1105">
        <v>63.679540461181489</v>
      </c>
      <c r="BO111" s="1105">
        <v>65.561910460428606</v>
      </c>
      <c r="BP111" s="1105">
        <v>66.139669000636545</v>
      </c>
      <c r="BQ111" s="1105">
        <v>82.359336091661376</v>
      </c>
      <c r="BR111" s="1105">
        <v>64.879785220016018</v>
      </c>
      <c r="BS111" s="1106">
        <v>69.956465370320942</v>
      </c>
      <c r="BT111" s="1107">
        <v>79.422190566079152</v>
      </c>
      <c r="BU111" s="1107">
        <v>86.889340465288171</v>
      </c>
      <c r="BV111" s="1107">
        <v>75.461693189051559</v>
      </c>
      <c r="BW111" s="1107">
        <v>76.530227921397909</v>
      </c>
      <c r="BX111" s="1107">
        <v>81.154875385564466</v>
      </c>
      <c r="BY111" s="1107">
        <v>73.01821615490239</v>
      </c>
      <c r="BZ111" s="1107">
        <v>72.18307615768839</v>
      </c>
      <c r="CA111" s="1107">
        <v>75.6188153403249</v>
      </c>
      <c r="CB111" s="1107">
        <v>81.079779506875468</v>
      </c>
      <c r="CC111" s="1107">
        <v>90.730598396051818</v>
      </c>
      <c r="CD111" s="1107">
        <v>70.500963761915173</v>
      </c>
      <c r="CE111" s="1087">
        <v>76.75616942946408</v>
      </c>
      <c r="CF111" s="1088">
        <v>94.691271261126289</v>
      </c>
      <c r="CG111" s="1088">
        <v>107.13806372012496</v>
      </c>
      <c r="CH111" s="1088">
        <v>70.057307629035577</v>
      </c>
      <c r="CI111" s="1088">
        <v>72.091340669837408</v>
      </c>
      <c r="CJ111" s="1088">
        <v>80.035177873740466</v>
      </c>
      <c r="CK111" s="1088">
        <v>77.882679548665678</v>
      </c>
      <c r="CL111" s="1088">
        <v>66.279076436289813</v>
      </c>
      <c r="CM111" s="1088">
        <v>80.028717047090268</v>
      </c>
      <c r="CN111" s="1088">
        <v>75.79424349764183</v>
      </c>
      <c r="CO111" s="1088">
        <v>80.478592638289115</v>
      </c>
      <c r="CP111" s="1088">
        <v>61.72556944140414</v>
      </c>
      <c r="CQ111" s="1108">
        <v>68.99768502119359</v>
      </c>
      <c r="CR111" s="1109">
        <v>90.012044593284571</v>
      </c>
      <c r="CS111" s="1109">
        <v>79.620104276531791</v>
      </c>
      <c r="CT111" s="1109">
        <v>78.178333538967721</v>
      </c>
      <c r="CU111" s="1109">
        <v>72.111729915822565</v>
      </c>
      <c r="CV111" s="1109">
        <v>71.305181986428124</v>
      </c>
      <c r="CW111" s="1109">
        <v>79.88</v>
      </c>
      <c r="CX111" s="1109">
        <v>72.157001850709435</v>
      </c>
      <c r="CY111" s="1109">
        <v>89.425416409623693</v>
      </c>
      <c r="CZ111" s="1109">
        <v>80.490746452806903</v>
      </c>
      <c r="DA111" s="1109">
        <v>90.818932757557064</v>
      </c>
      <c r="DB111" s="1110">
        <v>64.162837754472548</v>
      </c>
      <c r="DC111" s="1091">
        <v>72.552362739049968</v>
      </c>
      <c r="DD111" s="1091">
        <v>76.972424429364594</v>
      </c>
      <c r="DE111" s="1091">
        <v>79.760950030845152</v>
      </c>
      <c r="DF111" s="1091">
        <v>72.85033312769896</v>
      </c>
      <c r="DG111" s="1091">
        <v>77.61992597162245</v>
      </c>
      <c r="DH111" s="1091">
        <v>72.698766193707584</v>
      </c>
      <c r="DI111" s="1091">
        <v>72.189512646514501</v>
      </c>
      <c r="DJ111" s="1091">
        <v>62.62861576660459</v>
      </c>
      <c r="DK111" s="1091">
        <v>65.664556176288016</v>
      </c>
      <c r="DL111" s="1091">
        <v>73.581253879577901</v>
      </c>
      <c r="DM111" s="1091">
        <v>77.720049658597148</v>
      </c>
      <c r="DN111" s="1092">
        <v>51.636917339962707</v>
      </c>
      <c r="DO111" s="1091">
        <v>52.148213239601638</v>
      </c>
      <c r="DP111" s="1091">
        <v>62.262390158172231</v>
      </c>
      <c r="DQ111" s="1091">
        <v>60.431400117164614</v>
      </c>
      <c r="DR111" s="1091">
        <v>62.780374926772112</v>
      </c>
      <c r="DS111" s="1091">
        <v>60.835500878734628</v>
      </c>
      <c r="DT111" s="1091">
        <v>64.521148213239599</v>
      </c>
      <c r="DU111" s="1091">
        <v>58.689455184534268</v>
      </c>
      <c r="DV111" s="1091">
        <v>54.938605741066205</v>
      </c>
      <c r="DW111" s="1091">
        <v>61.232513181019335</v>
      </c>
      <c r="DX111" s="1091">
        <v>104.36502636203866</v>
      </c>
      <c r="DY111" s="1091">
        <v>67.923960164030461</v>
      </c>
      <c r="DZ111" s="1091">
        <v>47.208318687756297</v>
      </c>
      <c r="EA111" s="1099"/>
      <c r="EB111" s="1111">
        <v>49.163739862104698</v>
      </c>
      <c r="EC111" s="1112">
        <v>53.556275261517598</v>
      </c>
      <c r="ED111" s="1112">
        <v>61.270817248045702</v>
      </c>
      <c r="EE111" s="1112">
        <v>53.440455322660711</v>
      </c>
      <c r="EF111" s="1112">
        <v>59.24152753808815</v>
      </c>
      <c r="EG111" s="1112">
        <v>64.422284314152961</v>
      </c>
      <c r="EH111" s="1112">
        <v>77.670080981959629</v>
      </c>
      <c r="EI111" s="1112">
        <v>78.457618838362933</v>
      </c>
      <c r="EJ111" s="1112">
        <f>AVERAGE(CQ111:DB111)</f>
        <v>78.096667879783169</v>
      </c>
      <c r="EK111" s="1113">
        <v>71.281825096216892</v>
      </c>
      <c r="EL111" s="1112">
        <f>AVERAGE(DO111:DZ111)</f>
        <v>63.111408904510832</v>
      </c>
      <c r="EM111" s="1318">
        <v>63.759223690850689</v>
      </c>
    </row>
    <row r="112" spans="1:143">
      <c r="A112" s="998"/>
      <c r="B112" s="1143"/>
      <c r="C112" s="1167"/>
      <c r="D112" s="1098"/>
      <c r="E112" s="1099"/>
      <c r="F112" s="1099"/>
      <c r="G112" s="1099"/>
      <c r="H112" s="1099"/>
      <c r="I112" s="1099"/>
      <c r="J112" s="1100"/>
      <c r="K112" s="1101"/>
      <c r="L112" s="1102"/>
      <c r="M112" s="1102"/>
      <c r="N112" s="1102"/>
      <c r="O112" s="1102"/>
      <c r="P112" s="1102"/>
      <c r="Q112" s="1102"/>
      <c r="R112" s="1102"/>
      <c r="S112" s="1102"/>
      <c r="T112" s="1102"/>
      <c r="U112" s="1102"/>
      <c r="V112" s="1103"/>
      <c r="W112" s="1098"/>
      <c r="X112" s="1099"/>
      <c r="Y112" s="1099"/>
      <c r="Z112" s="1099"/>
      <c r="AA112" s="1099"/>
      <c r="AB112" s="1099"/>
      <c r="AC112" s="1099"/>
      <c r="AD112" s="1099"/>
      <c r="AE112" s="1099"/>
      <c r="AF112" s="1099"/>
      <c r="AG112" s="1099"/>
      <c r="AH112" s="1100"/>
      <c r="AI112" s="1104"/>
      <c r="AJ112" s="1104"/>
      <c r="AK112" s="1104"/>
      <c r="AL112" s="1104"/>
      <c r="AM112" s="1104"/>
      <c r="AN112" s="1104"/>
      <c r="AO112" s="1104"/>
      <c r="AP112" s="1104"/>
      <c r="AQ112" s="1104"/>
      <c r="AR112" s="1104"/>
      <c r="AS112" s="1104"/>
      <c r="AT112" s="1104"/>
      <c r="AU112" s="1098"/>
      <c r="AV112" s="1099"/>
      <c r="AW112" s="1099"/>
      <c r="AX112" s="1099"/>
      <c r="AY112" s="1099"/>
      <c r="AZ112" s="1099"/>
      <c r="BA112" s="1099"/>
      <c r="BB112" s="1099"/>
      <c r="BC112" s="1099"/>
      <c r="BD112" s="1099"/>
      <c r="BE112" s="1099"/>
      <c r="BF112" s="1099"/>
      <c r="BG112" s="1105"/>
      <c r="BH112" s="1105"/>
      <c r="BI112" s="1105"/>
      <c r="BJ112" s="1105"/>
      <c r="BK112" s="1105"/>
      <c r="BL112" s="1105"/>
      <c r="BM112" s="1105"/>
      <c r="BN112" s="1105"/>
      <c r="BO112" s="1105"/>
      <c r="BP112" s="1105"/>
      <c r="BQ112" s="1105"/>
      <c r="BR112" s="1105"/>
      <c r="BS112" s="1106"/>
      <c r="BT112" s="1107"/>
      <c r="BU112" s="1107"/>
      <c r="BV112" s="1107"/>
      <c r="BW112" s="1107"/>
      <c r="BX112" s="1107"/>
      <c r="BY112" s="1107"/>
      <c r="BZ112" s="1107"/>
      <c r="CA112" s="1107"/>
      <c r="CB112" s="1107"/>
      <c r="CC112" s="1107"/>
      <c r="CD112" s="1107"/>
      <c r="CE112" s="1087"/>
      <c r="CF112" s="1088"/>
      <c r="CG112" s="1088"/>
      <c r="CH112" s="1088"/>
      <c r="CI112" s="1088"/>
      <c r="CJ112" s="1088"/>
      <c r="CK112" s="1088"/>
      <c r="CL112" s="1088"/>
      <c r="CM112" s="1088"/>
      <c r="CN112" s="1088"/>
      <c r="CO112" s="1088"/>
      <c r="CP112" s="1088"/>
      <c r="CQ112" s="1108"/>
      <c r="CR112" s="1109"/>
      <c r="CS112" s="1109"/>
      <c r="CT112" s="1109"/>
      <c r="CU112" s="1109"/>
      <c r="CV112" s="1109"/>
      <c r="CW112" s="1109"/>
      <c r="CX112" s="1109"/>
      <c r="CY112" s="1109"/>
      <c r="CZ112" s="1109"/>
      <c r="DA112" s="1109"/>
      <c r="DB112" s="1110"/>
      <c r="DC112" s="1091"/>
      <c r="DD112" s="1091"/>
      <c r="DE112" s="1091"/>
      <c r="DF112" s="1091"/>
      <c r="DG112" s="1091"/>
      <c r="DH112" s="1091"/>
      <c r="DI112" s="1091"/>
      <c r="DJ112" s="1091"/>
      <c r="DK112" s="1091"/>
      <c r="DL112" s="1091"/>
      <c r="DM112" s="1091"/>
      <c r="DN112" s="1092"/>
      <c r="DO112" s="1091"/>
      <c r="DP112" s="1091"/>
      <c r="DQ112" s="1091"/>
      <c r="DR112" s="1091"/>
      <c r="DS112" s="1091"/>
      <c r="DT112" s="1091"/>
      <c r="DU112" s="1091"/>
      <c r="DV112" s="1091"/>
      <c r="DW112" s="1091"/>
      <c r="DX112" s="1091"/>
      <c r="DY112" s="1091"/>
      <c r="DZ112" s="1091"/>
      <c r="EA112" s="1099"/>
      <c r="EB112" s="1111"/>
      <c r="EC112" s="1112"/>
      <c r="ED112" s="1112"/>
      <c r="EE112" s="1112"/>
      <c r="EF112" s="1112"/>
      <c r="EG112" s="1112"/>
      <c r="EH112" s="1112"/>
      <c r="EI112" s="1112"/>
      <c r="EJ112" s="1112"/>
      <c r="EK112" s="1113"/>
      <c r="EL112" s="1112"/>
      <c r="EM112" s="1318"/>
    </row>
    <row r="113" spans="1:143">
      <c r="A113" s="998"/>
      <c r="B113" s="1168"/>
      <c r="C113" s="1171" t="s">
        <v>163</v>
      </c>
      <c r="D113" s="1145"/>
      <c r="E113" s="1146"/>
      <c r="F113" s="1099"/>
      <c r="G113" s="1146"/>
      <c r="H113" s="1146"/>
      <c r="I113" s="1146"/>
      <c r="J113" s="1151"/>
      <c r="K113" s="1147"/>
      <c r="L113" s="1148"/>
      <c r="M113" s="1148"/>
      <c r="N113" s="1192"/>
      <c r="O113" s="1192"/>
      <c r="P113" s="1192"/>
      <c r="Q113" s="1192"/>
      <c r="R113" s="1192"/>
      <c r="S113" s="1192"/>
      <c r="T113" s="1192"/>
      <c r="U113" s="1192"/>
      <c r="V113" s="1193"/>
      <c r="W113" s="1098"/>
      <c r="X113" s="1099"/>
      <c r="Y113" s="1099"/>
      <c r="Z113" s="1099"/>
      <c r="AA113" s="1099"/>
      <c r="AB113" s="1099"/>
      <c r="AC113" s="1099"/>
      <c r="AD113" s="1099"/>
      <c r="AE113" s="1099"/>
      <c r="AF113" s="1099"/>
      <c r="AG113" s="1099"/>
      <c r="AH113" s="1100"/>
      <c r="AI113" s="1104"/>
      <c r="AJ113" s="1104"/>
      <c r="AK113" s="1104"/>
      <c r="AL113" s="1104"/>
      <c r="AM113" s="1104"/>
      <c r="AN113" s="1104"/>
      <c r="AO113" s="1104"/>
      <c r="AP113" s="1104"/>
      <c r="AQ113" s="1104"/>
      <c r="AR113" s="1104"/>
      <c r="AS113" s="1104"/>
      <c r="AT113" s="1104"/>
      <c r="AU113" s="1098"/>
      <c r="AV113" s="1099"/>
      <c r="AW113" s="1099"/>
      <c r="AX113" s="1099"/>
      <c r="AY113" s="1099"/>
      <c r="AZ113" s="1099"/>
      <c r="BA113" s="1099"/>
      <c r="BB113" s="1099"/>
      <c r="BC113" s="1099"/>
      <c r="BD113" s="1099"/>
      <c r="BE113" s="1099"/>
      <c r="BF113" s="1099"/>
      <c r="BG113" s="1105"/>
      <c r="BH113" s="1105"/>
      <c r="BI113" s="1105"/>
      <c r="BJ113" s="1105"/>
      <c r="BK113" s="1105"/>
      <c r="BL113" s="1105"/>
      <c r="BM113" s="1105"/>
      <c r="BN113" s="1105"/>
      <c r="BO113" s="1105"/>
      <c r="BP113" s="1105"/>
      <c r="BQ113" s="1105"/>
      <c r="BR113" s="1105"/>
      <c r="BS113" s="1106"/>
      <c r="BT113" s="1107"/>
      <c r="BU113" s="1107"/>
      <c r="BV113" s="1107"/>
      <c r="BW113" s="1107"/>
      <c r="BX113" s="1107"/>
      <c r="BY113" s="1107"/>
      <c r="BZ113" s="1107"/>
      <c r="CA113" s="1107"/>
      <c r="CB113" s="1107"/>
      <c r="CC113" s="1107"/>
      <c r="CD113" s="1107"/>
      <c r="CE113" s="1087"/>
      <c r="CF113" s="1088"/>
      <c r="CG113" s="1088"/>
      <c r="CH113" s="1088"/>
      <c r="CI113" s="1088"/>
      <c r="CJ113" s="1088"/>
      <c r="CK113" s="1088"/>
      <c r="CL113" s="1088"/>
      <c r="CM113" s="1088"/>
      <c r="CN113" s="1088"/>
      <c r="CO113" s="1088"/>
      <c r="CP113" s="1088"/>
      <c r="CQ113" s="1108"/>
      <c r="CR113" s="1109"/>
      <c r="CS113" s="1109"/>
      <c r="CT113" s="1109"/>
      <c r="CU113" s="1109"/>
      <c r="CV113" s="1109"/>
      <c r="CW113" s="1109"/>
      <c r="CX113" s="1109"/>
      <c r="CY113" s="1109"/>
      <c r="CZ113" s="1109"/>
      <c r="DA113" s="1109"/>
      <c r="DB113" s="1110"/>
      <c r="DC113" s="1091"/>
      <c r="DD113" s="1091"/>
      <c r="DE113" s="1091"/>
      <c r="DF113" s="1091"/>
      <c r="DG113" s="1091"/>
      <c r="DH113" s="1091"/>
      <c r="DI113" s="1091"/>
      <c r="DJ113" s="1091"/>
      <c r="DK113" s="1091"/>
      <c r="DL113" s="1091"/>
      <c r="DM113" s="1091"/>
      <c r="DN113" s="1092"/>
      <c r="DO113" s="1091"/>
      <c r="DP113" s="1091"/>
      <c r="DQ113" s="1091"/>
      <c r="DR113" s="1091"/>
      <c r="DS113" s="1091"/>
      <c r="DT113" s="1091"/>
      <c r="DU113" s="1091"/>
      <c r="DV113" s="1091"/>
      <c r="DW113" s="1091"/>
      <c r="DX113" s="1091"/>
      <c r="DY113" s="1091"/>
      <c r="DZ113" s="1091"/>
      <c r="EA113" s="1099"/>
      <c r="EB113" s="1170"/>
      <c r="EC113" s="1194"/>
      <c r="ED113" s="1194"/>
      <c r="EE113" s="1194"/>
      <c r="EF113" s="1194"/>
      <c r="EG113" s="1194"/>
      <c r="EH113" s="1194"/>
      <c r="EI113" s="1194"/>
      <c r="EJ113" s="1194"/>
      <c r="EK113" s="1195"/>
      <c r="EL113" s="1196"/>
      <c r="EM113" s="1327"/>
    </row>
    <row r="114" spans="1:143">
      <c r="A114" s="998"/>
      <c r="B114" s="1166" t="s">
        <v>707</v>
      </c>
      <c r="C114" s="1171" t="s">
        <v>708</v>
      </c>
      <c r="D114" s="1098">
        <v>15.458024691358025</v>
      </c>
      <c r="E114" s="1099">
        <v>14.616678614097971</v>
      </c>
      <c r="F114" s="1099">
        <v>7.2974711270410202</v>
      </c>
      <c r="G114" s="1099">
        <v>6.2210864197530862</v>
      </c>
      <c r="H114" s="1099">
        <v>8.7383233771405813</v>
      </c>
      <c r="I114" s="1099">
        <v>10.895909465020576</v>
      </c>
      <c r="J114" s="1100">
        <v>7.0391477499004376</v>
      </c>
      <c r="K114" s="1101">
        <v>16.193946634806849</v>
      </c>
      <c r="L114" s="1102">
        <v>10.952720458553792</v>
      </c>
      <c r="M114" s="1102">
        <v>13.80185185185185</v>
      </c>
      <c r="N114" s="1102">
        <v>10.101275720164608</v>
      </c>
      <c r="O114" s="1102">
        <v>11.423882915173239</v>
      </c>
      <c r="P114" s="1102">
        <v>34.079469135802469</v>
      </c>
      <c r="Q114" s="1102">
        <v>15.995985663082436</v>
      </c>
      <c r="R114" s="1102">
        <v>17.52489048187973</v>
      </c>
      <c r="S114" s="1102">
        <v>11.634728395061728</v>
      </c>
      <c r="T114" s="1102">
        <v>5.8364794902429313</v>
      </c>
      <c r="U114" s="1102">
        <v>7.9266666666666667</v>
      </c>
      <c r="V114" s="1103">
        <v>9.2173038630027886</v>
      </c>
      <c r="W114" s="1098">
        <v>9.7023894862604543</v>
      </c>
      <c r="X114" s="1099">
        <v>10.714857386121754</v>
      </c>
      <c r="Y114" s="1099">
        <v>11.518637992831541</v>
      </c>
      <c r="Z114" s="1099">
        <v>8.8435102880658434</v>
      </c>
      <c r="AA114" s="1099">
        <v>12.338348896434635</v>
      </c>
      <c r="AB114" s="1099">
        <v>15.334815789473684</v>
      </c>
      <c r="AC114" s="1099">
        <v>18.255182512733448</v>
      </c>
      <c r="AD114" s="1099">
        <v>17.125084889643464</v>
      </c>
      <c r="AE114" s="1099">
        <v>15.635543859649124</v>
      </c>
      <c r="AF114" s="1099">
        <v>14.820865874363328</v>
      </c>
      <c r="AG114" s="1099">
        <v>20.795245614035089</v>
      </c>
      <c r="AH114" s="1100">
        <v>13.428319185059422</v>
      </c>
      <c r="AI114" s="1104">
        <v>14.887718040621266</v>
      </c>
      <c r="AJ114" s="1104">
        <v>11.743298059964726</v>
      </c>
      <c r="AK114" s="1104">
        <v>14.887718040621266</v>
      </c>
      <c r="AL114" s="1104">
        <v>15.474699588477366</v>
      </c>
      <c r="AM114" s="1104">
        <v>18.225487853444843</v>
      </c>
      <c r="AN114" s="1104">
        <v>18.247510288065843</v>
      </c>
      <c r="AO114" s="1104">
        <v>20.498207885304659</v>
      </c>
      <c r="AP114" s="1104">
        <v>52.3657785742732</v>
      </c>
      <c r="AQ114" s="1104">
        <v>17.200823045267491</v>
      </c>
      <c r="AR114" s="1104">
        <v>31.034647550776583</v>
      </c>
      <c r="AS114" s="1104">
        <v>25.303703703703704</v>
      </c>
      <c r="AT114" s="1104">
        <v>11.825567502986857</v>
      </c>
      <c r="AU114" s="1098">
        <v>16.581015531660693</v>
      </c>
      <c r="AV114" s="1099">
        <v>22.624479717813053</v>
      </c>
      <c r="AW114" s="1099">
        <v>28.575081640780564</v>
      </c>
      <c r="AX114" s="1099">
        <v>17.455275720164607</v>
      </c>
      <c r="AY114" s="1099">
        <v>18.526762246117084</v>
      </c>
      <c r="AZ114" s="1099">
        <v>26.208353909465021</v>
      </c>
      <c r="BA114" s="1099">
        <v>23.19162883313421</v>
      </c>
      <c r="BB114" s="1099">
        <v>21.845392273994424</v>
      </c>
      <c r="BC114" s="1099">
        <v>18.594905349794235</v>
      </c>
      <c r="BD114" s="1099">
        <v>26.882254082039026</v>
      </c>
      <c r="BE114" s="1099">
        <v>26.555312757201648</v>
      </c>
      <c r="BF114" s="1099">
        <v>19.97931899641577</v>
      </c>
      <c r="BG114" s="1105">
        <v>11.743488649940263</v>
      </c>
      <c r="BH114" s="1105">
        <v>18.511155202821872</v>
      </c>
      <c r="BI114" s="1105">
        <v>20.655376344086022</v>
      </c>
      <c r="BJ114" s="1105">
        <v>19.512773662551442</v>
      </c>
      <c r="BK114" s="1105">
        <v>22.31395061728395</v>
      </c>
      <c r="BL114" s="1105">
        <v>20.345995884773664</v>
      </c>
      <c r="BM114" s="1105">
        <v>19.299669454400636</v>
      </c>
      <c r="BN114" s="1105">
        <v>17.683870967741935</v>
      </c>
      <c r="BO114" s="1105">
        <v>24.697230452674894</v>
      </c>
      <c r="BP114" s="1105">
        <v>18.615543608124252</v>
      </c>
      <c r="BQ114" s="1105">
        <v>21.975460905349795</v>
      </c>
      <c r="BR114" s="1105">
        <v>21.363600159299082</v>
      </c>
      <c r="BS114" s="1106">
        <v>19.304113898845081</v>
      </c>
      <c r="BT114" s="1107">
        <v>22.869595572584078</v>
      </c>
      <c r="BU114" s="1107">
        <v>21.864771007566706</v>
      </c>
      <c r="BV114" s="1107">
        <v>18.179497942386831</v>
      </c>
      <c r="BW114" s="1107">
        <v>18.815722819593788</v>
      </c>
      <c r="BX114" s="1107">
        <v>30.811818930041152</v>
      </c>
      <c r="BY114" s="1107">
        <v>22.614551971326165</v>
      </c>
      <c r="BZ114" s="1107">
        <v>19.304739147749899</v>
      </c>
      <c r="CA114" s="1107">
        <v>21.947786008230452</v>
      </c>
      <c r="CB114" s="1107">
        <v>21.130227001194744</v>
      </c>
      <c r="CC114" s="1107">
        <v>25.516049382716048</v>
      </c>
      <c r="CD114" s="1107">
        <v>19.713938669852649</v>
      </c>
      <c r="CE114" s="1087">
        <v>17.254902429311031</v>
      </c>
      <c r="CF114" s="1088">
        <v>22.232292768959436</v>
      </c>
      <c r="CG114" s="1088">
        <v>24.706491437674234</v>
      </c>
      <c r="CH114" s="1088">
        <v>22.392242798353909</v>
      </c>
      <c r="CI114" s="1088">
        <v>20.545969733174033</v>
      </c>
      <c r="CJ114" s="1088">
        <v>18.093950617283951</v>
      </c>
      <c r="CK114" s="1088">
        <v>21.380358422939068</v>
      </c>
      <c r="CL114" s="1088">
        <v>18.044858622062922</v>
      </c>
      <c r="CM114" s="1088">
        <v>22.004032921810701</v>
      </c>
      <c r="CN114" s="1088">
        <v>20.646662684189568</v>
      </c>
      <c r="CO114" s="1088">
        <v>40.107407407407408</v>
      </c>
      <c r="CP114" s="1088">
        <v>38.283432895260852</v>
      </c>
      <c r="CQ114" s="1108">
        <v>13.545878136200717</v>
      </c>
      <c r="CR114" s="1109">
        <v>35.950617283950621</v>
      </c>
      <c r="CS114" s="1109">
        <v>18.056184786937475</v>
      </c>
      <c r="CT114" s="1109">
        <v>25.212049382716049</v>
      </c>
      <c r="CU114" s="1109">
        <v>25.856411788132217</v>
      </c>
      <c r="CV114" s="1109">
        <v>22.355555555555554</v>
      </c>
      <c r="CW114" s="1109">
        <v>25.4</v>
      </c>
      <c r="CX114" s="1109">
        <v>27.12222222222222</v>
      </c>
      <c r="CY114" s="1109">
        <v>25.877777777777776</v>
      </c>
      <c r="CZ114" s="1109">
        <v>28.955555555555559</v>
      </c>
      <c r="DA114" s="1109">
        <v>33.532222222222224</v>
      </c>
      <c r="DB114" s="1110">
        <v>28.525555555555556</v>
      </c>
      <c r="DC114" s="1091">
        <v>30.211111111111112</v>
      </c>
      <c r="DD114" s="1091">
        <v>28.077777777777779</v>
      </c>
      <c r="DE114" s="1091">
        <v>34.577777777777776</v>
      </c>
      <c r="DF114" s="1091">
        <v>49.54</v>
      </c>
      <c r="DG114" s="1091">
        <v>47.37777777777778</v>
      </c>
      <c r="DH114" s="1091">
        <v>33.1</v>
      </c>
      <c r="DI114" s="1091">
        <v>28.488888888888891</v>
      </c>
      <c r="DJ114" s="1091">
        <v>14.273684210526316</v>
      </c>
      <c r="DK114" s="1091">
        <v>12.336842105263157</v>
      </c>
      <c r="DL114" s="1091">
        <v>35.968421052631577</v>
      </c>
      <c r="DM114" s="1091">
        <v>23.242105263157899</v>
      </c>
      <c r="DN114" s="1092">
        <v>20.410752688172042</v>
      </c>
      <c r="DO114" s="1091">
        <v>25.154918032786885</v>
      </c>
      <c r="DP114" s="1091">
        <v>24.193442622950819</v>
      </c>
      <c r="DQ114" s="1091">
        <v>20.311475409836063</v>
      </c>
      <c r="DR114" s="1091">
        <v>23.943442622950819</v>
      </c>
      <c r="DS114" s="1091">
        <v>26.090983606557376</v>
      </c>
      <c r="DT114" s="1091">
        <v>39.421311475409837</v>
      </c>
      <c r="DU114" s="1091">
        <v>27.433606557377047</v>
      </c>
      <c r="DV114" s="1091">
        <v>38.76229508196721</v>
      </c>
      <c r="DW114" s="1091">
        <v>13.238524590163934</v>
      </c>
      <c r="DX114" s="1091">
        <v>42.604918032786884</v>
      </c>
      <c r="DY114" s="1091">
        <v>33.489344262295084</v>
      </c>
      <c r="DZ114" s="1091">
        <v>19.917213114754098</v>
      </c>
      <c r="EA114" s="1099"/>
      <c r="EB114" s="1111">
        <v>9.6516666666666655</v>
      </c>
      <c r="EC114" s="1112">
        <v>13.72264366649755</v>
      </c>
      <c r="ED114" s="1112">
        <v>13.966807994088878</v>
      </c>
      <c r="EE114" s="1112">
        <v>21.071488584474899</v>
      </c>
      <c r="EF114" s="1112">
        <v>22.249112125824464</v>
      </c>
      <c r="EG114" s="1112">
        <v>19.715607305936075</v>
      </c>
      <c r="EH114" s="1112">
        <v>21.808914862038723</v>
      </c>
      <c r="EI114" s="1112">
        <v>23.800482665313719</v>
      </c>
      <c r="EJ114" s="1112">
        <f t="shared" ref="EJ114:EJ119" si="14">AVERAGE(CQ114:DB114)</f>
        <v>25.865835855568832</v>
      </c>
      <c r="EK114" s="1113">
        <v>29.258615895086109</v>
      </c>
      <c r="EL114" s="1112">
        <f t="shared" ref="EL114:EL119" si="15">AVERAGE(DO114:DZ114)</f>
        <v>27.880122950819672</v>
      </c>
      <c r="EM114" s="1318">
        <v>27.579781420765027</v>
      </c>
    </row>
    <row r="115" spans="1:143">
      <c r="A115" s="998"/>
      <c r="B115" s="1166" t="s">
        <v>709</v>
      </c>
      <c r="C115" s="1171" t="s">
        <v>710</v>
      </c>
      <c r="D115" s="1098">
        <v>24.272626262626265</v>
      </c>
      <c r="E115" s="1099">
        <v>29.486138807429128</v>
      </c>
      <c r="F115" s="1099">
        <v>35.800586510263926</v>
      </c>
      <c r="G115" s="1099">
        <v>24.874242424242425</v>
      </c>
      <c r="H115" s="1099">
        <v>35.306451612903224</v>
      </c>
      <c r="I115" s="1099">
        <v>8.0252373737373741</v>
      </c>
      <c r="J115" s="1100">
        <v>7.7527859237536658</v>
      </c>
      <c r="K115" s="1101">
        <v>23.020797962648558</v>
      </c>
      <c r="L115" s="1102">
        <v>26.011442669172936</v>
      </c>
      <c r="M115" s="1102">
        <v>29.693548387096776</v>
      </c>
      <c r="N115" s="1102">
        <v>27.563157894736843</v>
      </c>
      <c r="O115" s="1102">
        <v>30.513582342954159</v>
      </c>
      <c r="P115" s="1102">
        <v>34.203508771929826</v>
      </c>
      <c r="Q115" s="1102">
        <v>36.834465195246182</v>
      </c>
      <c r="R115" s="1102">
        <v>35.542444821731749</v>
      </c>
      <c r="S115" s="1102">
        <v>29.805263157894736</v>
      </c>
      <c r="T115" s="1102">
        <v>36.172538200339559</v>
      </c>
      <c r="U115" s="1102">
        <v>36.08</v>
      </c>
      <c r="V115" s="1103">
        <v>34.582937181663837</v>
      </c>
      <c r="W115" s="1098">
        <v>37.656706281833614</v>
      </c>
      <c r="X115" s="1099">
        <v>41.109795825771329</v>
      </c>
      <c r="Y115" s="1099">
        <v>36.763073005093382</v>
      </c>
      <c r="Z115" s="1099">
        <v>41.702631578947368</v>
      </c>
      <c r="AA115" s="1099">
        <v>38.714142614601016</v>
      </c>
      <c r="AB115" s="1099">
        <v>41.670561403508771</v>
      </c>
      <c r="AC115" s="1099">
        <v>40.63327674023769</v>
      </c>
      <c r="AD115" s="1099">
        <v>40.778650254668932</v>
      </c>
      <c r="AE115" s="1099">
        <v>32.001578947368422</v>
      </c>
      <c r="AF115" s="1099">
        <v>38.428862478777589</v>
      </c>
      <c r="AG115" s="1099">
        <v>26.592412280701755</v>
      </c>
      <c r="AH115" s="1100">
        <v>28.946485568760611</v>
      </c>
      <c r="AI115" s="1104">
        <v>30.173631100082712</v>
      </c>
      <c r="AJ115" s="1104">
        <v>34.227106227106226</v>
      </c>
      <c r="AK115" s="1104">
        <v>31.982637811351577</v>
      </c>
      <c r="AL115" s="1104">
        <v>31.115029535864977</v>
      </c>
      <c r="AM115" s="1104">
        <v>34.901053491220907</v>
      </c>
      <c r="AN115" s="1104">
        <v>30.848890295358647</v>
      </c>
      <c r="AO115" s="1104">
        <v>36.10634953042058</v>
      </c>
      <c r="AP115" s="1104">
        <v>15.274071049407921</v>
      </c>
      <c r="AQ115" s="1104">
        <v>30.229265822784811</v>
      </c>
      <c r="AR115" s="1104">
        <v>31.017558187015108</v>
      </c>
      <c r="AS115" s="1104">
        <v>33.471358649789025</v>
      </c>
      <c r="AT115" s="1104">
        <v>36.126500612494894</v>
      </c>
      <c r="AU115" s="1098">
        <v>35.283299305839122</v>
      </c>
      <c r="AV115" s="1099">
        <v>30.430705244122965</v>
      </c>
      <c r="AW115" s="1099">
        <v>32.42840751327072</v>
      </c>
      <c r="AX115" s="1099">
        <v>32.304624472573835</v>
      </c>
      <c r="AY115" s="1099">
        <v>33.090649244589628</v>
      </c>
      <c r="AZ115" s="1099">
        <v>25.644413502109703</v>
      </c>
      <c r="BA115" s="1099">
        <v>36.135144957125355</v>
      </c>
      <c r="BB115" s="1099">
        <v>36.43836668027766</v>
      </c>
      <c r="BC115" s="1099">
        <v>23.137426160337551</v>
      </c>
      <c r="BD115" s="1099">
        <v>32.017986933442224</v>
      </c>
      <c r="BE115" s="1099">
        <v>31.591789029535867</v>
      </c>
      <c r="BF115" s="1099">
        <v>37.675843201306655</v>
      </c>
      <c r="BG115" s="1105">
        <v>32.395541037158019</v>
      </c>
      <c r="BH115" s="1105">
        <v>35.49528933092224</v>
      </c>
      <c r="BI115" s="1105">
        <v>14.260408329930586</v>
      </c>
      <c r="BJ115" s="1105">
        <v>17.897481012658229</v>
      </c>
      <c r="BK115" s="1105">
        <v>28.900739077174357</v>
      </c>
      <c r="BL115" s="1105">
        <v>28.748400843881861</v>
      </c>
      <c r="BM115" s="1105">
        <v>34.548133932217233</v>
      </c>
      <c r="BN115" s="1105">
        <v>34.931531237239696</v>
      </c>
      <c r="BO115" s="1105">
        <v>33.085232067510546</v>
      </c>
      <c r="BP115" s="1105">
        <v>31.258946508779093</v>
      </c>
      <c r="BQ115" s="1105">
        <v>36.241603375527426</v>
      </c>
      <c r="BR115" s="1105">
        <v>34.622172315230706</v>
      </c>
      <c r="BS115" s="1106">
        <v>46.438448346263776</v>
      </c>
      <c r="BT115" s="1107">
        <v>32.006669576604104</v>
      </c>
      <c r="BU115" s="1107">
        <v>33.669497754185379</v>
      </c>
      <c r="BV115" s="1107">
        <v>42.170540084388186</v>
      </c>
      <c r="BW115" s="1107">
        <v>35.328509595753367</v>
      </c>
      <c r="BX115" s="1107">
        <v>33.841029535864983</v>
      </c>
      <c r="BY115" s="1107">
        <v>32.710215053763442</v>
      </c>
      <c r="BZ115" s="1107">
        <v>32.410330851943755</v>
      </c>
      <c r="CA115" s="1107">
        <v>27.907512820512821</v>
      </c>
      <c r="CB115" s="1107">
        <v>43.354425144747722</v>
      </c>
      <c r="CC115" s="1107">
        <v>33.500427350427351</v>
      </c>
      <c r="CD115" s="1107">
        <v>33.027564102564106</v>
      </c>
      <c r="CE115" s="1087">
        <v>33.027564102564106</v>
      </c>
      <c r="CF115" s="1088">
        <v>29.384798534798534</v>
      </c>
      <c r="CG115" s="1088">
        <v>30.672539288668318</v>
      </c>
      <c r="CH115" s="1088">
        <v>38.119119658119658</v>
      </c>
      <c r="CI115" s="1088">
        <v>30.067142266335818</v>
      </c>
      <c r="CJ115" s="1088">
        <v>29.41352564102564</v>
      </c>
      <c r="CK115" s="1088">
        <v>29.59272952853598</v>
      </c>
      <c r="CL115" s="1088">
        <v>36.133771712158811</v>
      </c>
      <c r="CM115" s="1088">
        <v>45.174294871794871</v>
      </c>
      <c r="CN115" s="1088">
        <v>44.916265508684866</v>
      </c>
      <c r="CO115" s="1088">
        <v>46.870324786324787</v>
      </c>
      <c r="CP115" s="1088">
        <v>33.297985938792387</v>
      </c>
      <c r="CQ115" s="1108">
        <v>48.99993796526055</v>
      </c>
      <c r="CR115" s="1109">
        <v>53.372641941391947</v>
      </c>
      <c r="CS115" s="1109">
        <v>56.078449131513651</v>
      </c>
      <c r="CT115" s="1109">
        <v>58.885162393162396</v>
      </c>
      <c r="CU115" s="1109">
        <v>57.750206782464844</v>
      </c>
      <c r="CV115" s="1109">
        <v>61.764102564102565</v>
      </c>
      <c r="CW115" s="1109">
        <v>63.96</v>
      </c>
      <c r="CX115" s="1109">
        <v>68.192307692307693</v>
      </c>
      <c r="CY115" s="1109">
        <v>60.547435897435896</v>
      </c>
      <c r="CZ115" s="1109">
        <v>56.270512820512813</v>
      </c>
      <c r="DA115" s="1109">
        <v>47.400256410256404</v>
      </c>
      <c r="DB115" s="1110">
        <v>48.978717948717943</v>
      </c>
      <c r="DC115" s="1091">
        <v>44.210641025641024</v>
      </c>
      <c r="DD115" s="1091">
        <v>47.060256410256414</v>
      </c>
      <c r="DE115" s="1091">
        <v>46.674358974358974</v>
      </c>
      <c r="DF115" s="1091">
        <v>48.489230769230772</v>
      </c>
      <c r="DG115" s="1091">
        <v>43.198717948717949</v>
      </c>
      <c r="DH115" s="1091">
        <v>52.342666666666666</v>
      </c>
      <c r="DI115" s="1091">
        <v>77.308000000000007</v>
      </c>
      <c r="DJ115" s="1091">
        <v>47.777333333333338</v>
      </c>
      <c r="DK115" s="1091">
        <v>32.742666666666665</v>
      </c>
      <c r="DL115" s="1091">
        <v>41.783999999999992</v>
      </c>
      <c r="DM115" s="1091">
        <v>44.12</v>
      </c>
      <c r="DN115" s="1092">
        <v>57.115492957746476</v>
      </c>
      <c r="DO115" s="1091">
        <v>40.775555555555549</v>
      </c>
      <c r="DP115" s="1091">
        <v>42.773333333333333</v>
      </c>
      <c r="DQ115" s="1091">
        <v>40.147777777777783</v>
      </c>
      <c r="DR115" s="1091">
        <v>41.075555555555553</v>
      </c>
      <c r="DS115" s="1091">
        <v>37.87777777777778</v>
      </c>
      <c r="DT115" s="1091">
        <v>38.703333333333333</v>
      </c>
      <c r="DU115" s="1091">
        <v>34.817777777777778</v>
      </c>
      <c r="DV115" s="1091">
        <v>38.242222222222225</v>
      </c>
      <c r="DW115" s="1091">
        <v>33.927777777777777</v>
      </c>
      <c r="DX115" s="1091">
        <v>34.458888888888893</v>
      </c>
      <c r="DY115" s="1091">
        <v>36.201111111111111</v>
      </c>
      <c r="DZ115" s="1091">
        <v>41.652222222222214</v>
      </c>
      <c r="EA115" s="1099"/>
      <c r="EB115" s="1111">
        <v>22.67429603984451</v>
      </c>
      <c r="EC115" s="1112">
        <v>31.71246034607066</v>
      </c>
      <c r="ED115" s="1112">
        <v>37.078570247339627</v>
      </c>
      <c r="EE115" s="1112">
        <v>31.262212260216838</v>
      </c>
      <c r="EF115" s="1112">
        <v>32.239912259406964</v>
      </c>
      <c r="EG115" s="1112">
        <v>30.168469221432279</v>
      </c>
      <c r="EH115" s="1112">
        <v>35.573487295509921</v>
      </c>
      <c r="EI115" s="1112">
        <v>35.559014401123989</v>
      </c>
      <c r="EJ115" s="1112">
        <f t="shared" si="14"/>
        <v>56.849977628927235</v>
      </c>
      <c r="EK115" s="1113">
        <v>48.543648209644815</v>
      </c>
      <c r="EL115" s="1112">
        <f t="shared" si="15"/>
        <v>38.387777777777778</v>
      </c>
      <c r="EM115" s="1318">
        <v>38.650370370370375</v>
      </c>
    </row>
    <row r="116" spans="1:143">
      <c r="A116" s="998"/>
      <c r="B116" s="1166" t="s">
        <v>711</v>
      </c>
      <c r="C116" s="1171" t="s">
        <v>712</v>
      </c>
      <c r="D116" s="1098">
        <v>13.974685314685315</v>
      </c>
      <c r="E116" s="1099">
        <v>16.048429585732656</v>
      </c>
      <c r="F116" s="1099">
        <v>17.039285106865471</v>
      </c>
      <c r="G116" s="1099">
        <v>18.786781914893616</v>
      </c>
      <c r="H116" s="1099">
        <v>21.934733585631044</v>
      </c>
      <c r="I116" s="1099">
        <v>19.962347349177332</v>
      </c>
      <c r="J116" s="1100">
        <v>18.630701953657429</v>
      </c>
      <c r="K116" s="1101">
        <v>17.855507633814533</v>
      </c>
      <c r="L116" s="1102">
        <v>20.097088763216128</v>
      </c>
      <c r="M116" s="1102">
        <v>16.996016323357949</v>
      </c>
      <c r="N116" s="1102">
        <v>19.039397590361439</v>
      </c>
      <c r="O116" s="1102">
        <v>17.864246849147744</v>
      </c>
      <c r="P116" s="1102">
        <v>19.184531841652316</v>
      </c>
      <c r="Q116" s="1102">
        <v>20.74194771968854</v>
      </c>
      <c r="R116" s="1102">
        <v>20.284048081727835</v>
      </c>
      <c r="S116" s="1102">
        <v>17.109056994818655</v>
      </c>
      <c r="T116" s="1102">
        <v>21.53134993592958</v>
      </c>
      <c r="U116" s="1102">
        <v>22.493926309729414</v>
      </c>
      <c r="V116" s="1103">
        <v>17.771939383809684</v>
      </c>
      <c r="W116" s="1098">
        <v>21.568923059780488</v>
      </c>
      <c r="X116" s="1099">
        <v>20.71732892621047</v>
      </c>
      <c r="Y116" s="1099">
        <v>19.972015154047583</v>
      </c>
      <c r="Z116" s="1099">
        <v>22.038835348301671</v>
      </c>
      <c r="AA116" s="1099">
        <v>21.740386984767021</v>
      </c>
      <c r="AB116" s="1099">
        <v>24.918809606481481</v>
      </c>
      <c r="AC116" s="1099">
        <v>25.784010976702508</v>
      </c>
      <c r="AD116" s="1099">
        <v>22.25692204301075</v>
      </c>
      <c r="AE116" s="1099">
        <v>26.212684606481481</v>
      </c>
      <c r="AF116" s="1099">
        <v>27.709736783154124</v>
      </c>
      <c r="AG116" s="1099">
        <v>28.778379050925924</v>
      </c>
      <c r="AH116" s="1100">
        <v>27.066624663978494</v>
      </c>
      <c r="AI116" s="1104">
        <v>23.475254527917695</v>
      </c>
      <c r="AJ116" s="1104">
        <v>24.03098481252966</v>
      </c>
      <c r="AK116" s="1104">
        <v>23.292913667087976</v>
      </c>
      <c r="AL116" s="1104">
        <v>23.549041453719475</v>
      </c>
      <c r="AM116" s="1104">
        <v>24.54797878771226</v>
      </c>
      <c r="AN116" s="1104">
        <v>21.979209540034073</v>
      </c>
      <c r="AO116" s="1104">
        <v>23.870816618123868</v>
      </c>
      <c r="AP116" s="1104">
        <v>21.3665258009562</v>
      </c>
      <c r="AQ116" s="1104">
        <v>21.222222789115655</v>
      </c>
      <c r="AR116" s="1104">
        <v>21.983220868992763</v>
      </c>
      <c r="AS116" s="1104">
        <v>25.352263605442182</v>
      </c>
      <c r="AT116" s="1104">
        <v>22.211153486838477</v>
      </c>
      <c r="AU116" s="1098">
        <v>20.672347639720826</v>
      </c>
      <c r="AV116" s="1099">
        <v>23.779054514480411</v>
      </c>
      <c r="AW116" s="1099">
        <v>24.883113150519311</v>
      </c>
      <c r="AX116" s="1099">
        <v>23.261371379897788</v>
      </c>
      <c r="AY116" s="1099">
        <v>24.866796175193713</v>
      </c>
      <c r="AZ116" s="1099">
        <v>29.000142532651903</v>
      </c>
      <c r="BA116" s="1099">
        <v>25.19872396548881</v>
      </c>
      <c r="BB116" s="1099">
        <v>22.61050832554816</v>
      </c>
      <c r="BC116" s="1099">
        <v>25.024635434412271</v>
      </c>
      <c r="BD116" s="1099">
        <v>25.287585316260916</v>
      </c>
      <c r="BE116" s="1099">
        <v>26.348660988074961</v>
      </c>
      <c r="BF116" s="1099">
        <v>24.495243171951419</v>
      </c>
      <c r="BG116" s="1105">
        <v>22.864929383964391</v>
      </c>
      <c r="BH116" s="1105">
        <v>21.290605986858115</v>
      </c>
      <c r="BI116" s="1105">
        <v>26.4321333186789</v>
      </c>
      <c r="BJ116" s="1105">
        <v>26.915701306076095</v>
      </c>
      <c r="BK116" s="1105">
        <v>26.105884486453807</v>
      </c>
      <c r="BL116" s="1105">
        <v>25.549961953435549</v>
      </c>
      <c r="BM116" s="1105">
        <v>28.306361488157382</v>
      </c>
      <c r="BN116" s="1105">
        <v>27.350651755783918</v>
      </c>
      <c r="BO116" s="1105">
        <v>27.333649630891546</v>
      </c>
      <c r="BP116" s="1105">
        <v>28.687976589547716</v>
      </c>
      <c r="BQ116" s="1105">
        <v>30.783308347529807</v>
      </c>
      <c r="BR116" s="1105">
        <v>26.14196955542122</v>
      </c>
      <c r="BS116" s="1106">
        <v>29.513473099961523</v>
      </c>
      <c r="BT116" s="1107">
        <v>32.111287669623458</v>
      </c>
      <c r="BU116" s="1107">
        <v>30.200934219926356</v>
      </c>
      <c r="BV116" s="1107">
        <v>30.114146507666106</v>
      </c>
      <c r="BW116" s="1107">
        <v>29.603900642963115</v>
      </c>
      <c r="BX116" s="1107">
        <v>33.449654741624073</v>
      </c>
      <c r="BY116" s="1107">
        <v>34.575435304943518</v>
      </c>
      <c r="BZ116" s="1107">
        <v>33.035315679157513</v>
      </c>
      <c r="CA116" s="1107">
        <v>31.716046487057582</v>
      </c>
      <c r="CB116" s="1107">
        <v>32.950973876591185</v>
      </c>
      <c r="CC116" s="1107">
        <v>38.589698890649764</v>
      </c>
      <c r="CD116" s="1107">
        <v>25.652395583047905</v>
      </c>
      <c r="CE116" s="1087">
        <v>30.878526148969893</v>
      </c>
      <c r="CF116" s="1088">
        <v>34.247517545845596</v>
      </c>
      <c r="CG116" s="1088">
        <v>38.827811461581717</v>
      </c>
      <c r="CH116" s="1088">
        <v>33.71046064447966</v>
      </c>
      <c r="CI116" s="1088">
        <v>36.352014211952365</v>
      </c>
      <c r="CJ116" s="1088">
        <v>38.477823032223988</v>
      </c>
      <c r="CK116" s="1088">
        <v>39.742630744849457</v>
      </c>
      <c r="CL116" s="1088">
        <v>37.551846020142129</v>
      </c>
      <c r="CM116" s="1088">
        <v>38.182304807184359</v>
      </c>
      <c r="CN116" s="1088">
        <v>39.525503297377448</v>
      </c>
      <c r="CO116" s="1088">
        <v>41.165050184891705</v>
      </c>
      <c r="CP116" s="1088">
        <v>32.960961096058497</v>
      </c>
      <c r="CQ116" s="1108">
        <v>31.132433413424671</v>
      </c>
      <c r="CR116" s="1109">
        <v>37.144705682590001</v>
      </c>
      <c r="CS116" s="1109">
        <v>32.398643218649362</v>
      </c>
      <c r="CT116" s="1109">
        <v>33.827720021130482</v>
      </c>
      <c r="CU116" s="1109">
        <v>33.890450897193404</v>
      </c>
      <c r="CV116" s="1109">
        <v>35.990332805071318</v>
      </c>
      <c r="CW116" s="1109">
        <v>35.770000000000003</v>
      </c>
      <c r="CX116" s="1109">
        <v>35.590174326465927</v>
      </c>
      <c r="CY116" s="1109">
        <v>32.880190174326465</v>
      </c>
      <c r="CZ116" s="1109">
        <v>36.06053882725832</v>
      </c>
      <c r="DA116" s="1109">
        <v>38.72966719492868</v>
      </c>
      <c r="DB116" s="1110">
        <v>35.712979397781304</v>
      </c>
      <c r="DC116" s="1091">
        <v>35.726275752773375</v>
      </c>
      <c r="DD116" s="1091">
        <v>30.958637083993651</v>
      </c>
      <c r="DE116" s="1091">
        <v>32.874643423137869</v>
      </c>
      <c r="DF116" s="1091">
        <v>32.987242472266239</v>
      </c>
      <c r="DG116" s="1091">
        <v>29.001743264659275</v>
      </c>
      <c r="DH116" s="1091">
        <v>37.451794071762869</v>
      </c>
      <c r="DI116" s="1091">
        <v>38.772854914196571</v>
      </c>
      <c r="DJ116" s="1091">
        <v>27.195412844036699</v>
      </c>
      <c r="DK116" s="1091">
        <v>29.824159021406729</v>
      </c>
      <c r="DL116" s="1091">
        <v>30.258256880733942</v>
      </c>
      <c r="DM116" s="1091">
        <v>34.143438914027151</v>
      </c>
      <c r="DN116" s="1092">
        <v>28.396217851739795</v>
      </c>
      <c r="DO116" s="1091">
        <v>32.685356695869842</v>
      </c>
      <c r="DP116" s="1091">
        <v>24.759073842302875</v>
      </c>
      <c r="DQ116" s="1091">
        <v>31.659574468085108</v>
      </c>
      <c r="DR116" s="1091">
        <v>31.67947434292866</v>
      </c>
      <c r="DS116" s="1091">
        <v>27.043053817271591</v>
      </c>
      <c r="DT116" s="1091">
        <v>34.244055068836047</v>
      </c>
      <c r="DU116" s="1091">
        <v>36.056445556946187</v>
      </c>
      <c r="DV116" s="1091">
        <v>33.730913642052563</v>
      </c>
      <c r="DW116" s="1091">
        <v>39.06758448060075</v>
      </c>
      <c r="DX116" s="1091">
        <v>48.463670411985014</v>
      </c>
      <c r="DY116" s="1091">
        <v>28.09261576971214</v>
      </c>
      <c r="DZ116" s="1091">
        <v>27.735043804755943</v>
      </c>
      <c r="EA116" s="1099"/>
      <c r="EB116" s="1111">
        <v>18.008802768316858</v>
      </c>
      <c r="EC116" s="1112">
        <v>19.245091732664793</v>
      </c>
      <c r="ED116" s="1112">
        <v>24.06130396488286</v>
      </c>
      <c r="EE116" s="1112">
        <v>23.068791530959768</v>
      </c>
      <c r="EF116" s="1112">
        <v>24.611785442580107</v>
      </c>
      <c r="EG116" s="1112">
        <v>26.510144407365065</v>
      </c>
      <c r="EH116" s="1112">
        <v>31.807392234612337</v>
      </c>
      <c r="EI116" s="1112">
        <v>36.811007489742302</v>
      </c>
      <c r="EJ116" s="1112">
        <f t="shared" si="14"/>
        <v>34.927319663234989</v>
      </c>
      <c r="EK116" s="1113">
        <v>32.274286407498373</v>
      </c>
      <c r="EL116" s="1112">
        <f t="shared" si="15"/>
        <v>32.934738491778894</v>
      </c>
      <c r="EM116" s="1318">
        <v>33.15371012298457</v>
      </c>
    </row>
    <row r="117" spans="1:143">
      <c r="A117" s="998"/>
      <c r="B117" s="1166" t="s">
        <v>713</v>
      </c>
      <c r="C117" s="1171" t="s">
        <v>714</v>
      </c>
      <c r="D117" s="1098">
        <v>22.78989898989899</v>
      </c>
      <c r="E117" s="1099">
        <v>19.978240469208213</v>
      </c>
      <c r="F117" s="1099">
        <v>17.553460410557182</v>
      </c>
      <c r="G117" s="1099">
        <v>17.65077777777778</v>
      </c>
      <c r="H117" s="1099">
        <v>17.525537634408604</v>
      </c>
      <c r="I117" s="1099">
        <v>19.865252873563218</v>
      </c>
      <c r="J117" s="1100">
        <v>17.422287390029325</v>
      </c>
      <c r="K117" s="1101">
        <v>13.328273244781784</v>
      </c>
      <c r="L117" s="1102">
        <v>21.009110787172013</v>
      </c>
      <c r="M117" s="1102">
        <v>28.840368663594472</v>
      </c>
      <c r="N117" s="1102">
        <v>17.270476190476188</v>
      </c>
      <c r="O117" s="1102">
        <v>18.703699802501646</v>
      </c>
      <c r="P117" s="1102">
        <v>24.223251700680272</v>
      </c>
      <c r="Q117" s="1102">
        <v>26.536780776826863</v>
      </c>
      <c r="R117" s="1102">
        <v>21.827136273864383</v>
      </c>
      <c r="S117" s="1102">
        <v>18.548979591836734</v>
      </c>
      <c r="T117" s="1102">
        <v>22.135813034891374</v>
      </c>
      <c r="U117" s="1102">
        <v>26.472653061224491</v>
      </c>
      <c r="V117" s="1103">
        <v>18.247136273864385</v>
      </c>
      <c r="W117" s="1098">
        <v>25.090849242922975</v>
      </c>
      <c r="X117" s="1099">
        <v>26.583159746657284</v>
      </c>
      <c r="Y117" s="1099">
        <v>21.012376563528637</v>
      </c>
      <c r="Z117" s="1099">
        <v>20.124142857142857</v>
      </c>
      <c r="AA117" s="1099">
        <v>20.761784068466095</v>
      </c>
      <c r="AB117" s="1099">
        <v>21.464272108843538</v>
      </c>
      <c r="AC117" s="1099">
        <v>22.384832126398944</v>
      </c>
      <c r="AD117" s="1099">
        <v>29.162080315997365</v>
      </c>
      <c r="AE117" s="1099">
        <v>21.333904761904758</v>
      </c>
      <c r="AF117" s="1099">
        <v>26.405516787360106</v>
      </c>
      <c r="AG117" s="1099">
        <v>25.471999999999998</v>
      </c>
      <c r="AH117" s="1100">
        <v>17.179835418038181</v>
      </c>
      <c r="AI117" s="1104">
        <v>35.286872942725481</v>
      </c>
      <c r="AJ117" s="1104">
        <v>23.37</v>
      </c>
      <c r="AK117" s="1104">
        <v>18.016787360105333</v>
      </c>
      <c r="AL117" s="1104">
        <v>20.734401360544219</v>
      </c>
      <c r="AM117" s="1104">
        <v>20.010842659644503</v>
      </c>
      <c r="AN117" s="1104">
        <v>20.737952380952382</v>
      </c>
      <c r="AO117" s="1104">
        <v>21.411481237656357</v>
      </c>
      <c r="AP117" s="1104">
        <v>20.069657669519419</v>
      </c>
      <c r="AQ117" s="1104">
        <v>37.403061224489797</v>
      </c>
      <c r="AR117" s="1104">
        <v>19.447004608294932</v>
      </c>
      <c r="AS117" s="1104">
        <v>23.596625850340136</v>
      </c>
      <c r="AT117" s="1104">
        <v>16.289019091507573</v>
      </c>
      <c r="AU117" s="1098">
        <v>14.146668861092826</v>
      </c>
      <c r="AV117" s="1099">
        <v>26.174110787172008</v>
      </c>
      <c r="AW117" s="1099">
        <v>19.321395655036209</v>
      </c>
      <c r="AX117" s="1099">
        <v>24.068680272108843</v>
      </c>
      <c r="AY117" s="1099">
        <v>21.467175773535221</v>
      </c>
      <c r="AZ117" s="1099">
        <v>21.801469387755098</v>
      </c>
      <c r="BA117" s="1099">
        <v>20.916392363396973</v>
      </c>
      <c r="BB117" s="1099">
        <v>22.914417379855166</v>
      </c>
      <c r="BC117" s="1099">
        <v>24.017496598639458</v>
      </c>
      <c r="BD117" s="1099">
        <v>24.617327188940092</v>
      </c>
      <c r="BE117" s="1099">
        <v>22.485312925170071</v>
      </c>
      <c r="BF117" s="1099">
        <v>20.28439763001975</v>
      </c>
      <c r="BG117" s="1105">
        <v>18.046082949308754</v>
      </c>
      <c r="BH117" s="1105">
        <v>21.879737609329446</v>
      </c>
      <c r="BI117" s="1105">
        <v>22.616853192890058</v>
      </c>
      <c r="BJ117" s="1105">
        <v>12.782312925170068</v>
      </c>
      <c r="BK117" s="1105">
        <v>19.463462804476631</v>
      </c>
      <c r="BL117" s="1105">
        <v>30.978979591836733</v>
      </c>
      <c r="BM117" s="1105">
        <v>21.925608953258724</v>
      </c>
      <c r="BN117" s="1105">
        <v>20.922396313364057</v>
      </c>
      <c r="BO117" s="1105">
        <v>22.496598639455783</v>
      </c>
      <c r="BP117" s="1105">
        <v>17.992100065832783</v>
      </c>
      <c r="BQ117" s="1105">
        <v>18.564625850340136</v>
      </c>
      <c r="BR117" s="1105">
        <v>16.9651086240948</v>
      </c>
      <c r="BS117" s="1106">
        <v>23.120473996050034</v>
      </c>
      <c r="BT117" s="1107">
        <v>19.774806474313863</v>
      </c>
      <c r="BU117" s="1107">
        <v>17.991968400263328</v>
      </c>
      <c r="BV117" s="1107">
        <v>16.380544217687074</v>
      </c>
      <c r="BW117" s="1107">
        <v>24.602738643844631</v>
      </c>
      <c r="BX117" s="1107">
        <v>29.783972789115648</v>
      </c>
      <c r="BY117" s="1107">
        <v>26.360908492429232</v>
      </c>
      <c r="BZ117" s="1107">
        <v>26.170427913100724</v>
      </c>
      <c r="CA117" s="1107">
        <v>25.940734693877548</v>
      </c>
      <c r="CB117" s="1107">
        <v>24.872942725477287</v>
      </c>
      <c r="CC117" s="1107">
        <v>29.244897959183675</v>
      </c>
      <c r="CD117" s="1107">
        <v>13.244239631336406</v>
      </c>
      <c r="CE117" s="1087">
        <v>20.962475312705728</v>
      </c>
      <c r="CF117" s="1088">
        <v>25.552478134110789</v>
      </c>
      <c r="CG117" s="1088">
        <v>27.148123765635287</v>
      </c>
      <c r="CH117" s="1088">
        <v>25.304081632653062</v>
      </c>
      <c r="CI117" s="1088">
        <v>25.524687294272546</v>
      </c>
      <c r="CJ117" s="1088">
        <v>25.359183673469389</v>
      </c>
      <c r="CK117" s="1088">
        <v>24.550362080315999</v>
      </c>
      <c r="CL117" s="1088">
        <v>29.556945358788678</v>
      </c>
      <c r="CM117" s="1088">
        <v>34.183673469387756</v>
      </c>
      <c r="CN117" s="1088">
        <v>29.020460829493089</v>
      </c>
      <c r="CO117" s="1088">
        <v>27.665578231292518</v>
      </c>
      <c r="CP117" s="1088">
        <v>18.862383146807108</v>
      </c>
      <c r="CQ117" s="1108">
        <v>19.11452271231073</v>
      </c>
      <c r="CR117" s="1109">
        <v>24.905218658892128</v>
      </c>
      <c r="CS117" s="1109">
        <v>25.769348255431204</v>
      </c>
      <c r="CT117" s="1109">
        <v>24.118122448979591</v>
      </c>
      <c r="CU117" s="1109">
        <v>28.299275839368004</v>
      </c>
      <c r="CV117" s="1109">
        <v>30.5</v>
      </c>
      <c r="CW117" s="1109">
        <v>28.42</v>
      </c>
      <c r="CX117" s="1109">
        <v>27.200000000000003</v>
      </c>
      <c r="CY117" s="1109">
        <v>36.932653061224492</v>
      </c>
      <c r="CZ117" s="1109">
        <v>34.628571428571433</v>
      </c>
      <c r="DA117" s="1109">
        <v>34.314081632653057</v>
      </c>
      <c r="DB117" s="1110">
        <v>34.866122448979588</v>
      </c>
      <c r="DC117" s="1091">
        <v>20.739591836734697</v>
      </c>
      <c r="DD117" s="1091">
        <v>21.602040816326532</v>
      </c>
      <c r="DE117" s="1091">
        <v>25.210204081632654</v>
      </c>
      <c r="DF117" s="1091">
        <v>28.71265306122449</v>
      </c>
      <c r="DG117" s="1091">
        <v>31.904081632653064</v>
      </c>
      <c r="DH117" s="1091">
        <v>17.024489795918367</v>
      </c>
      <c r="DI117" s="1091">
        <v>15.102040816326531</v>
      </c>
      <c r="DJ117" s="1091">
        <v>18.653061224489797</v>
      </c>
      <c r="DK117" s="1091">
        <v>30.59591836734694</v>
      </c>
      <c r="DL117" s="1091">
        <v>19.126530612244899</v>
      </c>
      <c r="DM117" s="1091">
        <v>21.810204081632651</v>
      </c>
      <c r="DN117" s="1092">
        <v>20.353061224489796</v>
      </c>
      <c r="DO117" s="1091">
        <v>8.8000000000000007</v>
      </c>
      <c r="DP117" s="1091">
        <v>9.3000000000000007</v>
      </c>
      <c r="DQ117" s="1091">
        <v>14</v>
      </c>
      <c r="DR117" s="1091">
        <v>15.2</v>
      </c>
      <c r="DS117" s="1091">
        <v>14.7</v>
      </c>
      <c r="DT117" s="1091">
        <v>13.3</v>
      </c>
      <c r="DU117" s="1091">
        <v>4.7</v>
      </c>
      <c r="DV117" s="1091">
        <v>5.2</v>
      </c>
      <c r="DW117" s="1091">
        <v>5.8</v>
      </c>
      <c r="DX117" s="1091">
        <v>9.1999999999999993</v>
      </c>
      <c r="DY117" s="1091">
        <v>7</v>
      </c>
      <c r="DZ117" s="1091">
        <v>9.1999999999999993</v>
      </c>
      <c r="EA117" s="1099"/>
      <c r="EB117" s="1111">
        <v>18.825717977811397</v>
      </c>
      <c r="EC117" s="1112">
        <v>20.954055576022309</v>
      </c>
      <c r="ED117" s="1112">
        <v>23.072832608453218</v>
      </c>
      <c r="EE117" s="1112">
        <v>23.000007827788647</v>
      </c>
      <c r="EF117" s="1112">
        <v>21.802095610847083</v>
      </c>
      <c r="EG117" s="1112">
        <v>20.364899077439194</v>
      </c>
      <c r="EH117" s="1112">
        <v>23.118165495706478</v>
      </c>
      <c r="EI117" s="1112">
        <v>26.123927313391114</v>
      </c>
      <c r="EJ117" s="1112">
        <f t="shared" si="14"/>
        <v>29.088993040534188</v>
      </c>
      <c r="EK117" s="1113">
        <v>22.555892647469946</v>
      </c>
      <c r="EL117" s="1112">
        <f t="shared" si="15"/>
        <v>9.7000000000000011</v>
      </c>
      <c r="EM117" s="1318">
        <v>9.4333333333333336</v>
      </c>
    </row>
    <row r="118" spans="1:143">
      <c r="A118" s="998"/>
      <c r="B118" s="1166" t="s">
        <v>715</v>
      </c>
      <c r="C118" s="1171" t="s">
        <v>716</v>
      </c>
      <c r="D118" s="1098">
        <v>1.6666666666666667</v>
      </c>
      <c r="E118" s="1099">
        <v>1.1956221198156682</v>
      </c>
      <c r="F118" s="1099">
        <v>2.7888786482334869</v>
      </c>
      <c r="G118" s="1099">
        <v>3.0292276422764228</v>
      </c>
      <c r="H118" s="1099">
        <v>1.5810385523210071</v>
      </c>
      <c r="I118" s="1099">
        <v>4.2390243902439027</v>
      </c>
      <c r="J118" s="1100">
        <v>5.5066766691672919</v>
      </c>
      <c r="K118" s="1101">
        <v>5.2032258064516128</v>
      </c>
      <c r="L118" s="1102">
        <v>6.2857142857142856</v>
      </c>
      <c r="M118" s="1102">
        <v>4.2784139784946236</v>
      </c>
      <c r="N118" s="1102">
        <v>4.4180000000000001</v>
      </c>
      <c r="O118" s="1102">
        <v>4.6067795698924732</v>
      </c>
      <c r="P118" s="1102">
        <v>2.6801666666666661</v>
      </c>
      <c r="Q118" s="1102">
        <v>5.5921236559139791</v>
      </c>
      <c r="R118" s="1102">
        <v>5.7483870967741932</v>
      </c>
      <c r="S118" s="1102">
        <v>4.9073111111111114</v>
      </c>
      <c r="T118" s="1102">
        <v>9.8827956989247312</v>
      </c>
      <c r="U118" s="1102">
        <v>9.0388888888888896</v>
      </c>
      <c r="V118" s="1103">
        <v>3.6086021505376342</v>
      </c>
      <c r="W118" s="1098">
        <v>2.9698924731182794</v>
      </c>
      <c r="X118" s="1099">
        <v>5.2103448275862068</v>
      </c>
      <c r="Y118" s="1099">
        <v>3.0365591397849463</v>
      </c>
      <c r="Z118" s="1099">
        <v>5.7611111111111111</v>
      </c>
      <c r="AA118" s="1099">
        <v>2.0096774193548388</v>
      </c>
      <c r="AB118" s="1099">
        <v>2.5466222222222221</v>
      </c>
      <c r="AC118" s="1099">
        <v>3.7432258064516133</v>
      </c>
      <c r="AD118" s="1099">
        <v>6.1352688172043006</v>
      </c>
      <c r="AE118" s="1099">
        <v>4.2731111111111115</v>
      </c>
      <c r="AF118" s="1099">
        <v>4.1524731182795698</v>
      </c>
      <c r="AG118" s="1099">
        <v>7.1688888888888886</v>
      </c>
      <c r="AH118" s="1100">
        <v>7.5258064516129028</v>
      </c>
      <c r="AI118" s="1104">
        <v>6.4994438264738594</v>
      </c>
      <c r="AJ118" s="1104">
        <v>6.2241379310344831</v>
      </c>
      <c r="AK118" s="1104">
        <v>6.718576195773081</v>
      </c>
      <c r="AL118" s="1104">
        <v>10.310344827586206</v>
      </c>
      <c r="AM118" s="1104">
        <v>8.8053392658509448</v>
      </c>
      <c r="AN118" s="1104">
        <v>7.86551724137931</v>
      </c>
      <c r="AO118" s="1104">
        <v>5.935483870967742</v>
      </c>
      <c r="AP118" s="1104">
        <v>7.7936596218020027</v>
      </c>
      <c r="AQ118" s="1104">
        <v>6.8793103448275863</v>
      </c>
      <c r="AR118" s="1104">
        <v>7.2780867630700783</v>
      </c>
      <c r="AS118" s="1104">
        <v>7.4511494252873565</v>
      </c>
      <c r="AT118" s="1104">
        <v>6.0066740823136815</v>
      </c>
      <c r="AU118" s="1098">
        <v>4.5939933259176859</v>
      </c>
      <c r="AV118" s="1099">
        <v>7.5326354679802954</v>
      </c>
      <c r="AW118" s="1099">
        <v>5.0133481646273639</v>
      </c>
      <c r="AX118" s="1099">
        <v>5.0919540229885056</v>
      </c>
      <c r="AY118" s="1099">
        <v>4.8470522803114573</v>
      </c>
      <c r="AZ118" s="1099">
        <v>5.1931034482758625</v>
      </c>
      <c r="BA118" s="1099">
        <v>5.2780867630700783</v>
      </c>
      <c r="BB118" s="1099">
        <v>4.6295884315906566</v>
      </c>
      <c r="BC118" s="1099">
        <v>5.4522988505747128</v>
      </c>
      <c r="BD118" s="1099">
        <v>5.2180200222469413</v>
      </c>
      <c r="BE118" s="1099">
        <v>6.7298850574712645</v>
      </c>
      <c r="BF118" s="1099">
        <v>5.790322580645161</v>
      </c>
      <c r="BG118" s="1105">
        <v>5.9332591768631815</v>
      </c>
      <c r="BH118" s="1105">
        <v>5.1434729064039413</v>
      </c>
      <c r="BI118" s="1105">
        <v>6.0233592880978861</v>
      </c>
      <c r="BJ118" s="1105">
        <v>4.9540229885057467</v>
      </c>
      <c r="BK118" s="1105">
        <v>5.1874304783092322</v>
      </c>
      <c r="BL118" s="1105">
        <v>6.8724137931034486</v>
      </c>
      <c r="BM118" s="1105">
        <v>10.475528364849833</v>
      </c>
      <c r="BN118" s="1105">
        <v>5.1379310344827589</v>
      </c>
      <c r="BO118" s="1105">
        <v>5.7264367816091957</v>
      </c>
      <c r="BP118" s="1105">
        <v>7.7374860956618461</v>
      </c>
      <c r="BQ118" s="1105">
        <v>8.6022988505747122</v>
      </c>
      <c r="BR118" s="1105">
        <v>10.495661846496107</v>
      </c>
      <c r="BS118" s="1106">
        <v>8.3626251390433808</v>
      </c>
      <c r="BT118" s="1107">
        <v>8.4583828775267538</v>
      </c>
      <c r="BU118" s="1107">
        <v>12.047830923248053</v>
      </c>
      <c r="BV118" s="1107">
        <v>9.0965517241379317</v>
      </c>
      <c r="BW118" s="1107">
        <v>9.8743047830923256</v>
      </c>
      <c r="BX118" s="1107">
        <v>11.266666666666667</v>
      </c>
      <c r="BY118" s="1107">
        <v>10.826473859844272</v>
      </c>
      <c r="BZ118" s="1107">
        <v>8.4527252502780872</v>
      </c>
      <c r="CA118" s="1107">
        <v>10.35632183908046</v>
      </c>
      <c r="CB118" s="1107">
        <v>9.2958843159065623</v>
      </c>
      <c r="CC118" s="1107">
        <v>10.188505747126436</v>
      </c>
      <c r="CD118" s="1107">
        <v>9.8220244716351495</v>
      </c>
      <c r="CE118" s="1087">
        <v>4.783092324805339</v>
      </c>
      <c r="CF118" s="1088">
        <v>4.1096059113300489</v>
      </c>
      <c r="CG118" s="1088">
        <v>5.2780867630700783</v>
      </c>
      <c r="CH118" s="1088">
        <v>7.0643678160919539</v>
      </c>
      <c r="CI118" s="1088">
        <v>5.3959955506117909</v>
      </c>
      <c r="CJ118" s="1088">
        <v>6.7816091954022992</v>
      </c>
      <c r="CK118" s="1088">
        <v>7.4994438264738594</v>
      </c>
      <c r="CL118" s="1088">
        <v>8.2347052280311459</v>
      </c>
      <c r="CM118" s="1088">
        <v>17.389655172413793</v>
      </c>
      <c r="CN118" s="1088">
        <v>11.10400444938821</v>
      </c>
      <c r="CO118" s="1088">
        <v>10.774137931034483</v>
      </c>
      <c r="CP118" s="1088">
        <v>10.191323692992214</v>
      </c>
      <c r="CQ118" s="1108">
        <v>7.6484983314794217</v>
      </c>
      <c r="CR118" s="1109">
        <v>8.2518472906403932</v>
      </c>
      <c r="CS118" s="1109">
        <v>11.725250278086763</v>
      </c>
      <c r="CT118" s="1109">
        <v>11.658620689655173</v>
      </c>
      <c r="CU118" s="1109">
        <v>12.004449388209121</v>
      </c>
      <c r="CV118" s="1109">
        <v>12.167241379310346</v>
      </c>
      <c r="CW118" s="1109">
        <v>10.23</v>
      </c>
      <c r="CX118" s="1109">
        <v>11.405172413793103</v>
      </c>
      <c r="CY118" s="1109">
        <v>12.318965517241379</v>
      </c>
      <c r="CZ118" s="1109">
        <v>10.139655172413793</v>
      </c>
      <c r="DA118" s="1109">
        <v>7.6205172413793099</v>
      </c>
      <c r="DB118" s="1110">
        <v>8.3241379310344819</v>
      </c>
      <c r="DC118" s="1091">
        <v>12.516724137931034</v>
      </c>
      <c r="DD118" s="1091">
        <v>6.2982758620689649</v>
      </c>
      <c r="DE118" s="1091">
        <v>6.9431034482758625</v>
      </c>
      <c r="DF118" s="1091">
        <v>8.9034482758620683</v>
      </c>
      <c r="DG118" s="1091">
        <v>14.051724137931034</v>
      </c>
      <c r="DH118" s="1091">
        <v>6.8155172413793101</v>
      </c>
      <c r="DI118" s="1091">
        <v>8.1879310344827587</v>
      </c>
      <c r="DJ118" s="1091">
        <v>11.705263157894736</v>
      </c>
      <c r="DK118" s="1091">
        <v>10.35</v>
      </c>
      <c r="DL118" s="1091">
        <v>13.686842105263159</v>
      </c>
      <c r="DM118" s="1091">
        <v>14.005263157894738</v>
      </c>
      <c r="DN118" s="1092">
        <v>10.664583333333333</v>
      </c>
      <c r="DO118" s="1091">
        <v>34.212631578947367</v>
      </c>
      <c r="DP118" s="1091">
        <v>23.015789473684212</v>
      </c>
      <c r="DQ118" s="1091">
        <v>32.286315789473683</v>
      </c>
      <c r="DR118" s="1091">
        <v>30.631578947368421</v>
      </c>
      <c r="DS118" s="1091">
        <v>25.881052631578946</v>
      </c>
      <c r="DT118" s="1091">
        <v>25.916842105263157</v>
      </c>
      <c r="DU118" s="1091">
        <v>26.92421052631579</v>
      </c>
      <c r="DV118" s="1091">
        <v>32.858947368421056</v>
      </c>
      <c r="DW118" s="1091">
        <v>30.524210526315791</v>
      </c>
      <c r="DX118" s="1091">
        <v>45.094736842105263</v>
      </c>
      <c r="DY118" s="1091">
        <v>28.642105263157895</v>
      </c>
      <c r="DZ118" s="1091">
        <v>28.181052631578943</v>
      </c>
      <c r="EA118" s="1099"/>
      <c r="EB118" s="1111">
        <v>3.0099500880798589</v>
      </c>
      <c r="EC118" s="1112">
        <v>5.5174278538812791</v>
      </c>
      <c r="ED118" s="1112">
        <v>4.5364808743169407</v>
      </c>
      <c r="EE118" s="1112">
        <v>7.3140292867265009</v>
      </c>
      <c r="EF118" s="1112">
        <v>5.4285309400094475</v>
      </c>
      <c r="EG118" s="1112">
        <v>6.8750212564950397</v>
      </c>
      <c r="EH118" s="1112">
        <v>9.8406350103636733</v>
      </c>
      <c r="EI118" s="1112">
        <v>8.2258856872933404</v>
      </c>
      <c r="EJ118" s="1112">
        <f t="shared" si="14"/>
        <v>10.291196302770274</v>
      </c>
      <c r="EK118" s="1113">
        <v>10.103195982627579</v>
      </c>
      <c r="EL118" s="1112">
        <f t="shared" si="15"/>
        <v>30.347456140350875</v>
      </c>
      <c r="EM118" s="1318">
        <v>30.300263157894733</v>
      </c>
    </row>
    <row r="119" spans="1:143">
      <c r="A119" s="998"/>
      <c r="B119" s="1166" t="s">
        <v>717</v>
      </c>
      <c r="C119" s="1171" t="s">
        <v>718</v>
      </c>
      <c r="D119" s="1098">
        <v>20.28575809209622</v>
      </c>
      <c r="E119" s="1099">
        <v>19.078239831697054</v>
      </c>
      <c r="F119" s="1099">
        <v>21.029295536005211</v>
      </c>
      <c r="G119" s="1099">
        <v>17.882366803278689</v>
      </c>
      <c r="H119" s="1099">
        <v>17.674868035190613</v>
      </c>
      <c r="I119" s="1099">
        <v>21.349505112474436</v>
      </c>
      <c r="J119" s="1100">
        <v>14.833599488981156</v>
      </c>
      <c r="K119" s="1101">
        <v>18.871473961979643</v>
      </c>
      <c r="L119" s="1102">
        <v>18.753861705475146</v>
      </c>
      <c r="M119" s="1102">
        <v>19.930264165638992</v>
      </c>
      <c r="N119" s="1102">
        <v>18.545171026156936</v>
      </c>
      <c r="O119" s="1102">
        <v>21.071276692412532</v>
      </c>
      <c r="P119" s="1102">
        <v>20.085698189134813</v>
      </c>
      <c r="Q119" s="1102">
        <v>21.780518620508794</v>
      </c>
      <c r="R119" s="1102">
        <v>20.734542301904074</v>
      </c>
      <c r="S119" s="1102">
        <v>22.054079429735232</v>
      </c>
      <c r="T119" s="1102">
        <v>23.896774193548385</v>
      </c>
      <c r="U119" s="1102">
        <v>24.531011541072637</v>
      </c>
      <c r="V119" s="1103">
        <v>16.356924643584517</v>
      </c>
      <c r="W119" s="1098">
        <v>18.787523815780826</v>
      </c>
      <c r="X119" s="1099">
        <v>21.299766837558817</v>
      </c>
      <c r="Y119" s="1099">
        <v>22.641495302542534</v>
      </c>
      <c r="Z119" s="1099">
        <v>21.788955872369314</v>
      </c>
      <c r="AA119" s="1099">
        <v>22.969095985809073</v>
      </c>
      <c r="AB119" s="1099">
        <v>23.689262729124234</v>
      </c>
      <c r="AC119" s="1099">
        <v>25.357219630773265</v>
      </c>
      <c r="AD119" s="1099">
        <v>23.030779843637074</v>
      </c>
      <c r="AE119" s="1099">
        <v>22.902820095044124</v>
      </c>
      <c r="AF119" s="1099">
        <v>23.153831134909236</v>
      </c>
      <c r="AG119" s="1099">
        <v>24.373228744939269</v>
      </c>
      <c r="AH119" s="1100">
        <v>18.936326128375264</v>
      </c>
      <c r="AI119" s="1104">
        <v>20.054249278783111</v>
      </c>
      <c r="AJ119" s="1104">
        <v>20.937057200929157</v>
      </c>
      <c r="AK119" s="1104">
        <v>18.026607615018506</v>
      </c>
      <c r="AL119" s="1104">
        <v>20.572191939890711</v>
      </c>
      <c r="AM119" s="1104">
        <v>20.824605806451604</v>
      </c>
      <c r="AN119" s="1104">
        <v>22.46357293729373</v>
      </c>
      <c r="AO119" s="1104">
        <v>23.399427020121372</v>
      </c>
      <c r="AP119" s="1104">
        <v>17.591064581561209</v>
      </c>
      <c r="AQ119" s="1104">
        <v>22.524781609195401</v>
      </c>
      <c r="AR119" s="1104">
        <v>24.160354021253855</v>
      </c>
      <c r="AS119" s="1104">
        <v>21.810191682910975</v>
      </c>
      <c r="AT119" s="1104">
        <v>19.070016349116521</v>
      </c>
      <c r="AU119" s="1098">
        <v>25.308715311306102</v>
      </c>
      <c r="AV119" s="1099">
        <v>31.040750186497572</v>
      </c>
      <c r="AW119" s="1099">
        <v>29.775460288048514</v>
      </c>
      <c r="AX119" s="1099">
        <v>31.60354897015554</v>
      </c>
      <c r="AY119" s="1099">
        <v>30.072104706504497</v>
      </c>
      <c r="AZ119" s="1099">
        <v>31.770596048759991</v>
      </c>
      <c r="BA119" s="1099">
        <v>35.343176992230404</v>
      </c>
      <c r="BB119" s="1099">
        <v>31.09491721921653</v>
      </c>
      <c r="BC119" s="1099">
        <v>30.321728036990343</v>
      </c>
      <c r="BD119" s="1099">
        <v>35.627550746450801</v>
      </c>
      <c r="BE119" s="1099">
        <v>37.910848255569569</v>
      </c>
      <c r="BF119" s="1099">
        <v>28.242747020298584</v>
      </c>
      <c r="BG119" s="1105">
        <v>28.432393523979982</v>
      </c>
      <c r="BH119" s="1105">
        <v>36.463608809223565</v>
      </c>
      <c r="BI119" s="1105">
        <v>35.357469389415449</v>
      </c>
      <c r="BJ119" s="1105">
        <v>34.708327868852471</v>
      </c>
      <c r="BK119" s="1105">
        <v>31.281589309685558</v>
      </c>
      <c r="BL119" s="1105">
        <v>31.632294241277865</v>
      </c>
      <c r="BM119" s="1105">
        <v>35.660686246593173</v>
      </c>
      <c r="BN119" s="1105">
        <v>35.280293292112439</v>
      </c>
      <c r="BO119" s="1105">
        <v>32.992167297183705</v>
      </c>
      <c r="BP119" s="1105">
        <v>37.707929682906752</v>
      </c>
      <c r="BQ119" s="1105">
        <v>40.10916686917782</v>
      </c>
      <c r="BR119" s="1105">
        <v>31.003324579626067</v>
      </c>
      <c r="BS119" s="1106">
        <v>32.415756673068636</v>
      </c>
      <c r="BT119" s="1107">
        <v>35.886161226798507</v>
      </c>
      <c r="BU119" s="1107">
        <v>39.268881746560574</v>
      </c>
      <c r="BV119" s="1107">
        <v>35.99707695423249</v>
      </c>
      <c r="BW119" s="1107">
        <v>39.407647865793905</v>
      </c>
      <c r="BX119" s="1107">
        <v>41.27893519643581</v>
      </c>
      <c r="BY119" s="1107">
        <v>38.253428116288333</v>
      </c>
      <c r="BZ119" s="1107">
        <v>38.511325766626847</v>
      </c>
      <c r="CA119" s="1107">
        <v>39.888954320987651</v>
      </c>
      <c r="CB119" s="1107">
        <v>40.417084826762256</v>
      </c>
      <c r="CC119" s="1107">
        <v>44.845967078189304</v>
      </c>
      <c r="CD119" s="1107">
        <v>35.062546794105934</v>
      </c>
      <c r="CE119" s="1087">
        <v>34.505916766228594</v>
      </c>
      <c r="CF119" s="1088">
        <v>50.00519268077602</v>
      </c>
      <c r="CG119" s="1088">
        <v>51.540114695340506</v>
      </c>
      <c r="CH119" s="1088">
        <v>44.603765843621396</v>
      </c>
      <c r="CI119" s="1088">
        <v>46.169862604540036</v>
      </c>
      <c r="CJ119" s="1088">
        <v>49.344718930041168</v>
      </c>
      <c r="CK119" s="1088">
        <v>51.286852250099564</v>
      </c>
      <c r="CL119" s="1088">
        <v>51.576389011636493</v>
      </c>
      <c r="CM119" s="1088">
        <v>53.35443569254187</v>
      </c>
      <c r="CN119" s="1088">
        <v>53.097449918986612</v>
      </c>
      <c r="CO119" s="1088">
        <v>55.038217275494674</v>
      </c>
      <c r="CP119" s="1088">
        <v>39.429707615259986</v>
      </c>
      <c r="CQ119" s="1108">
        <v>47.256589703932846</v>
      </c>
      <c r="CR119" s="1109">
        <v>60.386490541422035</v>
      </c>
      <c r="CS119" s="1109">
        <v>56.006502625656417</v>
      </c>
      <c r="CT119" s="1109">
        <v>49.84053875968992</v>
      </c>
      <c r="CU119" s="1109">
        <v>53.401399849962495</v>
      </c>
      <c r="CV119" s="1109">
        <v>50.40767441860465</v>
      </c>
      <c r="CW119" s="1109">
        <v>50.4</v>
      </c>
      <c r="CX119" s="1109">
        <v>53.828139534883718</v>
      </c>
      <c r="CY119" s="1109">
        <v>55.346860465116279</v>
      </c>
      <c r="CZ119" s="1109">
        <v>54.609418604651161</v>
      </c>
      <c r="DA119" s="1109">
        <v>59.533186558516803</v>
      </c>
      <c r="DB119" s="1110">
        <v>48.63422943221321</v>
      </c>
      <c r="DC119" s="1091">
        <v>41.186697566628048</v>
      </c>
      <c r="DD119" s="1091">
        <v>39.283893395133255</v>
      </c>
      <c r="DE119" s="1091">
        <v>55.05596755504056</v>
      </c>
      <c r="DF119" s="1091">
        <v>47.696964078794906</v>
      </c>
      <c r="DG119" s="1091">
        <v>47.152259559675549</v>
      </c>
      <c r="DH119" s="1091">
        <v>53.935491329479767</v>
      </c>
      <c r="DI119" s="1091">
        <v>51.074913294797682</v>
      </c>
      <c r="DJ119" s="1091">
        <v>49.133980582524266</v>
      </c>
      <c r="DK119" s="1091">
        <v>49.698665048543688</v>
      </c>
      <c r="DL119" s="1091">
        <v>50.443203883495144</v>
      </c>
      <c r="DM119" s="1091">
        <v>46.014810426540286</v>
      </c>
      <c r="DN119" s="1092">
        <v>37.749289099526059</v>
      </c>
      <c r="DO119" s="1091">
        <v>33.01473136915078</v>
      </c>
      <c r="DP119" s="1091">
        <v>44.86117850953206</v>
      </c>
      <c r="DQ119" s="1091">
        <v>41.44384748700174</v>
      </c>
      <c r="DR119" s="1091">
        <v>38.945753899480067</v>
      </c>
      <c r="DS119" s="1091">
        <v>39.114384748700168</v>
      </c>
      <c r="DT119" s="1091">
        <v>43.807452339688041</v>
      </c>
      <c r="DU119" s="1091">
        <v>38.837261698440216</v>
      </c>
      <c r="DV119" s="1091">
        <v>43.239341421143848</v>
      </c>
      <c r="DW119" s="1091">
        <v>36.944887348353554</v>
      </c>
      <c r="DX119" s="1091">
        <v>63.0679376083189</v>
      </c>
      <c r="DY119" s="1091">
        <v>40.820450606585787</v>
      </c>
      <c r="DZ119" s="1091">
        <v>33.220450606585793</v>
      </c>
      <c r="EA119" s="1099"/>
      <c r="EB119" s="1111">
        <v>18.636745319282479</v>
      </c>
      <c r="EC119" s="1112">
        <v>20.534476781170504</v>
      </c>
      <c r="ED119" s="1112">
        <v>22.409799209512517</v>
      </c>
      <c r="EE119" s="1112">
        <v>20.961449032187318</v>
      </c>
      <c r="EF119" s="1112">
        <v>31.520634892437165</v>
      </c>
      <c r="EG119" s="1112">
        <v>34.212878629729126</v>
      </c>
      <c r="EH119" s="1112">
        <v>38.419188290175548</v>
      </c>
      <c r="EI119" s="1112">
        <v>48.362228828970252</v>
      </c>
      <c r="EJ119" s="1112">
        <f t="shared" si="14"/>
        <v>53.304252541220798</v>
      </c>
      <c r="EK119" s="1113">
        <v>47.409519670071219</v>
      </c>
      <c r="EL119" s="1112">
        <f t="shared" si="15"/>
        <v>41.443139803581751</v>
      </c>
      <c r="EM119" s="1318">
        <v>41.383448873483538</v>
      </c>
    </row>
    <row r="120" spans="1:143">
      <c r="A120" s="998"/>
      <c r="B120" s="1166" t="s">
        <v>719</v>
      </c>
      <c r="C120" s="1171" t="s">
        <v>720</v>
      </c>
      <c r="D120" s="1098" t="s">
        <v>443</v>
      </c>
      <c r="E120" s="1099" t="s">
        <v>443</v>
      </c>
      <c r="F120" s="1099" t="s">
        <v>443</v>
      </c>
      <c r="G120" s="1099" t="s">
        <v>443</v>
      </c>
      <c r="H120" s="1099" t="s">
        <v>443</v>
      </c>
      <c r="I120" s="1099" t="s">
        <v>443</v>
      </c>
      <c r="J120" s="1100" t="s">
        <v>443</v>
      </c>
      <c r="K120" s="1101"/>
      <c r="L120" s="1102"/>
      <c r="M120" s="1102"/>
      <c r="N120" s="1102"/>
      <c r="O120" s="1102"/>
      <c r="P120" s="1102"/>
      <c r="Q120" s="1102"/>
      <c r="R120" s="1102"/>
      <c r="S120" s="1102"/>
      <c r="T120" s="1102"/>
      <c r="U120" s="1102"/>
      <c r="V120" s="1103"/>
      <c r="W120" s="1098"/>
      <c r="X120" s="1099"/>
      <c r="Y120" s="1099"/>
      <c r="Z120" s="1099"/>
      <c r="AA120" s="1099"/>
      <c r="AB120" s="1099"/>
      <c r="AC120" s="1099"/>
      <c r="AD120" s="1099"/>
      <c r="AE120" s="1099"/>
      <c r="AF120" s="1099"/>
      <c r="AG120" s="1099"/>
      <c r="AH120" s="1100"/>
      <c r="AI120" s="1104"/>
      <c r="AJ120" s="1104"/>
      <c r="AK120" s="1104"/>
      <c r="AL120" s="1104"/>
      <c r="AM120" s="1104"/>
      <c r="AN120" s="1104"/>
      <c r="AO120" s="1104"/>
      <c r="AP120" s="1104"/>
      <c r="AQ120" s="1104"/>
      <c r="AR120" s="1104"/>
      <c r="AS120" s="1104"/>
      <c r="AT120" s="1104"/>
      <c r="AU120" s="1098"/>
      <c r="AV120" s="1099"/>
      <c r="AW120" s="1099"/>
      <c r="AX120" s="1099"/>
      <c r="AY120" s="1099"/>
      <c r="AZ120" s="1099"/>
      <c r="BA120" s="1099"/>
      <c r="BB120" s="1099"/>
      <c r="BC120" s="1099"/>
      <c r="BD120" s="1099"/>
      <c r="BE120" s="1099"/>
      <c r="BF120" s="1099"/>
      <c r="BG120" s="1105"/>
      <c r="BH120" s="1105"/>
      <c r="BI120" s="1105"/>
      <c r="BJ120" s="1105"/>
      <c r="BK120" s="1105"/>
      <c r="BL120" s="1105"/>
      <c r="BM120" s="1105"/>
      <c r="BN120" s="1105"/>
      <c r="BO120" s="1105"/>
      <c r="BP120" s="1105"/>
      <c r="BQ120" s="1105"/>
      <c r="BR120" s="1105"/>
      <c r="BS120" s="1106"/>
      <c r="BT120" s="1107"/>
      <c r="BU120" s="1107"/>
      <c r="BV120" s="1107"/>
      <c r="BW120" s="1107"/>
      <c r="BX120" s="1107"/>
      <c r="BY120" s="1107"/>
      <c r="BZ120" s="1107"/>
      <c r="CA120" s="1107"/>
      <c r="CB120" s="1107"/>
      <c r="CC120" s="1107"/>
      <c r="CD120" s="1107"/>
      <c r="CE120" s="1087"/>
      <c r="CF120" s="1088"/>
      <c r="CG120" s="1088"/>
      <c r="CH120" s="1088"/>
      <c r="CI120" s="1088"/>
      <c r="CJ120" s="1088"/>
      <c r="CK120" s="1088"/>
      <c r="CL120" s="1088"/>
      <c r="CM120" s="1088"/>
      <c r="CN120" s="1088"/>
      <c r="CO120" s="1088"/>
      <c r="CP120" s="1088"/>
      <c r="CQ120" s="1108" t="s">
        <v>443</v>
      </c>
      <c r="CR120" s="1109" t="s">
        <v>443</v>
      </c>
      <c r="CS120" s="1109" t="s">
        <v>443</v>
      </c>
      <c r="CT120" s="1109" t="s">
        <v>443</v>
      </c>
      <c r="CU120" s="1109" t="s">
        <v>443</v>
      </c>
      <c r="CV120" s="1109" t="s">
        <v>443</v>
      </c>
      <c r="CW120" s="1109" t="s">
        <v>443</v>
      </c>
      <c r="CX120" s="1109" t="s">
        <v>443</v>
      </c>
      <c r="CY120" s="1109" t="s">
        <v>443</v>
      </c>
      <c r="CZ120" s="1109" t="s">
        <v>443</v>
      </c>
      <c r="DA120" s="1109" t="s">
        <v>443</v>
      </c>
      <c r="DB120" s="1110" t="s">
        <v>443</v>
      </c>
      <c r="DC120" s="1091" t="s">
        <v>443</v>
      </c>
      <c r="DD120" s="1091" t="s">
        <v>443</v>
      </c>
      <c r="DE120" s="1091" t="s">
        <v>443</v>
      </c>
      <c r="DF120" s="1091" t="s">
        <v>443</v>
      </c>
      <c r="DG120" s="1091" t="s">
        <v>443</v>
      </c>
      <c r="DH120" s="1091" t="s">
        <v>443</v>
      </c>
      <c r="DI120" s="1091" t="s">
        <v>443</v>
      </c>
      <c r="DJ120" s="1091" t="s">
        <v>443</v>
      </c>
      <c r="DK120" s="1091" t="s">
        <v>443</v>
      </c>
      <c r="DL120" s="1091" t="s">
        <v>443</v>
      </c>
      <c r="DM120" s="1091" t="s">
        <v>443</v>
      </c>
      <c r="DN120" s="1092" t="s">
        <v>443</v>
      </c>
      <c r="DO120" s="1091" t="s">
        <v>443</v>
      </c>
      <c r="DP120" s="1091" t="s">
        <v>443</v>
      </c>
      <c r="DQ120" s="1091" t="s">
        <v>443</v>
      </c>
      <c r="DR120" s="1091" t="s">
        <v>443</v>
      </c>
      <c r="DS120" s="1091" t="s">
        <v>443</v>
      </c>
      <c r="DT120" s="1091" t="s">
        <v>443</v>
      </c>
      <c r="DU120" s="1091" t="s">
        <v>443</v>
      </c>
      <c r="DV120" s="1091" t="s">
        <v>443</v>
      </c>
      <c r="DW120" s="1091" t="s">
        <v>443</v>
      </c>
      <c r="DX120" s="1091" t="s">
        <v>443</v>
      </c>
      <c r="DY120" s="1091" t="s">
        <v>443</v>
      </c>
      <c r="DZ120" s="1091" t="s">
        <v>443</v>
      </c>
      <c r="EA120" s="1099"/>
      <c r="EB120" s="1111" t="s">
        <v>443</v>
      </c>
      <c r="EC120" s="1112"/>
      <c r="ED120" s="1112"/>
      <c r="EE120" s="1112"/>
      <c r="EF120" s="1112"/>
      <c r="EG120" s="1112"/>
      <c r="EH120" s="1112"/>
      <c r="EI120" s="1112"/>
      <c r="EJ120" s="1112"/>
      <c r="EK120" s="1113" t="s">
        <v>443</v>
      </c>
      <c r="EL120" s="1112"/>
      <c r="EM120" s="1318"/>
    </row>
    <row r="121" spans="1:143">
      <c r="A121" s="998"/>
      <c r="B121" s="1143" t="s">
        <v>727</v>
      </c>
      <c r="C121" s="1167"/>
      <c r="D121" s="1098">
        <v>16.966722058943091</v>
      </c>
      <c r="E121" s="1099">
        <v>17.498018949804717</v>
      </c>
      <c r="F121" s="1099">
        <v>18.449165790310349</v>
      </c>
      <c r="G121" s="1099">
        <v>17.425036498213373</v>
      </c>
      <c r="H121" s="1099">
        <v>19.274921988662019</v>
      </c>
      <c r="I121" s="1099">
        <v>18.796826053042121</v>
      </c>
      <c r="J121" s="1100">
        <v>15.456523216582928</v>
      </c>
      <c r="K121" s="1101">
        <v>17.663393798588153</v>
      </c>
      <c r="L121" s="1102">
        <v>18.801914735917428</v>
      </c>
      <c r="M121" s="1102">
        <v>18.470661722350226</v>
      </c>
      <c r="N121" s="1102">
        <v>18.082720734126987</v>
      </c>
      <c r="O121" s="1102">
        <v>18.816076468894</v>
      </c>
      <c r="P121" s="1102">
        <v>20.711650297619048</v>
      </c>
      <c r="Q121" s="1102">
        <v>21.283459424273122</v>
      </c>
      <c r="R121" s="1102">
        <v>20.553982185844973</v>
      </c>
      <c r="S121" s="1102">
        <v>18.82159331337326</v>
      </c>
      <c r="T121" s="1102">
        <v>21.781031485416268</v>
      </c>
      <c r="U121" s="1102">
        <v>22.673909680638729</v>
      </c>
      <c r="V121" s="1103">
        <v>17.070908344601122</v>
      </c>
      <c r="W121" s="1098">
        <v>20.036324125941665</v>
      </c>
      <c r="X121" s="1099">
        <v>21.003714381581666</v>
      </c>
      <c r="Y121" s="1099">
        <v>20.673333977206877</v>
      </c>
      <c r="Z121" s="1099">
        <v>21.464324101796411</v>
      </c>
      <c r="AA121" s="1099">
        <v>21.700441605130216</v>
      </c>
      <c r="AB121" s="1099">
        <v>23.736157881526108</v>
      </c>
      <c r="AC121" s="1099">
        <v>24.92391444811506</v>
      </c>
      <c r="AD121" s="1099">
        <v>22.835724349008959</v>
      </c>
      <c r="AE121" s="1099">
        <v>23.543644829317266</v>
      </c>
      <c r="AF121" s="1099">
        <v>24.784972976903138</v>
      </c>
      <c r="AG121" s="1099">
        <v>25.466900576008019</v>
      </c>
      <c r="AH121" s="1100">
        <v>22.14002817722503</v>
      </c>
      <c r="AI121" s="1104">
        <v>21.811960863377617</v>
      </c>
      <c r="AJ121" s="1104">
        <v>21.981423844537815</v>
      </c>
      <c r="AK121" s="1104">
        <v>20.473143358492383</v>
      </c>
      <c r="AL121" s="1104">
        <v>21.749657724788872</v>
      </c>
      <c r="AM121" s="1104">
        <v>22.560306618382814</v>
      </c>
      <c r="AN121" s="1104">
        <v>21.805276428746627</v>
      </c>
      <c r="AO121" s="1104">
        <v>23.351771226471083</v>
      </c>
      <c r="AP121" s="1104">
        <v>20.859889120386995</v>
      </c>
      <c r="AQ121" s="1104">
        <v>21.95587017804154</v>
      </c>
      <c r="AR121" s="1104">
        <v>23.142998019241652</v>
      </c>
      <c r="AS121" s="1104">
        <v>23.66812719298246</v>
      </c>
      <c r="AT121" s="1104">
        <v>20.321345305236324</v>
      </c>
      <c r="AU121" s="1098">
        <v>22.603454158630431</v>
      </c>
      <c r="AV121" s="1099">
        <v>26.970094135802476</v>
      </c>
      <c r="AW121" s="1099">
        <v>26.869344683393066</v>
      </c>
      <c r="AX121" s="1099">
        <v>26.81037077514673</v>
      </c>
      <c r="AY121" s="1099">
        <v>26.649567738018298</v>
      </c>
      <c r="AZ121" s="1099">
        <v>28.983256628212899</v>
      </c>
      <c r="BA121" s="1099">
        <v>29.680037017451092</v>
      </c>
      <c r="BB121" s="1099">
        <v>26.697066220106937</v>
      </c>
      <c r="BC121" s="1099">
        <v>26.449135397692775</v>
      </c>
      <c r="BD121" s="1099">
        <v>29.940642419256907</v>
      </c>
      <c r="BE121" s="1099">
        <v>31.371470552519735</v>
      </c>
      <c r="BF121" s="1099">
        <v>25.925741817968156</v>
      </c>
      <c r="BG121" s="1105">
        <v>24.716125702646067</v>
      </c>
      <c r="BH121" s="1105">
        <v>28.589670613236201</v>
      </c>
      <c r="BI121" s="1105">
        <v>29.029370899191107</v>
      </c>
      <c r="BJ121" s="1105">
        <v>28.67718457802064</v>
      </c>
      <c r="BK121" s="1105">
        <v>27.611186125310923</v>
      </c>
      <c r="BL121" s="1105">
        <v>27.879754907913373</v>
      </c>
      <c r="BM121" s="1105">
        <v>30.886016804747641</v>
      </c>
      <c r="BN121" s="1105">
        <v>30.083355857179228</v>
      </c>
      <c r="BO121" s="1105">
        <v>29.299524387775744</v>
      </c>
      <c r="BP121" s="1105">
        <v>31.712087829649718</v>
      </c>
      <c r="BQ121" s="1105">
        <v>34.067588153448611</v>
      </c>
      <c r="BR121" s="1105">
        <v>27.887128320541677</v>
      </c>
      <c r="BS121" s="1106">
        <v>30.323662838786621</v>
      </c>
      <c r="BT121" s="1107">
        <v>32.334020521045382</v>
      </c>
      <c r="BU121" s="1107">
        <v>33.427284128724487</v>
      </c>
      <c r="BV121" s="1107">
        <v>31.864553965414427</v>
      </c>
      <c r="BW121" s="1107">
        <v>33.335273433743048</v>
      </c>
      <c r="BX121" s="1107">
        <v>36.308641025641023</v>
      </c>
      <c r="BY121" s="1107">
        <v>34.625173951660138</v>
      </c>
      <c r="BZ121" s="1107">
        <v>33.921357219797024</v>
      </c>
      <c r="CA121" s="1107">
        <v>34.065142159734428</v>
      </c>
      <c r="CB121" s="1107">
        <v>35.372602377307857</v>
      </c>
      <c r="CC121" s="1107">
        <v>39.47223198594024</v>
      </c>
      <c r="CD121" s="1107">
        <v>29.27882173970556</v>
      </c>
      <c r="CE121" s="1087">
        <v>30.88021108528449</v>
      </c>
      <c r="CF121" s="1088">
        <v>39.658844882416936</v>
      </c>
      <c r="CG121" s="1088">
        <v>42.342069656254125</v>
      </c>
      <c r="CH121" s="1088">
        <v>37.397215778168324</v>
      </c>
      <c r="CI121" s="1088">
        <v>38.61092427764234</v>
      </c>
      <c r="CJ121" s="1088">
        <v>40.799371411833619</v>
      </c>
      <c r="CK121" s="1088">
        <v>42.353794810741327</v>
      </c>
      <c r="CL121" s="1088">
        <v>42.34749158524825</v>
      </c>
      <c r="CM121" s="1088">
        <v>44.456312276743738</v>
      </c>
      <c r="CN121" s="1088">
        <v>44.385697651147126</v>
      </c>
      <c r="CO121" s="1088">
        <v>46.85489208497836</v>
      </c>
      <c r="CP121" s="1088">
        <v>35.280510343321865</v>
      </c>
      <c r="CQ121" s="1108">
        <v>37.981259938504081</v>
      </c>
      <c r="CR121" s="1109">
        <v>48.003893924744183</v>
      </c>
      <c r="CS121" s="1109">
        <v>43.476703875741293</v>
      </c>
      <c r="CT121" s="1109">
        <v>41.378122557389503</v>
      </c>
      <c r="CU121" s="1109">
        <v>43.250931389648791</v>
      </c>
      <c r="CV121" s="1109">
        <v>42.623278315310188</v>
      </c>
      <c r="CW121" s="1109">
        <v>42.65</v>
      </c>
      <c r="CX121" s="1109">
        <v>44.541718838929988</v>
      </c>
      <c r="CY121" s="1109">
        <v>44.216676152532727</v>
      </c>
      <c r="CZ121" s="1109">
        <v>44.813716562322142</v>
      </c>
      <c r="DA121" s="1109">
        <v>47.927426136363636</v>
      </c>
      <c r="DB121" s="1110">
        <v>41.379761363636376</v>
      </c>
      <c r="DC121" s="1091">
        <v>37.34382954545454</v>
      </c>
      <c r="DD121" s="1091">
        <v>34.54869318181818</v>
      </c>
      <c r="DE121" s="1091">
        <v>43.373068181818184</v>
      </c>
      <c r="DF121" s="1091">
        <v>40.736164772727271</v>
      </c>
      <c r="DG121" s="1091">
        <v>38.964715909090913</v>
      </c>
      <c r="DH121" s="1091">
        <v>44.373713962690786</v>
      </c>
      <c r="DI121" s="1091">
        <v>44.292707744488396</v>
      </c>
      <c r="DJ121" s="1091">
        <v>37.216311239193089</v>
      </c>
      <c r="DK121" s="1091">
        <v>38.027031700288184</v>
      </c>
      <c r="DL121" s="1091">
        <v>39.978213256484153</v>
      </c>
      <c r="DM121" s="1091">
        <v>38.884070294784578</v>
      </c>
      <c r="DN121" s="1092">
        <v>32.895186862967158</v>
      </c>
      <c r="DO121" s="1091">
        <v>32.587499999999991</v>
      </c>
      <c r="DP121" s="1091">
        <v>32.297169811320749</v>
      </c>
      <c r="DQ121" s="1091">
        <v>34.522169811320751</v>
      </c>
      <c r="DR121" s="1091">
        <v>33.908667452830187</v>
      </c>
      <c r="DS121" s="1091">
        <v>31.496639150943402</v>
      </c>
      <c r="DT121" s="1091">
        <v>37.479716981132079</v>
      </c>
      <c r="DU121" s="1091">
        <v>35.56462264150943</v>
      </c>
      <c r="DV121" s="1091">
        <v>37.299587264150937</v>
      </c>
      <c r="DW121" s="1091">
        <v>35.481132075471699</v>
      </c>
      <c r="DX121" s="1091">
        <v>51.774028268551241</v>
      </c>
      <c r="DY121" s="1091">
        <v>33.110377358490567</v>
      </c>
      <c r="DZ121" s="1091">
        <v>29.660318396226419</v>
      </c>
      <c r="EA121" s="1099"/>
      <c r="EB121" s="1111">
        <v>17.533483331225963</v>
      </c>
      <c r="EC121" s="1112">
        <v>19.549531648919949</v>
      </c>
      <c r="ED121" s="1112">
        <v>22.689406053789078</v>
      </c>
      <c r="EE121" s="1112">
        <v>21.973126402786285</v>
      </c>
      <c r="EF121" s="1112">
        <v>27.412715924234885</v>
      </c>
      <c r="EG121" s="1112">
        <v>29.208871033175186</v>
      </c>
      <c r="EH121" s="1112">
        <v>33.689218394256734</v>
      </c>
      <c r="EI121" s="1112">
        <v>40.467591214129939</v>
      </c>
      <c r="EJ121" s="1112">
        <f>AVERAGE(CQ121:DB121)</f>
        <v>43.520290754593567</v>
      </c>
      <c r="EK121" s="1113">
        <v>39.249211161470001</v>
      </c>
      <c r="EL121" s="1112">
        <f>AVERAGE(DO121:DZ121)</f>
        <v>35.431827434328959</v>
      </c>
      <c r="EM121" s="1318">
        <v>35.502321734643424</v>
      </c>
    </row>
    <row r="122" spans="1:143">
      <c r="A122" s="998"/>
      <c r="B122" s="1143"/>
      <c r="C122" s="1167"/>
      <c r="D122" s="1098"/>
      <c r="E122" s="1099"/>
      <c r="F122" s="1099"/>
      <c r="G122" s="1099"/>
      <c r="H122" s="1099"/>
      <c r="I122" s="1099"/>
      <c r="J122" s="1100"/>
      <c r="K122" s="1101"/>
      <c r="L122" s="1102"/>
      <c r="M122" s="1102"/>
      <c r="N122" s="1102"/>
      <c r="O122" s="1102"/>
      <c r="P122" s="1102"/>
      <c r="Q122" s="1102"/>
      <c r="R122" s="1102"/>
      <c r="S122" s="1102"/>
      <c r="T122" s="1102"/>
      <c r="U122" s="1102"/>
      <c r="V122" s="1103"/>
      <c r="W122" s="1098"/>
      <c r="X122" s="1099"/>
      <c r="Y122" s="1099"/>
      <c r="Z122" s="1099"/>
      <c r="AA122" s="1099"/>
      <c r="AB122" s="1099"/>
      <c r="AC122" s="1099"/>
      <c r="AD122" s="1099"/>
      <c r="AE122" s="1099"/>
      <c r="AF122" s="1099"/>
      <c r="AG122" s="1099"/>
      <c r="AH122" s="1100"/>
      <c r="AI122" s="1104"/>
      <c r="AJ122" s="1104"/>
      <c r="AK122" s="1104"/>
      <c r="AL122" s="1104"/>
      <c r="AM122" s="1104"/>
      <c r="AN122" s="1104"/>
      <c r="AO122" s="1104"/>
      <c r="AP122" s="1104"/>
      <c r="AQ122" s="1104"/>
      <c r="AR122" s="1104"/>
      <c r="AS122" s="1104"/>
      <c r="AT122" s="1104"/>
      <c r="AU122" s="1098"/>
      <c r="AV122" s="1099"/>
      <c r="AW122" s="1099"/>
      <c r="AX122" s="1099"/>
      <c r="AY122" s="1099"/>
      <c r="AZ122" s="1099"/>
      <c r="BA122" s="1099"/>
      <c r="BB122" s="1099"/>
      <c r="BC122" s="1099"/>
      <c r="BD122" s="1099"/>
      <c r="BE122" s="1099"/>
      <c r="BF122" s="1099"/>
      <c r="BG122" s="1105"/>
      <c r="BH122" s="1105"/>
      <c r="BI122" s="1105"/>
      <c r="BJ122" s="1105"/>
      <c r="BK122" s="1105"/>
      <c r="BL122" s="1105"/>
      <c r="BM122" s="1105"/>
      <c r="BN122" s="1105"/>
      <c r="BO122" s="1105"/>
      <c r="BP122" s="1105"/>
      <c r="BQ122" s="1105"/>
      <c r="BR122" s="1105"/>
      <c r="BS122" s="1106"/>
      <c r="BT122" s="1107"/>
      <c r="BU122" s="1107"/>
      <c r="BV122" s="1107"/>
      <c r="BW122" s="1107"/>
      <c r="BX122" s="1107"/>
      <c r="BY122" s="1107"/>
      <c r="BZ122" s="1107"/>
      <c r="CA122" s="1107"/>
      <c r="CB122" s="1107"/>
      <c r="CC122" s="1107"/>
      <c r="CD122" s="1107"/>
      <c r="CE122" s="1087"/>
      <c r="CF122" s="1088"/>
      <c r="CG122" s="1088"/>
      <c r="CH122" s="1088"/>
      <c r="CI122" s="1088"/>
      <c r="CJ122" s="1088"/>
      <c r="CK122" s="1088"/>
      <c r="CL122" s="1088"/>
      <c r="CM122" s="1088"/>
      <c r="CN122" s="1088"/>
      <c r="CO122" s="1088"/>
      <c r="CP122" s="1088"/>
      <c r="CQ122" s="1108"/>
      <c r="CR122" s="1109"/>
      <c r="CS122" s="1109"/>
      <c r="CT122" s="1109"/>
      <c r="CU122" s="1109"/>
      <c r="CV122" s="1109"/>
      <c r="CW122" s="1109"/>
      <c r="CX122" s="1109"/>
      <c r="CY122" s="1109"/>
      <c r="CZ122" s="1109"/>
      <c r="DA122" s="1109"/>
      <c r="DB122" s="1110"/>
      <c r="DC122" s="1091"/>
      <c r="DD122" s="1091"/>
      <c r="DE122" s="1091"/>
      <c r="DF122" s="1091"/>
      <c r="DG122" s="1091"/>
      <c r="DH122" s="1091"/>
      <c r="DI122" s="1091"/>
      <c r="DJ122" s="1091"/>
      <c r="DK122" s="1091"/>
      <c r="DL122" s="1091"/>
      <c r="DM122" s="1091"/>
      <c r="DN122" s="1092"/>
      <c r="DO122" s="1091"/>
      <c r="DP122" s="1091"/>
      <c r="DQ122" s="1091"/>
      <c r="DR122" s="1091"/>
      <c r="DS122" s="1091"/>
      <c r="DT122" s="1091"/>
      <c r="DU122" s="1091"/>
      <c r="DV122" s="1091"/>
      <c r="DW122" s="1091"/>
      <c r="DX122" s="1091"/>
      <c r="DY122" s="1091"/>
      <c r="DZ122" s="1091"/>
      <c r="EA122" s="1099"/>
      <c r="EB122" s="1111"/>
      <c r="EC122" s="1112"/>
      <c r="ED122" s="1112"/>
      <c r="EE122" s="1112"/>
      <c r="EF122" s="1112"/>
      <c r="EG122" s="1112"/>
      <c r="EH122" s="1112"/>
      <c r="EI122" s="1112"/>
      <c r="EJ122" s="1112"/>
      <c r="EK122" s="1113"/>
      <c r="EL122" s="1112"/>
      <c r="EM122" s="1318"/>
    </row>
    <row r="123" spans="1:143">
      <c r="A123" s="998"/>
      <c r="B123" s="1168"/>
      <c r="C123" s="1171" t="s">
        <v>164</v>
      </c>
      <c r="D123" s="1145"/>
      <c r="E123" s="1146"/>
      <c r="F123" s="1099"/>
      <c r="G123" s="1146"/>
      <c r="H123" s="1146"/>
      <c r="I123" s="1146"/>
      <c r="J123" s="1151"/>
      <c r="K123" s="1147"/>
      <c r="L123" s="1148"/>
      <c r="M123" s="1148"/>
      <c r="N123" s="1192"/>
      <c r="O123" s="1192"/>
      <c r="P123" s="1192"/>
      <c r="Q123" s="1192"/>
      <c r="R123" s="1192"/>
      <c r="S123" s="1192"/>
      <c r="T123" s="1192"/>
      <c r="U123" s="1192"/>
      <c r="V123" s="1193"/>
      <c r="W123" s="1098"/>
      <c r="X123" s="1099"/>
      <c r="Y123" s="1099"/>
      <c r="Z123" s="1099"/>
      <c r="AA123" s="1099"/>
      <c r="AB123" s="1099"/>
      <c r="AC123" s="1099"/>
      <c r="AD123" s="1099"/>
      <c r="AE123" s="1099"/>
      <c r="AF123" s="1099"/>
      <c r="AG123" s="1099"/>
      <c r="AH123" s="1100"/>
      <c r="AI123" s="1104"/>
      <c r="AJ123" s="1104"/>
      <c r="AK123" s="1104"/>
      <c r="AL123" s="1104"/>
      <c r="AM123" s="1104"/>
      <c r="AN123" s="1104"/>
      <c r="AO123" s="1104"/>
      <c r="AP123" s="1104"/>
      <c r="AQ123" s="1104"/>
      <c r="AR123" s="1104"/>
      <c r="AS123" s="1104"/>
      <c r="AT123" s="1104"/>
      <c r="AU123" s="1098"/>
      <c r="AV123" s="1099"/>
      <c r="AW123" s="1099"/>
      <c r="AX123" s="1099"/>
      <c r="AY123" s="1099"/>
      <c r="AZ123" s="1099"/>
      <c r="BA123" s="1099"/>
      <c r="BB123" s="1099"/>
      <c r="BC123" s="1099"/>
      <c r="BD123" s="1099"/>
      <c r="BE123" s="1099"/>
      <c r="BF123" s="1099"/>
      <c r="BG123" s="1105"/>
      <c r="BH123" s="1105"/>
      <c r="BI123" s="1105"/>
      <c r="BJ123" s="1105"/>
      <c r="BK123" s="1105"/>
      <c r="BL123" s="1105"/>
      <c r="BM123" s="1105"/>
      <c r="BN123" s="1105"/>
      <c r="BO123" s="1105"/>
      <c r="BP123" s="1105"/>
      <c r="BQ123" s="1105"/>
      <c r="BR123" s="1105"/>
      <c r="BS123" s="1106"/>
      <c r="BT123" s="1107"/>
      <c r="BU123" s="1107"/>
      <c r="BV123" s="1107"/>
      <c r="BW123" s="1107"/>
      <c r="BX123" s="1107"/>
      <c r="BY123" s="1107"/>
      <c r="BZ123" s="1107"/>
      <c r="CA123" s="1107"/>
      <c r="CB123" s="1107"/>
      <c r="CC123" s="1107"/>
      <c r="CD123" s="1107"/>
      <c r="CE123" s="1087"/>
      <c r="CF123" s="1088"/>
      <c r="CG123" s="1088"/>
      <c r="CH123" s="1088"/>
      <c r="CI123" s="1088"/>
      <c r="CJ123" s="1088"/>
      <c r="CK123" s="1088"/>
      <c r="CL123" s="1088"/>
      <c r="CM123" s="1088"/>
      <c r="CN123" s="1088"/>
      <c r="CO123" s="1088"/>
      <c r="CP123" s="1088"/>
      <c r="CQ123" s="1108"/>
      <c r="CR123" s="1109"/>
      <c r="CS123" s="1109"/>
      <c r="CT123" s="1109"/>
      <c r="CU123" s="1109"/>
      <c r="CV123" s="1109"/>
      <c r="CW123" s="1109"/>
      <c r="CX123" s="1109"/>
      <c r="CY123" s="1109"/>
      <c r="CZ123" s="1109"/>
      <c r="DA123" s="1109"/>
      <c r="DB123" s="1110"/>
      <c r="DC123" s="1091"/>
      <c r="DD123" s="1091"/>
      <c r="DE123" s="1091"/>
      <c r="DF123" s="1091"/>
      <c r="DG123" s="1091"/>
      <c r="DH123" s="1091"/>
      <c r="DI123" s="1091"/>
      <c r="DJ123" s="1091"/>
      <c r="DK123" s="1091"/>
      <c r="DL123" s="1091"/>
      <c r="DM123" s="1091"/>
      <c r="DN123" s="1092"/>
      <c r="DO123" s="1091"/>
      <c r="DP123" s="1091"/>
      <c r="DQ123" s="1091"/>
      <c r="DR123" s="1091"/>
      <c r="DS123" s="1091"/>
      <c r="DT123" s="1091"/>
      <c r="DU123" s="1091"/>
      <c r="DV123" s="1091"/>
      <c r="DW123" s="1091"/>
      <c r="DX123" s="1091"/>
      <c r="DY123" s="1091"/>
      <c r="DZ123" s="1091"/>
      <c r="EA123" s="1099"/>
      <c r="EB123" s="1170"/>
      <c r="EC123" s="1194"/>
      <c r="ED123" s="1194"/>
      <c r="EE123" s="1194"/>
      <c r="EF123" s="1194"/>
      <c r="EG123" s="1194"/>
      <c r="EH123" s="1194"/>
      <c r="EI123" s="1194"/>
      <c r="EJ123" s="1194"/>
      <c r="EK123" s="1195"/>
      <c r="EL123" s="1196"/>
      <c r="EM123" s="1327"/>
    </row>
    <row r="124" spans="1:143">
      <c r="A124" s="998"/>
      <c r="B124" s="1166" t="s">
        <v>707</v>
      </c>
      <c r="C124" s="1171" t="s">
        <v>708</v>
      </c>
      <c r="D124" s="1098">
        <v>8.1092830188679255</v>
      </c>
      <c r="E124" s="1099">
        <v>3.7195993208828528</v>
      </c>
      <c r="F124" s="1099">
        <v>5.6580621954049661</v>
      </c>
      <c r="G124" s="1099">
        <v>3.883671568627451</v>
      </c>
      <c r="H124" s="1099">
        <v>3.923295359155774</v>
      </c>
      <c r="I124" s="1099">
        <v>3.9866888888888887</v>
      </c>
      <c r="J124" s="1100">
        <v>3.5854137447405328</v>
      </c>
      <c r="K124" s="1101">
        <v>3.2351417399804498</v>
      </c>
      <c r="L124" s="1102">
        <v>3.8372294372294373</v>
      </c>
      <c r="M124" s="1102">
        <v>3.5939016897081415</v>
      </c>
      <c r="N124" s="1102">
        <v>4.0093939393939388</v>
      </c>
      <c r="O124" s="1102">
        <v>2.5843681050132661</v>
      </c>
      <c r="P124" s="1102">
        <v>3.5574227994227998</v>
      </c>
      <c r="Q124" s="1102">
        <v>2.7552716101103196</v>
      </c>
      <c r="R124" s="1102">
        <v>4.239952520597682</v>
      </c>
      <c r="S124" s="1102">
        <v>3.8269408369408353</v>
      </c>
      <c r="T124" s="1102">
        <v>2.9979053204859656</v>
      </c>
      <c r="U124" s="1102">
        <v>3.7288311688311691</v>
      </c>
      <c r="V124" s="1103">
        <v>2.5029758413629382</v>
      </c>
      <c r="W124" s="1098">
        <v>2.74958804636224</v>
      </c>
      <c r="X124" s="1099">
        <v>2.9870204508135547</v>
      </c>
      <c r="Y124" s="1099">
        <v>3.0800865800865802</v>
      </c>
      <c r="Z124" s="1099">
        <v>3.7358225108225107</v>
      </c>
      <c r="AA124" s="1099">
        <v>3.7119326909649493</v>
      </c>
      <c r="AB124" s="1099">
        <v>3.8116695526695525</v>
      </c>
      <c r="AC124" s="1099">
        <v>4.1152017874598519</v>
      </c>
      <c r="AD124" s="1099">
        <v>3.8832984220080986</v>
      </c>
      <c r="AE124" s="1099">
        <v>2.9650317460317459</v>
      </c>
      <c r="AF124" s="1099">
        <v>2.8782376763021924</v>
      </c>
      <c r="AG124" s="1099">
        <v>3.8926767676767677</v>
      </c>
      <c r="AH124" s="1100">
        <v>3.3583829074151654</v>
      </c>
      <c r="AI124" s="1104">
        <v>3.3910035842293911</v>
      </c>
      <c r="AJ124" s="1104">
        <v>4.4602841269841269</v>
      </c>
      <c r="AK124" s="1104">
        <v>3.7416374945754378</v>
      </c>
      <c r="AL124" s="1104">
        <v>3.0913273542600899</v>
      </c>
      <c r="AM124" s="1104">
        <v>3.9263344423549826</v>
      </c>
      <c r="AN124" s="1104">
        <v>3.1137518684603886</v>
      </c>
      <c r="AO124" s="1104">
        <v>5.6310394265232979</v>
      </c>
      <c r="AP124" s="1104">
        <v>3.7018515839722248</v>
      </c>
      <c r="AQ124" s="1104">
        <v>2.730188340807175</v>
      </c>
      <c r="AR124" s="1104">
        <v>2.7068060176479096</v>
      </c>
      <c r="AS124" s="1104">
        <v>3.7391330343796714</v>
      </c>
      <c r="AT124" s="1104">
        <v>4.7996224504556633</v>
      </c>
      <c r="AU124" s="1098">
        <v>4.817618978735716</v>
      </c>
      <c r="AV124" s="1099">
        <v>3.9657815502882761</v>
      </c>
      <c r="AW124" s="1099">
        <v>4.5373426876898595</v>
      </c>
      <c r="AX124" s="1099">
        <v>5.8921524663677145</v>
      </c>
      <c r="AY124" s="1099">
        <v>5.8086937653695934</v>
      </c>
      <c r="AZ124" s="1099">
        <v>4.7436248131539624</v>
      </c>
      <c r="BA124" s="1099">
        <v>5.2811369882829453</v>
      </c>
      <c r="BB124" s="1099">
        <v>5.6089454650658181</v>
      </c>
      <c r="BC124" s="1099">
        <v>5.5012047832585962</v>
      </c>
      <c r="BD124" s="1099">
        <v>5.1476710545349338</v>
      </c>
      <c r="BE124" s="1099">
        <v>4.5665396113602403</v>
      </c>
      <c r="BF124" s="1099">
        <v>7.0727614639085781</v>
      </c>
      <c r="BG124" s="1105">
        <v>5.9738536091421954</v>
      </c>
      <c r="BH124" s="1105">
        <v>6.423103779628442</v>
      </c>
      <c r="BI124" s="1105">
        <v>6.3674352668884708</v>
      </c>
      <c r="BJ124" s="1105">
        <v>6.0678998505231698</v>
      </c>
      <c r="BK124" s="1105">
        <v>6.6005005062924926</v>
      </c>
      <c r="BL124" s="1105">
        <v>5.985554559043349</v>
      </c>
      <c r="BM124" s="1105">
        <v>4.9207001301894975</v>
      </c>
      <c r="BN124" s="1105">
        <v>5.4649558802256637</v>
      </c>
      <c r="BO124" s="1105">
        <v>6.1675635276532157</v>
      </c>
      <c r="BP124" s="1105">
        <v>5.891401706928975</v>
      </c>
      <c r="BQ124" s="1105">
        <v>6.4604275037369217</v>
      </c>
      <c r="BR124" s="1105">
        <v>7.4602343410964851</v>
      </c>
      <c r="BS124" s="1106">
        <v>5.8066830608997542</v>
      </c>
      <c r="BT124" s="1107">
        <v>5.3201793721973107</v>
      </c>
      <c r="BU124" s="1107">
        <v>5.8216476204252858</v>
      </c>
      <c r="BV124" s="1107">
        <v>6.5072272047832591</v>
      </c>
      <c r="BW124" s="1107">
        <v>5.6446332995805015</v>
      </c>
      <c r="BX124" s="1107">
        <v>5.8797234678624815</v>
      </c>
      <c r="BY124" s="1107">
        <v>6.4737451178938219</v>
      </c>
      <c r="BZ124" s="1107">
        <v>6.4594966006075509</v>
      </c>
      <c r="CA124" s="1107">
        <v>5.8577234678624821</v>
      </c>
      <c r="CB124" s="1107">
        <v>6.0966295385505562</v>
      </c>
      <c r="CC124" s="1107">
        <v>6.1738415545590435</v>
      </c>
      <c r="CD124" s="1107">
        <v>6.0956111673658331</v>
      </c>
      <c r="CE124" s="1087">
        <v>6.1618631563720525</v>
      </c>
      <c r="CF124" s="1088">
        <v>6.7010249839846239</v>
      </c>
      <c r="CG124" s="1088">
        <v>6.5892015044119763</v>
      </c>
      <c r="CH124" s="1088">
        <v>6.8986905829596425</v>
      </c>
      <c r="CI124" s="1088">
        <v>5.9903674236944893</v>
      </c>
      <c r="CJ124" s="1088">
        <v>6.1940284005979089</v>
      </c>
      <c r="CK124" s="1088">
        <v>6.9866266454505999</v>
      </c>
      <c r="CL124" s="1088">
        <v>7.0906986836395198</v>
      </c>
      <c r="CM124" s="1088">
        <v>7.214508221225711</v>
      </c>
      <c r="CN124" s="1088">
        <v>7.6235426008968616</v>
      </c>
      <c r="CO124" s="1088">
        <v>7.493994020926757</v>
      </c>
      <c r="CP124" s="1088">
        <v>6.4879025025314618</v>
      </c>
      <c r="CQ124" s="1108">
        <v>8.3000491826992615</v>
      </c>
      <c r="CR124" s="1109">
        <v>8.642663356822549</v>
      </c>
      <c r="CS124" s="1109">
        <v>9.024051786489224</v>
      </c>
      <c r="CT124" s="1109">
        <v>7.4615635276532135</v>
      </c>
      <c r="CU124" s="1109">
        <v>6.8762693476059598</v>
      </c>
      <c r="CV124" s="1109">
        <v>6.4717488789237665</v>
      </c>
      <c r="CW124" s="1109">
        <v>7.96</v>
      </c>
      <c r="CX124" s="1109">
        <v>7.2062780269058297</v>
      </c>
      <c r="CY124" s="1109">
        <v>7.7458515283842795</v>
      </c>
      <c r="CZ124" s="1109">
        <v>8.5969432314410472</v>
      </c>
      <c r="DA124" s="1109">
        <v>7.9259388646288214</v>
      </c>
      <c r="DB124" s="1110">
        <v>8.3860698689956337</v>
      </c>
      <c r="DC124" s="1091">
        <v>9.1420960698689946</v>
      </c>
      <c r="DD124" s="1091">
        <v>8.0593886462882107</v>
      </c>
      <c r="DE124" s="1091">
        <v>8.6947598253275107</v>
      </c>
      <c r="DF124" s="1091">
        <v>9.0861135371179049</v>
      </c>
      <c r="DG124" s="1091">
        <v>7.7624454148471616</v>
      </c>
      <c r="DH124" s="1091">
        <v>7.520524017467249</v>
      </c>
      <c r="DI124" s="1091">
        <v>9.6349344978165927</v>
      </c>
      <c r="DJ124" s="1091">
        <v>5.9576036866359443</v>
      </c>
      <c r="DK124" s="1091">
        <v>7.7124423963133637</v>
      </c>
      <c r="DL124" s="1091">
        <v>7.959907834101382</v>
      </c>
      <c r="DM124" s="1091">
        <v>6.6702702702702705</v>
      </c>
      <c r="DN124" s="1092">
        <v>5.4168141592920351</v>
      </c>
      <c r="DO124" s="1091">
        <v>5.9154069767441859</v>
      </c>
      <c r="DP124" s="1091">
        <v>5.0918604651162793</v>
      </c>
      <c r="DQ124" s="1091">
        <v>5.8561046511627897</v>
      </c>
      <c r="DR124" s="1091">
        <v>4.4915697674418604</v>
      </c>
      <c r="DS124" s="1091">
        <v>4.2034883720930232</v>
      </c>
      <c r="DT124" s="1091">
        <v>4.6825581395348834</v>
      </c>
      <c r="DU124" s="1091">
        <v>4.7357558139534888</v>
      </c>
      <c r="DV124" s="1091">
        <v>4.0505813953488374</v>
      </c>
      <c r="DW124" s="1091">
        <v>5.1031976744186043</v>
      </c>
      <c r="DX124" s="1091">
        <v>7.6194767441860467</v>
      </c>
      <c r="DY124" s="1091">
        <v>5.5063953488372093</v>
      </c>
      <c r="DZ124" s="1091">
        <v>6.2029069767441865</v>
      </c>
      <c r="EA124" s="1099"/>
      <c r="EB124" s="1111">
        <v>5.6989215581136099</v>
      </c>
      <c r="EC124" s="1112">
        <v>3.3981235841783786</v>
      </c>
      <c r="ED124" s="1112">
        <v>3.4313065076999498</v>
      </c>
      <c r="EE124" s="1112">
        <v>3.7549716212074773</v>
      </c>
      <c r="EF124" s="1112">
        <v>5.2565666195712284</v>
      </c>
      <c r="EG124" s="1112">
        <v>6.1461419006081464</v>
      </c>
      <c r="EH124" s="1112">
        <v>6.014187189100447</v>
      </c>
      <c r="EI124" s="1112">
        <v>6.7849359297254104</v>
      </c>
      <c r="EJ124" s="1112">
        <f t="shared" ref="EJ124:EJ131" si="16">AVERAGE(CQ124:DB124)</f>
        <v>7.8831189667124661</v>
      </c>
      <c r="EK124" s="1113">
        <v>7.8134967996300722</v>
      </c>
      <c r="EL124" s="1112">
        <f t="shared" ref="EL124:EL131" si="17">AVERAGE(DO124:DZ124)</f>
        <v>5.2882751937984489</v>
      </c>
      <c r="EM124" s="1318">
        <v>5.697916666666667</v>
      </c>
    </row>
    <row r="125" spans="1:143">
      <c r="A125" s="998"/>
      <c r="B125" s="1166" t="s">
        <v>709</v>
      </c>
      <c r="C125" s="1171" t="s">
        <v>710</v>
      </c>
      <c r="D125" s="1098">
        <v>4.6705555555555556</v>
      </c>
      <c r="E125" s="1099">
        <v>3.7153668728062845</v>
      </c>
      <c r="F125" s="1099">
        <v>4.5426739214924208</v>
      </c>
      <c r="G125" s="1099">
        <v>3.3202103174603175</v>
      </c>
      <c r="H125" s="1099">
        <v>3.8679172105165018</v>
      </c>
      <c r="I125" s="1099">
        <v>5.6475029940119761</v>
      </c>
      <c r="J125" s="1100">
        <v>5.4470046082949306</v>
      </c>
      <c r="K125" s="1101">
        <v>5.8113464235624122</v>
      </c>
      <c r="L125" s="1102">
        <v>6.7701641526175687</v>
      </c>
      <c r="M125" s="1102">
        <v>4.9227629733520333</v>
      </c>
      <c r="N125" s="1102">
        <v>4.9248447204968944</v>
      </c>
      <c r="O125" s="1102">
        <v>5.62297335203366</v>
      </c>
      <c r="P125" s="1102">
        <v>6.1025175983436846</v>
      </c>
      <c r="Q125" s="1102">
        <v>6.4168904027249054</v>
      </c>
      <c r="R125" s="1102">
        <v>6.0194750550991776</v>
      </c>
      <c r="S125" s="1102">
        <v>6.3421863354037269</v>
      </c>
      <c r="T125" s="1102">
        <v>6.8829893808855944</v>
      </c>
      <c r="U125" s="1102">
        <v>10.95486542443064</v>
      </c>
      <c r="V125" s="1103">
        <v>6.7744660388699662</v>
      </c>
      <c r="W125" s="1098">
        <v>6.2335369345294893</v>
      </c>
      <c r="X125" s="1099">
        <v>5.614058355437666</v>
      </c>
      <c r="Y125" s="1099">
        <v>7.5148883374689825</v>
      </c>
      <c r="Z125" s="1099">
        <v>5.6807100591715987</v>
      </c>
      <c r="AA125" s="1099">
        <v>7.2720366482153089</v>
      </c>
      <c r="AB125" s="1099">
        <v>6.6183826429980268</v>
      </c>
      <c r="AC125" s="1099">
        <v>8.0225539225042954</v>
      </c>
      <c r="AD125" s="1099">
        <v>7.8630082076732188</v>
      </c>
      <c r="AE125" s="1099">
        <v>7.8661696252465472</v>
      </c>
      <c r="AF125" s="1099">
        <v>5.9305859896926894</v>
      </c>
      <c r="AG125" s="1099">
        <v>6.5916528599605524</v>
      </c>
      <c r="AH125" s="1100">
        <v>6.216774193548388</v>
      </c>
      <c r="AI125" s="1104">
        <v>11.545925848345204</v>
      </c>
      <c r="AJ125" s="1104">
        <v>8.1446208112874761</v>
      </c>
      <c r="AK125" s="1104">
        <v>7.0696095076400676</v>
      </c>
      <c r="AL125" s="1104">
        <v>6.4608187134502923</v>
      </c>
      <c r="AM125" s="1104">
        <v>7.0560271646859087</v>
      </c>
      <c r="AN125" s="1104">
        <v>4.719688109161793</v>
      </c>
      <c r="AO125" s="1104">
        <v>8.9854102999434069</v>
      </c>
      <c r="AP125" s="1104">
        <v>7.9069213355970565</v>
      </c>
      <c r="AQ125" s="1104">
        <v>5.9128654970760239</v>
      </c>
      <c r="AR125" s="1104">
        <v>6.1952461799660439</v>
      </c>
      <c r="AS125" s="1104">
        <v>6.4711500974658867</v>
      </c>
      <c r="AT125" s="1104">
        <v>6.8890775325410303</v>
      </c>
      <c r="AU125" s="1098">
        <v>6.9800980946991116</v>
      </c>
      <c r="AV125" s="1099">
        <v>6.7386272944932166</v>
      </c>
      <c r="AW125" s="1099">
        <v>5.634708956568752</v>
      </c>
      <c r="AX125" s="1099">
        <v>7.4636871508379885</v>
      </c>
      <c r="AY125" s="1099">
        <v>13.359344025950621</v>
      </c>
      <c r="AZ125" s="1099">
        <v>7.1739292364990677</v>
      </c>
      <c r="BA125" s="1099">
        <v>7.6300234276446206</v>
      </c>
      <c r="BB125" s="1099">
        <v>7.8433952063434864</v>
      </c>
      <c r="BC125" s="1099">
        <v>8.3031657355679709</v>
      </c>
      <c r="BD125" s="1099">
        <v>7.9560281131735451</v>
      </c>
      <c r="BE125" s="1099">
        <v>8.0046554934823089</v>
      </c>
      <c r="BF125" s="1099">
        <v>8.1075869526040734</v>
      </c>
      <c r="BG125" s="1105">
        <v>8.055325283834927</v>
      </c>
      <c r="BH125" s="1105">
        <v>8.6109337589784509</v>
      </c>
      <c r="BI125" s="1105">
        <v>7.8788970985763198</v>
      </c>
      <c r="BJ125" s="1105">
        <v>9.6057728119180616</v>
      </c>
      <c r="BK125" s="1105">
        <v>8.0661380428906124</v>
      </c>
      <c r="BL125" s="1105">
        <v>8.7109869646182503</v>
      </c>
      <c r="BM125" s="1105">
        <v>8.3137502252658138</v>
      </c>
      <c r="BN125" s="1105">
        <v>8.4379167417552701</v>
      </c>
      <c r="BO125" s="1105">
        <v>8.8616387337057745</v>
      </c>
      <c r="BP125" s="1105">
        <v>8.7880699225085603</v>
      </c>
      <c r="BQ125" s="1105">
        <v>9.1445065176908766</v>
      </c>
      <c r="BR125" s="1105">
        <v>6.8552892413047397</v>
      </c>
      <c r="BS125" s="1106">
        <v>6.5388358262750046</v>
      </c>
      <c r="BT125" s="1107">
        <v>6.4240030822577525</v>
      </c>
      <c r="BU125" s="1107">
        <v>7.2596864299873847</v>
      </c>
      <c r="BV125" s="1107">
        <v>7.2067039106145252</v>
      </c>
      <c r="BW125" s="1107">
        <v>7.1009190845197336</v>
      </c>
      <c r="BX125" s="1107">
        <v>7.8575418994413404</v>
      </c>
      <c r="BY125" s="1107">
        <v>9.0284735988466398</v>
      </c>
      <c r="BZ125" s="1107">
        <v>8.6554334114254825</v>
      </c>
      <c r="CA125" s="1107">
        <v>8.8947858472998131</v>
      </c>
      <c r="CB125" s="1107">
        <v>9.2640115336096596</v>
      </c>
      <c r="CC125" s="1107">
        <v>8.7283054003724398</v>
      </c>
      <c r="CD125" s="1107">
        <v>8.5887547305820853</v>
      </c>
      <c r="CE125" s="1087">
        <v>8.8763741214633267</v>
      </c>
      <c r="CF125" s="1088">
        <v>9.0947725458898621</v>
      </c>
      <c r="CG125" s="1088">
        <v>10.072265273022168</v>
      </c>
      <c r="CH125" s="1088">
        <v>9.030167597765363</v>
      </c>
      <c r="CI125" s="1088">
        <v>8.8340241484952244</v>
      </c>
      <c r="CJ125" s="1088">
        <v>8.863687150837988</v>
      </c>
      <c r="CK125" s="1088">
        <v>9.2002162551811146</v>
      </c>
      <c r="CL125" s="1088">
        <v>8.3276265993872762</v>
      </c>
      <c r="CM125" s="1088">
        <v>9.062085661080074</v>
      </c>
      <c r="CN125" s="1088">
        <v>7.9100991169580119</v>
      </c>
      <c r="CO125" s="1088">
        <v>8.4881080074487887</v>
      </c>
      <c r="CP125" s="1088">
        <v>8.8842800504595427</v>
      </c>
      <c r="CQ125" s="1108">
        <v>9.2750585691115504</v>
      </c>
      <c r="CR125" s="1109">
        <v>9.8865123703112516</v>
      </c>
      <c r="CS125" s="1109">
        <v>9.1428852045413596</v>
      </c>
      <c r="CT125" s="1109">
        <v>8.8429348230912481</v>
      </c>
      <c r="CU125" s="1109">
        <v>8.0372175166696689</v>
      </c>
      <c r="CV125" s="1109">
        <v>8.1089385474860336</v>
      </c>
      <c r="CW125" s="1109">
        <v>10.34</v>
      </c>
      <c r="CX125" s="1109">
        <v>9.0843575418994416</v>
      </c>
      <c r="CY125" s="1109">
        <v>7.2525139664804472</v>
      </c>
      <c r="CZ125" s="1109">
        <v>8.9843575418994401</v>
      </c>
      <c r="DA125" s="1109">
        <v>10.414860335195531</v>
      </c>
      <c r="DB125" s="1110">
        <v>9.8488268156424592</v>
      </c>
      <c r="DC125" s="1091">
        <v>9.7713966480446928</v>
      </c>
      <c r="DD125" s="1091">
        <v>9.932960893854748</v>
      </c>
      <c r="DE125" s="1091">
        <v>10.64022346368715</v>
      </c>
      <c r="DF125" s="1091">
        <v>9.4618435754189942</v>
      </c>
      <c r="DG125" s="1091">
        <v>10.081564245810055</v>
      </c>
      <c r="DH125" s="1091">
        <v>8.8905027932960898</v>
      </c>
      <c r="DI125" s="1091">
        <v>6.0877094972067036</v>
      </c>
      <c r="DJ125" s="1091">
        <v>10.622839506172841</v>
      </c>
      <c r="DK125" s="1091">
        <v>6.6796296296296296</v>
      </c>
      <c r="DL125" s="1091">
        <v>14.701851851851854</v>
      </c>
      <c r="DM125" s="1091">
        <v>15.435185185185185</v>
      </c>
      <c r="DN125" s="1092">
        <v>12.89754601226994</v>
      </c>
      <c r="DO125" s="1091">
        <v>10.213804713804715</v>
      </c>
      <c r="DP125" s="1091">
        <v>9.2831649831649834</v>
      </c>
      <c r="DQ125" s="1091">
        <v>9.7144781144781138</v>
      </c>
      <c r="DR125" s="1091">
        <v>8.3959595959595958</v>
      </c>
      <c r="DS125" s="1091">
        <v>7.0875420875420883</v>
      </c>
      <c r="DT125" s="1091">
        <v>10.932996632996632</v>
      </c>
      <c r="DU125" s="1091">
        <v>10.561616161616161</v>
      </c>
      <c r="DV125" s="1091">
        <v>8.9781144781144775</v>
      </c>
      <c r="DW125" s="1091">
        <v>9.8154882154882159</v>
      </c>
      <c r="DX125" s="1091">
        <v>11.240404040404041</v>
      </c>
      <c r="DY125" s="1091">
        <v>9.5127946127946128</v>
      </c>
      <c r="DZ125" s="1091">
        <v>8.8767676767676758</v>
      </c>
      <c r="EA125" s="1099"/>
      <c r="EB125" s="1111">
        <v>4.6244032793938379</v>
      </c>
      <c r="EC125" s="1112">
        <v>6.4528083042627431</v>
      </c>
      <c r="ED125" s="1112">
        <v>6.7928143693213086</v>
      </c>
      <c r="EE125" s="1112">
        <v>7.2479800765786235</v>
      </c>
      <c r="EF125" s="1112">
        <v>7.9485842026825608</v>
      </c>
      <c r="EG125" s="1112">
        <v>8.4357541899441308</v>
      </c>
      <c r="EH125" s="1112">
        <v>7.9684036999725238</v>
      </c>
      <c r="EI125" s="1112">
        <v>8.8855521542817772</v>
      </c>
      <c r="EJ125" s="1112">
        <f t="shared" si="16"/>
        <v>9.1015386026940348</v>
      </c>
      <c r="EK125" s="1113">
        <v>10.374466342706922</v>
      </c>
      <c r="EL125" s="1112">
        <f t="shared" si="17"/>
        <v>9.5510942760942754</v>
      </c>
      <c r="EM125" s="1318">
        <v>9.3832210998877645</v>
      </c>
    </row>
    <row r="126" spans="1:143">
      <c r="A126" s="998"/>
      <c r="B126" s="1166" t="s">
        <v>711</v>
      </c>
      <c r="C126" s="1171" t="s">
        <v>712</v>
      </c>
      <c r="D126" s="1098">
        <v>7.489799196787148</v>
      </c>
      <c r="E126" s="1099">
        <v>8.6138618126985822</v>
      </c>
      <c r="F126" s="1099">
        <v>7.209130599232723</v>
      </c>
      <c r="G126" s="1099">
        <v>6.8225793103448282</v>
      </c>
      <c r="H126" s="1099">
        <v>8.3889341536415021</v>
      </c>
      <c r="I126" s="1099">
        <v>9.0811099537037023</v>
      </c>
      <c r="J126" s="1100">
        <v>8.4764180558562447</v>
      </c>
      <c r="K126" s="1101">
        <v>9.1598319676382101</v>
      </c>
      <c r="L126" s="1102">
        <v>9.8549944960861033</v>
      </c>
      <c r="M126" s="1102">
        <v>7.7494058308391516</v>
      </c>
      <c r="N126" s="1102">
        <v>8.4717468499427309</v>
      </c>
      <c r="O126" s="1102">
        <v>7.7979885821970951</v>
      </c>
      <c r="P126" s="1102">
        <v>7.8249324169530379</v>
      </c>
      <c r="Q126" s="1102">
        <v>9.9511185012748022</v>
      </c>
      <c r="R126" s="1102">
        <v>9.8982762443188097</v>
      </c>
      <c r="S126" s="1102">
        <v>9.6686478310502295</v>
      </c>
      <c r="T126" s="1102">
        <v>8.1043692001767536</v>
      </c>
      <c r="U126" s="1102">
        <v>9.3811358447488598</v>
      </c>
      <c r="V126" s="1103">
        <v>7.8430899248784778</v>
      </c>
      <c r="W126" s="1098">
        <v>7.6494255413168339</v>
      </c>
      <c r="X126" s="1099">
        <v>8.636127184695324</v>
      </c>
      <c r="Y126" s="1099">
        <v>8.6255247459125055</v>
      </c>
      <c r="Z126" s="1099">
        <v>8.8387260273972608</v>
      </c>
      <c r="AA126" s="1099">
        <v>10.103065068493148</v>
      </c>
      <c r="AB126" s="1099">
        <v>9.3105074200913283</v>
      </c>
      <c r="AC126" s="1099">
        <v>10.169519443216966</v>
      </c>
      <c r="AD126" s="1099">
        <v>8.2203049049933696</v>
      </c>
      <c r="AE126" s="1099">
        <v>9.352014269406391</v>
      </c>
      <c r="AF126" s="1099">
        <v>8.9087279054352635</v>
      </c>
      <c r="AG126" s="1099">
        <v>9.786861774744029</v>
      </c>
      <c r="AH126" s="1100">
        <v>8.4328982714962049</v>
      </c>
      <c r="AI126" s="1104">
        <v>9.0014563485430976</v>
      </c>
      <c r="AJ126" s="1104">
        <v>8.6743301258327143</v>
      </c>
      <c r="AK126" s="1104">
        <v>9.6275318959273495</v>
      </c>
      <c r="AL126" s="1104">
        <v>9.5250616004605639</v>
      </c>
      <c r="AM126" s="1104">
        <v>10.00022452504318</v>
      </c>
      <c r="AN126" s="1104">
        <v>10.553417386298214</v>
      </c>
      <c r="AO126" s="1104">
        <v>10.706762493732242</v>
      </c>
      <c r="AP126" s="1104">
        <v>10.947189258454507</v>
      </c>
      <c r="AQ126" s="1104">
        <v>10.197733448474381</v>
      </c>
      <c r="AR126" s="1104">
        <v>10.165442085910078</v>
      </c>
      <c r="AS126" s="1104">
        <v>10.95340932642487</v>
      </c>
      <c r="AT126" s="1104">
        <v>12.303001499083893</v>
      </c>
      <c r="AU126" s="1098">
        <v>11.833235245127979</v>
      </c>
      <c r="AV126" s="1099">
        <v>13.16177866119518</v>
      </c>
      <c r="AW126" s="1099">
        <v>11.913434875774596</v>
      </c>
      <c r="AX126" s="1099">
        <v>10.359787933094385</v>
      </c>
      <c r="AY126" s="1099">
        <v>11.225512776043473</v>
      </c>
      <c r="AZ126" s="1099">
        <v>11.783449223416966</v>
      </c>
      <c r="BA126" s="1099">
        <v>12.887170193085906</v>
      </c>
      <c r="BB126" s="1099">
        <v>11.879094693028099</v>
      </c>
      <c r="BC126" s="1099">
        <v>11.012008363201911</v>
      </c>
      <c r="BD126" s="1099">
        <v>11.616417504913866</v>
      </c>
      <c r="BE126" s="1099">
        <v>9.7624408602150545</v>
      </c>
      <c r="BF126" s="1099">
        <v>10.592733842062668</v>
      </c>
      <c r="BG126" s="1105">
        <v>10.666481096080471</v>
      </c>
      <c r="BH126" s="1105">
        <v>10.386274961597541</v>
      </c>
      <c r="BI126" s="1105">
        <v>8.861351023239683</v>
      </c>
      <c r="BJ126" s="1105">
        <v>8.9163709677419334</v>
      </c>
      <c r="BK126" s="1105">
        <v>9.140157821713494</v>
      </c>
      <c r="BL126" s="1105">
        <v>9.9048978494623672</v>
      </c>
      <c r="BM126" s="1105">
        <v>10.301016302462713</v>
      </c>
      <c r="BN126" s="1105">
        <v>10.355246849346749</v>
      </c>
      <c r="BO126" s="1105">
        <v>9.1700824372759833</v>
      </c>
      <c r="BP126" s="1105">
        <v>10.204243265117354</v>
      </c>
      <c r="BQ126" s="1105">
        <v>10.614738351254479</v>
      </c>
      <c r="BR126" s="1105">
        <v>11.737817088680773</v>
      </c>
      <c r="BS126" s="1106">
        <v>11.429685512776045</v>
      </c>
      <c r="BT126" s="1107">
        <v>10.747243851192684</v>
      </c>
      <c r="BU126" s="1107">
        <v>11.709996531390914</v>
      </c>
      <c r="BV126" s="1107">
        <v>11.132824970131422</v>
      </c>
      <c r="BW126" s="1107">
        <v>12.037675172134469</v>
      </c>
      <c r="BX126" s="1107">
        <v>13.099382317801675</v>
      </c>
      <c r="BY126" s="1107">
        <v>15.626774193548389</v>
      </c>
      <c r="BZ126" s="1107">
        <v>13.993035641369655</v>
      </c>
      <c r="CA126" s="1107">
        <v>13.327484026521999</v>
      </c>
      <c r="CB126" s="1107">
        <v>13.84553462054483</v>
      </c>
      <c r="CC126" s="1107">
        <v>13.111271850512356</v>
      </c>
      <c r="CD126" s="1107">
        <v>9.8598874176048579</v>
      </c>
      <c r="CE126" s="1087">
        <v>10.902152482062649</v>
      </c>
      <c r="CF126" s="1088">
        <v>12.120010979075172</v>
      </c>
      <c r="CG126" s="1088">
        <v>13.757874934375545</v>
      </c>
      <c r="CH126" s="1088">
        <v>12.758330922242312</v>
      </c>
      <c r="CI126" s="1088">
        <v>11.928569095257538</v>
      </c>
      <c r="CJ126" s="1088">
        <v>11.644195298372514</v>
      </c>
      <c r="CK126" s="1088">
        <v>12.087508604094964</v>
      </c>
      <c r="CL126" s="1088">
        <v>13.405533453887887</v>
      </c>
      <c r="CM126" s="1088">
        <v>13.659364677516573</v>
      </c>
      <c r="CN126" s="1088">
        <v>14.405084874292717</v>
      </c>
      <c r="CO126" s="1088">
        <v>15.881936106087998</v>
      </c>
      <c r="CP126" s="1088">
        <v>13.719256256197863</v>
      </c>
      <c r="CQ126" s="1108">
        <v>16.179477337688851</v>
      </c>
      <c r="CR126" s="1109">
        <v>14.729516274864379</v>
      </c>
      <c r="CS126" s="1109">
        <v>15.92953158723677</v>
      </c>
      <c r="CT126" s="1109">
        <v>15.601619047619048</v>
      </c>
      <c r="CU126" s="1109">
        <v>15.01838126348947</v>
      </c>
      <c r="CV126" s="1109">
        <v>15.165280289330923</v>
      </c>
      <c r="CW126" s="1109">
        <v>16.649999999999999</v>
      </c>
      <c r="CX126" s="1109">
        <v>15.074548736462095</v>
      </c>
      <c r="CY126" s="1109">
        <v>17.310649819494586</v>
      </c>
      <c r="CZ126" s="1109">
        <v>16.305776173285203</v>
      </c>
      <c r="DA126" s="1109">
        <v>19.599765342960289</v>
      </c>
      <c r="DB126" s="1110">
        <v>18.015234657039713</v>
      </c>
      <c r="DC126" s="1091">
        <v>16.675234657039713</v>
      </c>
      <c r="DD126" s="1091">
        <v>14.679061371841154</v>
      </c>
      <c r="DE126" s="1091">
        <v>17.939169675090252</v>
      </c>
      <c r="DF126" s="1091">
        <v>14.228285198555957</v>
      </c>
      <c r="DG126" s="1091">
        <v>16.541516245487362</v>
      </c>
      <c r="DH126" s="1091">
        <v>20.918953068592057</v>
      </c>
      <c r="DI126" s="1091">
        <v>16.079422382671485</v>
      </c>
      <c r="DJ126" s="1091">
        <v>12.746515679442506</v>
      </c>
      <c r="DK126" s="1091">
        <v>13.373519163763067</v>
      </c>
      <c r="DL126" s="1091">
        <v>14.230487804878049</v>
      </c>
      <c r="DM126" s="1091">
        <v>15.438078291814946</v>
      </c>
      <c r="DN126" s="1092">
        <v>13.823550724637682</v>
      </c>
      <c r="DO126" s="1091">
        <v>13.466104294478528</v>
      </c>
      <c r="DP126" s="1091">
        <v>13.677453987730063</v>
      </c>
      <c r="DQ126" s="1091">
        <v>13.128527607361965</v>
      </c>
      <c r="DR126" s="1091">
        <v>11.476687116564417</v>
      </c>
      <c r="DS126" s="1091">
        <v>10.376993865030675</v>
      </c>
      <c r="DT126" s="1091">
        <v>12.119018404907976</v>
      </c>
      <c r="DU126" s="1091">
        <v>11.435429447852764</v>
      </c>
      <c r="DV126" s="1091">
        <v>13.748312883435585</v>
      </c>
      <c r="DW126" s="1091">
        <v>14.922392638036809</v>
      </c>
      <c r="DX126" s="1091">
        <v>18.957822085889575</v>
      </c>
      <c r="DY126" s="1091">
        <v>12.103067484662576</v>
      </c>
      <c r="DZ126" s="1091">
        <v>11.88282208588957</v>
      </c>
      <c r="EA126" s="1099"/>
      <c r="EB126" s="1111">
        <v>8.1619383183049052</v>
      </c>
      <c r="EC126" s="1112">
        <v>8.8021809132121387</v>
      </c>
      <c r="ED126" s="1112">
        <v>9.0013791345983112</v>
      </c>
      <c r="EE126" s="1112">
        <v>10.233674886587782</v>
      </c>
      <c r="EF126" s="1112">
        <v>11.497966562909902</v>
      </c>
      <c r="EG126" s="1112">
        <v>10.022613983404518</v>
      </c>
      <c r="EH126" s="1112">
        <v>12.497478122709586</v>
      </c>
      <c r="EI126" s="1112">
        <v>13.02482325546832</v>
      </c>
      <c r="EJ126" s="1112">
        <f t="shared" si="16"/>
        <v>16.298315044122614</v>
      </c>
      <c r="EK126" s="1113">
        <v>15.540003721331056</v>
      </c>
      <c r="EL126" s="1112">
        <f t="shared" si="17"/>
        <v>13.107885991820043</v>
      </c>
      <c r="EM126" s="1318">
        <v>13.152453987730063</v>
      </c>
    </row>
    <row r="127" spans="1:143">
      <c r="A127" s="998"/>
      <c r="B127" s="1166" t="s">
        <v>713</v>
      </c>
      <c r="C127" s="1171" t="s">
        <v>714</v>
      </c>
      <c r="D127" s="1098">
        <v>4.0090666666666666</v>
      </c>
      <c r="E127" s="1099">
        <v>3.7694348387096772</v>
      </c>
      <c r="F127" s="1099">
        <v>4.1745987096774195</v>
      </c>
      <c r="G127" s="1099">
        <v>4.9816640000000003</v>
      </c>
      <c r="H127" s="1099">
        <v>4.7491612903225811</v>
      </c>
      <c r="I127" s="1099">
        <v>4.5748533333333334</v>
      </c>
      <c r="J127" s="1100">
        <v>4.27458064516129</v>
      </c>
      <c r="K127" s="1101">
        <v>6.9519879969992502</v>
      </c>
      <c r="L127" s="1102">
        <v>5.3698477751756437</v>
      </c>
      <c r="M127" s="1102">
        <v>7.3245637228979374</v>
      </c>
      <c r="N127" s="1102">
        <v>6.3873770491803272</v>
      </c>
      <c r="O127" s="1102">
        <v>5.9756742464304597</v>
      </c>
      <c r="P127" s="1102">
        <v>6.1833278688524587</v>
      </c>
      <c r="Q127" s="1102">
        <v>5.7276890534108942</v>
      </c>
      <c r="R127" s="1102">
        <v>6.2145267054468531</v>
      </c>
      <c r="S127" s="1102">
        <v>4.6156120218579231</v>
      </c>
      <c r="T127" s="1102">
        <v>5.621998942358541</v>
      </c>
      <c r="U127" s="1102">
        <v>5.7538251366120221</v>
      </c>
      <c r="V127" s="1103">
        <v>4.132205182443152</v>
      </c>
      <c r="W127" s="1098">
        <v>5.3635642517186675</v>
      </c>
      <c r="X127" s="1099">
        <v>6.0231769361221028</v>
      </c>
      <c r="Y127" s="1099">
        <v>5.6242728714965624</v>
      </c>
      <c r="Z127" s="1099">
        <v>7.1314207650273227</v>
      </c>
      <c r="AA127" s="1099">
        <v>5.8736118455843469</v>
      </c>
      <c r="AB127" s="1099">
        <v>6.1877049180327868</v>
      </c>
      <c r="AC127" s="1099">
        <v>7.1652564780539398</v>
      </c>
      <c r="AD127" s="1099">
        <v>10.789000528820729</v>
      </c>
      <c r="AE127" s="1099">
        <v>9.0207650273224047</v>
      </c>
      <c r="AF127" s="1099">
        <v>8.8310417768376528</v>
      </c>
      <c r="AG127" s="1099">
        <v>5.7650273224043715</v>
      </c>
      <c r="AH127" s="1100">
        <v>6.5446853516657857</v>
      </c>
      <c r="AI127" s="1104">
        <v>6.3891129032258061</v>
      </c>
      <c r="AJ127" s="1104">
        <v>8.2287946428571423</v>
      </c>
      <c r="AK127" s="1104">
        <v>9.2524193548387093</v>
      </c>
      <c r="AL127" s="1104">
        <v>6.6422222222222222</v>
      </c>
      <c r="AM127" s="1104">
        <v>7.0483870967741939</v>
      </c>
      <c r="AN127" s="1104">
        <v>7.1188888888888888</v>
      </c>
      <c r="AO127" s="1104">
        <v>7.6862903225806454</v>
      </c>
      <c r="AP127" s="1104">
        <v>6.9290322580645158</v>
      </c>
      <c r="AQ127" s="1104">
        <v>5.4144444444444444</v>
      </c>
      <c r="AR127" s="1104">
        <v>5.939516129032258</v>
      </c>
      <c r="AS127" s="1104">
        <v>5.6922222222222221</v>
      </c>
      <c r="AT127" s="1104">
        <v>6.3572580645161292</v>
      </c>
      <c r="AU127" s="1098">
        <v>7.7672043010752692</v>
      </c>
      <c r="AV127" s="1099">
        <v>8.4214285714285708</v>
      </c>
      <c r="AW127" s="1099">
        <v>10.177150537634409</v>
      </c>
      <c r="AX127" s="1099">
        <v>8.5522222222222215</v>
      </c>
      <c r="AY127" s="1099">
        <v>8.4276881720430108</v>
      </c>
      <c r="AZ127" s="1099">
        <v>7.9955555555555557</v>
      </c>
      <c r="BA127" s="1099">
        <v>8.2123655913978499</v>
      </c>
      <c r="BB127" s="1099">
        <v>7.599462365591398</v>
      </c>
      <c r="BC127" s="1099">
        <v>8.169722222222223</v>
      </c>
      <c r="BD127" s="1099">
        <v>8.9142473118279568</v>
      </c>
      <c r="BE127" s="1099">
        <v>8.9633333333333329</v>
      </c>
      <c r="BF127" s="1099">
        <v>6.8529569892473114</v>
      </c>
      <c r="BG127" s="1105">
        <v>6.5266129032258062</v>
      </c>
      <c r="BH127" s="1105">
        <v>8.1413690476190474</v>
      </c>
      <c r="BI127" s="1105">
        <v>7.2403225806451612</v>
      </c>
      <c r="BJ127" s="1105">
        <v>7.078611111111111</v>
      </c>
      <c r="BK127" s="1105">
        <v>6.8443548387096778</v>
      </c>
      <c r="BL127" s="1105">
        <v>7.4866666666666664</v>
      </c>
      <c r="BM127" s="1105">
        <v>7.6594086021505374</v>
      </c>
      <c r="BN127" s="1105">
        <v>7.5250000000000004</v>
      </c>
      <c r="BO127" s="1105">
        <v>8.1274999999999995</v>
      </c>
      <c r="BP127" s="1105">
        <v>10.571236559139784</v>
      </c>
      <c r="BQ127" s="1105">
        <v>9.413333333333334</v>
      </c>
      <c r="BR127" s="1105">
        <v>9.3456989247311828</v>
      </c>
      <c r="BS127" s="1106">
        <v>8.509408602150538</v>
      </c>
      <c r="BT127" s="1107">
        <v>8.6393678160919531</v>
      </c>
      <c r="BU127" s="1107">
        <v>8.5749999999999993</v>
      </c>
      <c r="BV127" s="1107">
        <v>8.9111111111111114</v>
      </c>
      <c r="BW127" s="1107">
        <v>10.099731182795699</v>
      </c>
      <c r="BX127" s="1107">
        <v>8.6052777777777774</v>
      </c>
      <c r="BY127" s="1107">
        <v>9.4930107526881713</v>
      </c>
      <c r="BZ127" s="1107">
        <v>8.3932795698924725</v>
      </c>
      <c r="CA127" s="1107">
        <v>9.8458333333333332</v>
      </c>
      <c r="CB127" s="1107">
        <v>8.5881720430107524</v>
      </c>
      <c r="CC127" s="1107">
        <v>9.318888888888889</v>
      </c>
      <c r="CD127" s="1107">
        <v>6.7750000000000004</v>
      </c>
      <c r="CE127" s="1087">
        <v>7.1553763440860214</v>
      </c>
      <c r="CF127" s="1088">
        <v>6.9630952380952378</v>
      </c>
      <c r="CG127" s="1088">
        <v>7.165322580645161</v>
      </c>
      <c r="CH127" s="1088">
        <v>7.1372222222222224</v>
      </c>
      <c r="CI127" s="1088">
        <v>9.0411290322580644</v>
      </c>
      <c r="CJ127" s="1088">
        <v>7.658611111111111</v>
      </c>
      <c r="CK127" s="1088">
        <v>7.2249999999999996</v>
      </c>
      <c r="CL127" s="1088">
        <v>5.8169354838709681</v>
      </c>
      <c r="CM127" s="1088">
        <v>8.5299805555555555</v>
      </c>
      <c r="CN127" s="1088">
        <v>8.1854650537634406</v>
      </c>
      <c r="CO127" s="1088">
        <v>10.350833333333334</v>
      </c>
      <c r="CP127" s="1088">
        <v>8.1881720430107521</v>
      </c>
      <c r="CQ127" s="1108">
        <v>10.222685483870968</v>
      </c>
      <c r="CR127" s="1109">
        <v>10.650116071428572</v>
      </c>
      <c r="CS127" s="1109">
        <v>11.022685483870967</v>
      </c>
      <c r="CT127" s="1109">
        <v>7.8214972222222219</v>
      </c>
      <c r="CU127" s="1109">
        <v>9.7804811827956986</v>
      </c>
      <c r="CV127" s="1109">
        <v>10.36</v>
      </c>
      <c r="CW127" s="1109">
        <v>12.36</v>
      </c>
      <c r="CX127" s="1109">
        <v>11.234999999999999</v>
      </c>
      <c r="CY127" s="1109">
        <v>13.265000000000001</v>
      </c>
      <c r="CZ127" s="1109">
        <v>42.06</v>
      </c>
      <c r="DA127" s="1109">
        <v>19.683999999999997</v>
      </c>
      <c r="DB127" s="1110">
        <v>6.4027500000000002</v>
      </c>
      <c r="DC127" s="1091">
        <v>9.9179999999999993</v>
      </c>
      <c r="DD127" s="1091">
        <v>8.3574999999999999</v>
      </c>
      <c r="DE127" s="1091">
        <v>5.7099999999999991</v>
      </c>
      <c r="DF127" s="1091">
        <v>11.797499999999999</v>
      </c>
      <c r="DG127" s="1091">
        <v>8.2799999999999994</v>
      </c>
      <c r="DH127" s="1091">
        <v>6.3574999999999999</v>
      </c>
      <c r="DI127" s="1091">
        <v>5.5825000000000005</v>
      </c>
      <c r="DJ127" s="1091">
        <v>5.1838709677419352</v>
      </c>
      <c r="DK127" s="1091">
        <v>5.3443548387096778</v>
      </c>
      <c r="DL127" s="1091">
        <v>5.3725806451612899</v>
      </c>
      <c r="DM127" s="1091">
        <v>4.3842857142857143</v>
      </c>
      <c r="DN127" s="1092">
        <v>5.6985714285714293</v>
      </c>
      <c r="DO127" s="1091">
        <v>6.3523076923076927</v>
      </c>
      <c r="DP127" s="1091">
        <v>6.6738461538461546</v>
      </c>
      <c r="DQ127" s="1091">
        <v>7.5538461538461537</v>
      </c>
      <c r="DR127" s="1091">
        <v>6.3153846153846152</v>
      </c>
      <c r="DS127" s="1091">
        <v>5.3676923076923071</v>
      </c>
      <c r="DT127" s="1091">
        <v>4.2523076923076921</v>
      </c>
      <c r="DU127" s="1091">
        <v>4.367692307692308</v>
      </c>
      <c r="DV127" s="1091">
        <v>5.1169230769230767</v>
      </c>
      <c r="DW127" s="1091">
        <v>4.3969230769230769</v>
      </c>
      <c r="DX127" s="1091">
        <v>6.3692307692307688</v>
      </c>
      <c r="DY127" s="1091">
        <v>7.52</v>
      </c>
      <c r="DZ127" s="1091">
        <v>11.6</v>
      </c>
      <c r="EA127" s="1099"/>
      <c r="EB127" s="1111">
        <v>4.5556637313530919</v>
      </c>
      <c r="EC127" s="1112">
        <v>5.8321205141198673</v>
      </c>
      <c r="ED127" s="1112">
        <v>7.032115022843322</v>
      </c>
      <c r="EE127" s="1112">
        <v>6.8919407300325259</v>
      </c>
      <c r="EF127" s="1112">
        <v>8.3361872146118721</v>
      </c>
      <c r="EG127" s="1112">
        <v>7.9951598173515981</v>
      </c>
      <c r="EH127" s="1112">
        <v>8.8098816029143858</v>
      </c>
      <c r="EI127" s="1112">
        <v>7.7845630136986301</v>
      </c>
      <c r="EJ127" s="1112">
        <f t="shared" si="16"/>
        <v>13.738684620349034</v>
      </c>
      <c r="EK127" s="1113">
        <v>6.7583867982726717</v>
      </c>
      <c r="EL127" s="1112">
        <f t="shared" si="17"/>
        <v>6.3238461538461541</v>
      </c>
      <c r="EM127" s="1318">
        <v>6.6520512820512812</v>
      </c>
    </row>
    <row r="128" spans="1:143">
      <c r="A128" s="998"/>
      <c r="B128" s="1166" t="s">
        <v>715</v>
      </c>
      <c r="C128" s="1171" t="s">
        <v>716</v>
      </c>
      <c r="D128" s="1098">
        <v>4.12</v>
      </c>
      <c r="E128" s="1099">
        <v>3.3548387096774195</v>
      </c>
      <c r="F128" s="1099">
        <v>4.0387096774193552</v>
      </c>
      <c r="G128" s="1099">
        <v>3.4</v>
      </c>
      <c r="H128" s="1099">
        <v>2.8903225806451611</v>
      </c>
      <c r="I128" s="1099">
        <v>4</v>
      </c>
      <c r="J128" s="1100">
        <v>1.935483870967742</v>
      </c>
      <c r="K128" s="1101">
        <v>2.9453015427769986</v>
      </c>
      <c r="L128" s="1102">
        <v>7.6863354037267078</v>
      </c>
      <c r="M128" s="1102">
        <v>3.3660589060308554</v>
      </c>
      <c r="N128" s="1102">
        <v>4.3478260869565215</v>
      </c>
      <c r="O128" s="1102">
        <v>2.9453015427769986</v>
      </c>
      <c r="P128" s="1102">
        <v>3.4782608695652173</v>
      </c>
      <c r="Q128" s="1102">
        <v>2.1037868162692845</v>
      </c>
      <c r="R128" s="1102">
        <v>3.3660589060308554</v>
      </c>
      <c r="S128" s="1102">
        <v>3.0434782608695654</v>
      </c>
      <c r="T128" s="1102">
        <v>4.2075736325385691</v>
      </c>
      <c r="U128" s="1102">
        <v>7.6086956521739131</v>
      </c>
      <c r="V128" s="1103">
        <v>3.7868162692847123</v>
      </c>
      <c r="W128" s="1098">
        <v>3.7868162692847123</v>
      </c>
      <c r="X128" s="1099">
        <v>3.4782608695652173</v>
      </c>
      <c r="Y128" s="1099">
        <v>3.7868162692847123</v>
      </c>
      <c r="Z128" s="1099">
        <v>3.3333333333333335</v>
      </c>
      <c r="AA128" s="1099">
        <v>0.98176718092566617</v>
      </c>
      <c r="AB128" s="1099">
        <v>3.4782608695652173</v>
      </c>
      <c r="AC128" s="1099">
        <v>3.7868162692847123</v>
      </c>
      <c r="AD128" s="1099">
        <v>3.7868162692847123</v>
      </c>
      <c r="AE128" s="1099">
        <v>3.4782608695652173</v>
      </c>
      <c r="AF128" s="1099">
        <v>3.7868162692847123</v>
      </c>
      <c r="AG128" s="1099">
        <v>3.9130434782608696</v>
      </c>
      <c r="AH128" s="1100">
        <v>3.6465638148667603</v>
      </c>
      <c r="AI128" s="1104">
        <v>3.4838709677419355</v>
      </c>
      <c r="AJ128" s="1104">
        <v>3</v>
      </c>
      <c r="AK128" s="1104">
        <v>2.3225806451612905</v>
      </c>
      <c r="AL128" s="1104">
        <v>2.6666666666666665</v>
      </c>
      <c r="AM128" s="1104">
        <v>2.064516129032258</v>
      </c>
      <c r="AN128" s="1104">
        <v>1.8666666666666667</v>
      </c>
      <c r="AO128" s="1104">
        <v>2.064516129032258</v>
      </c>
      <c r="AP128" s="1104">
        <v>4.8</v>
      </c>
      <c r="AQ128" s="1104">
        <v>1.8666666666666667</v>
      </c>
      <c r="AR128" s="1104">
        <v>1.5483870967741935</v>
      </c>
      <c r="AS128" s="1104">
        <v>2.1333333333333333</v>
      </c>
      <c r="AT128" s="1104">
        <v>2.3225806451612905</v>
      </c>
      <c r="AU128" s="1098">
        <v>2.064516129032258</v>
      </c>
      <c r="AV128" s="1099">
        <v>2.8571428571428572</v>
      </c>
      <c r="AW128" s="1099">
        <v>2.193548387096774</v>
      </c>
      <c r="AX128" s="1099">
        <v>2.8</v>
      </c>
      <c r="AY128" s="1099">
        <v>3.4838709677419355</v>
      </c>
      <c r="AZ128" s="1099">
        <v>5</v>
      </c>
      <c r="BA128" s="1099">
        <v>2.0516129032258066</v>
      </c>
      <c r="BB128" s="1099">
        <v>3.4838709677419355</v>
      </c>
      <c r="BC128" s="1099">
        <v>2.6666666666666665</v>
      </c>
      <c r="BD128" s="1099">
        <v>3.032258064516129</v>
      </c>
      <c r="BE128" s="1099">
        <v>2.9066666666666667</v>
      </c>
      <c r="BF128" s="1099">
        <v>3.0193548387096776</v>
      </c>
      <c r="BG128" s="1105">
        <v>2.0903225806451613</v>
      </c>
      <c r="BH128" s="1105">
        <v>2.4142857142857141</v>
      </c>
      <c r="BI128" s="1105">
        <v>2.5548387096774192</v>
      </c>
      <c r="BJ128" s="1105">
        <v>2.8</v>
      </c>
      <c r="BK128" s="1105">
        <v>2.8</v>
      </c>
      <c r="BL128" s="1105">
        <v>2.16</v>
      </c>
      <c r="BM128" s="1105">
        <v>2.5290322580645159</v>
      </c>
      <c r="BN128" s="1105">
        <v>2.5935483870967744</v>
      </c>
      <c r="BO128" s="1105">
        <v>2.68</v>
      </c>
      <c r="BP128" s="1105">
        <v>2.8</v>
      </c>
      <c r="BQ128" s="1105">
        <v>3.0133333333333332</v>
      </c>
      <c r="BR128" s="1105">
        <v>2.3870967741935485</v>
      </c>
      <c r="BS128" s="1106">
        <v>1.9225806451612903</v>
      </c>
      <c r="BT128" s="1107">
        <v>2.8</v>
      </c>
      <c r="BU128" s="1107">
        <v>2.4</v>
      </c>
      <c r="BV128" s="1107">
        <v>2.8666666666666667</v>
      </c>
      <c r="BW128" s="1107">
        <v>3.1225806451612903</v>
      </c>
      <c r="BX128" s="1107">
        <v>2.6</v>
      </c>
      <c r="BY128" s="1107">
        <v>2.3870967741935485</v>
      </c>
      <c r="BZ128" s="1107">
        <v>2.4774193548387098</v>
      </c>
      <c r="CA128" s="1107">
        <v>2.7333333333333334</v>
      </c>
      <c r="CB128" s="1107">
        <v>1.5483870967741935</v>
      </c>
      <c r="CC128" s="1107">
        <v>2.96</v>
      </c>
      <c r="CD128" s="1107">
        <v>2.6967741935483871</v>
      </c>
      <c r="CE128" s="1087">
        <v>2.9729032258064518</v>
      </c>
      <c r="CF128" s="1088">
        <v>2.7771428571428571</v>
      </c>
      <c r="CG128" s="1088">
        <v>3.2051612903225806</v>
      </c>
      <c r="CH128" s="1088">
        <v>3.84</v>
      </c>
      <c r="CI128" s="1088">
        <v>4.4129032258064518</v>
      </c>
      <c r="CJ128" s="1088">
        <v>3.76</v>
      </c>
      <c r="CK128" s="1088">
        <v>4</v>
      </c>
      <c r="CL128" s="1088">
        <v>3.1741935483870969</v>
      </c>
      <c r="CM128" s="1088">
        <v>3.12</v>
      </c>
      <c r="CN128" s="1088">
        <v>3.4890322580645163</v>
      </c>
      <c r="CO128" s="1088">
        <v>3.3279999999999998</v>
      </c>
      <c r="CP128" s="1088">
        <v>3.9251612903225808</v>
      </c>
      <c r="CQ128" s="1108">
        <v>2.8851612903225807</v>
      </c>
      <c r="CR128" s="1109">
        <v>2.8414285714285716</v>
      </c>
      <c r="CS128" s="1109">
        <v>3.12</v>
      </c>
      <c r="CT128" s="1109">
        <v>1.9933333333333334</v>
      </c>
      <c r="CU128" s="1109">
        <v>2.9019354838709677</v>
      </c>
      <c r="CV128" s="1109">
        <v>3.5</v>
      </c>
      <c r="CW128" s="1109">
        <v>3.5</v>
      </c>
      <c r="CX128" s="1109">
        <v>4.8</v>
      </c>
      <c r="CY128" s="1109">
        <v>4</v>
      </c>
      <c r="CZ128" s="1109">
        <v>4.0999999999999996</v>
      </c>
      <c r="DA128" s="1109">
        <v>3.74</v>
      </c>
      <c r="DB128" s="1110">
        <v>4.24</v>
      </c>
      <c r="DC128" s="1091">
        <v>3.64</v>
      </c>
      <c r="DD128" s="1091">
        <v>3.6</v>
      </c>
      <c r="DE128" s="1091">
        <v>4.2</v>
      </c>
      <c r="DF128" s="1091">
        <v>3.64</v>
      </c>
      <c r="DG128" s="1091">
        <v>4.2</v>
      </c>
      <c r="DH128" s="1091">
        <v>3.7</v>
      </c>
      <c r="DI128" s="1091">
        <v>4.2</v>
      </c>
      <c r="DJ128" s="1091">
        <v>3.5</v>
      </c>
      <c r="DK128" s="1091">
        <v>5.9</v>
      </c>
      <c r="DL128" s="1091">
        <v>5.4</v>
      </c>
      <c r="DM128" s="1091">
        <v>4.9000000000000004</v>
      </c>
      <c r="DN128" s="1092">
        <v>5.3</v>
      </c>
      <c r="DO128" s="1091">
        <v>9.8636363636363633</v>
      </c>
      <c r="DP128" s="1091">
        <v>15.7</v>
      </c>
      <c r="DQ128" s="1091">
        <v>8.2545454545454557</v>
      </c>
      <c r="DR128" s="1091">
        <v>9.463636363636363</v>
      </c>
      <c r="DS128" s="1091">
        <v>9.7818181818181813</v>
      </c>
      <c r="DT128" s="1091">
        <v>12.163636363636364</v>
      </c>
      <c r="DU128" s="1091">
        <v>13.054545454545456</v>
      </c>
      <c r="DV128" s="1091">
        <v>15.236363636363638</v>
      </c>
      <c r="DW128" s="1091">
        <v>9.0909090909090917</v>
      </c>
      <c r="DX128" s="1091">
        <v>18.781818181818181</v>
      </c>
      <c r="DY128" s="1091">
        <v>6.5636363636363635</v>
      </c>
      <c r="DZ128" s="1091">
        <v>8.7545454545454557</v>
      </c>
      <c r="EA128" s="1099"/>
      <c r="EB128" s="1111">
        <v>3.3460264900662251</v>
      </c>
      <c r="EC128" s="1112">
        <v>4.0381179273377006</v>
      </c>
      <c r="ED128" s="1112">
        <v>3.4354953670705632</v>
      </c>
      <c r="EE128" s="1112">
        <v>2.5117808219178084</v>
      </c>
      <c r="EF128" s="1112">
        <v>2.9599999999999995</v>
      </c>
      <c r="EG128" s="1112">
        <v>2.5687671232876714</v>
      </c>
      <c r="EH128" s="1112">
        <v>2.5387978142076504</v>
      </c>
      <c r="EI128" s="1112">
        <v>3.5061917808219181</v>
      </c>
      <c r="EJ128" s="1112">
        <f t="shared" si="16"/>
        <v>3.4684882232462879</v>
      </c>
      <c r="EK128" s="1113">
        <v>4.3360646599777031</v>
      </c>
      <c r="EL128" s="1112">
        <f t="shared" si="17"/>
        <v>11.392424242424243</v>
      </c>
      <c r="EM128" s="1318">
        <v>11.271969696969697</v>
      </c>
    </row>
    <row r="129" spans="1:143">
      <c r="A129" s="998"/>
      <c r="B129" s="1166" t="s">
        <v>717</v>
      </c>
      <c r="C129" s="1171" t="s">
        <v>718</v>
      </c>
      <c r="D129" s="1098">
        <v>8.7796000000000003</v>
      </c>
      <c r="E129" s="1099">
        <v>4.2152522920203737</v>
      </c>
      <c r="F129" s="1099">
        <v>4.6223711055969119</v>
      </c>
      <c r="G129" s="1099">
        <v>3.9335749636011643</v>
      </c>
      <c r="H129" s="1099">
        <v>4.5921549789621317</v>
      </c>
      <c r="I129" s="1099">
        <v>5.8686761487964993</v>
      </c>
      <c r="J129" s="1100">
        <v>5.4542838709677417</v>
      </c>
      <c r="K129" s="1101">
        <v>7.1708137044967879</v>
      </c>
      <c r="L129" s="1102">
        <v>6.4950482074959268</v>
      </c>
      <c r="M129" s="1102">
        <v>7.3998493735004001</v>
      </c>
      <c r="N129" s="1102">
        <v>7.6984573002754821</v>
      </c>
      <c r="O129" s="1102">
        <v>11.253327112769927</v>
      </c>
      <c r="P129" s="1102">
        <v>8.2786480716253443</v>
      </c>
      <c r="Q129" s="1102">
        <v>8.6802006131698182</v>
      </c>
      <c r="R129" s="1102">
        <v>8.1676346307651286</v>
      </c>
      <c r="S129" s="1102">
        <v>8.3790460481099682</v>
      </c>
      <c r="T129" s="1102">
        <v>9.7101030927835055</v>
      </c>
      <c r="U129" s="1102">
        <v>9.5717146776406032</v>
      </c>
      <c r="V129" s="1103">
        <v>11.208730295976057</v>
      </c>
      <c r="W129" s="1098">
        <v>9.4493980711672769</v>
      </c>
      <c r="X129" s="1099">
        <v>9.2234184145040903</v>
      </c>
      <c r="Y129" s="1099">
        <v>10.693674758895909</v>
      </c>
      <c r="Z129" s="1099">
        <v>11.853149140893473</v>
      </c>
      <c r="AA129" s="1099">
        <v>10.356005986032592</v>
      </c>
      <c r="AB129" s="1099">
        <v>9.9772742268041252</v>
      </c>
      <c r="AC129" s="1099">
        <v>10.915131360159627</v>
      </c>
      <c r="AD129" s="1099">
        <v>12.71679414699036</v>
      </c>
      <c r="AE129" s="1099">
        <v>12.200417869415809</v>
      </c>
      <c r="AF129" s="1099">
        <v>10.352470901230463</v>
      </c>
      <c r="AG129" s="1099">
        <v>12.383947766323024</v>
      </c>
      <c r="AH129" s="1100">
        <v>10.38112804677748</v>
      </c>
      <c r="AI129" s="1104">
        <v>10.268464207685387</v>
      </c>
      <c r="AJ129" s="1104">
        <v>9.8787835926449787</v>
      </c>
      <c r="AK129" s="1104">
        <v>10.138852757544225</v>
      </c>
      <c r="AL129" s="1104">
        <v>9.1897311827956969</v>
      </c>
      <c r="AM129" s="1104">
        <v>9.1664880332986485</v>
      </c>
      <c r="AN129" s="1104">
        <v>9.9055537634408619</v>
      </c>
      <c r="AO129" s="1104">
        <v>10.839365244536943</v>
      </c>
      <c r="AP129" s="1104">
        <v>10.992744536940688</v>
      </c>
      <c r="AQ129" s="1104">
        <v>10.862475806451615</v>
      </c>
      <c r="AR129" s="1104">
        <v>9.2328590010405804</v>
      </c>
      <c r="AS129" s="1104">
        <v>9.9760436827956962</v>
      </c>
      <c r="AT129" s="1104">
        <v>9.6559703433922994</v>
      </c>
      <c r="AU129" s="1098">
        <v>9.3381178459937555</v>
      </c>
      <c r="AV129" s="1099">
        <v>9.2889731311519022</v>
      </c>
      <c r="AW129" s="1099">
        <v>7.725806451612903</v>
      </c>
      <c r="AX129" s="1099">
        <v>8.8107759155803844</v>
      </c>
      <c r="AY129" s="1099">
        <v>8.483315312068239</v>
      </c>
      <c r="AZ129" s="1099">
        <v>8.6977932960893867</v>
      </c>
      <c r="BA129" s="1099">
        <v>8.066795819066499</v>
      </c>
      <c r="BB129" s="1099">
        <v>8.3791163573016156</v>
      </c>
      <c r="BC129" s="1099">
        <v>8.1897982619491003</v>
      </c>
      <c r="BD129" s="1099">
        <v>8.5000840992371014</v>
      </c>
      <c r="BE129" s="1099">
        <v>8.7947113594040971</v>
      </c>
      <c r="BF129" s="1099">
        <v>8.5812698984802047</v>
      </c>
      <c r="BG129" s="1105">
        <v>7.6729134378566721</v>
      </c>
      <c r="BH129" s="1105">
        <v>9.6245710295291307</v>
      </c>
      <c r="BI129" s="1105">
        <v>8.3789463567009079</v>
      </c>
      <c r="BJ129" s="1105">
        <v>8.8727852265673484</v>
      </c>
      <c r="BK129" s="1105">
        <v>8.183913017360485</v>
      </c>
      <c r="BL129" s="1105">
        <v>10.550929857231536</v>
      </c>
      <c r="BM129" s="1105">
        <v>11.863753228809996</v>
      </c>
      <c r="BN129" s="1105">
        <v>11.590636751366612</v>
      </c>
      <c r="BO129" s="1105">
        <v>11.293116076970826</v>
      </c>
      <c r="BP129" s="1105">
        <v>12.220395266414371</v>
      </c>
      <c r="BQ129" s="1105">
        <v>12.733842333954067</v>
      </c>
      <c r="BR129" s="1105">
        <v>11.426772391421876</v>
      </c>
      <c r="BS129" s="1106">
        <v>13.139911095092202</v>
      </c>
      <c r="BT129" s="1107">
        <v>14.053202337378796</v>
      </c>
      <c r="BU129" s="1107">
        <v>14.917999038865863</v>
      </c>
      <c r="BV129" s="1107">
        <v>14.6141669770329</v>
      </c>
      <c r="BW129" s="1107">
        <v>19.057307622995133</v>
      </c>
      <c r="BX129" s="1107">
        <v>18.319490999379273</v>
      </c>
      <c r="BY129" s="1107">
        <v>19.052506468863204</v>
      </c>
      <c r="BZ129" s="1107">
        <v>17.879092634121097</v>
      </c>
      <c r="CA129" s="1107">
        <v>17.814426619132504</v>
      </c>
      <c r="CB129" s="1107">
        <v>17.667874187798287</v>
      </c>
      <c r="CC129" s="1107">
        <v>16.306298276886508</v>
      </c>
      <c r="CD129" s="1107">
        <v>15.560418607325632</v>
      </c>
      <c r="CE129" s="1087">
        <v>15.792452417917316</v>
      </c>
      <c r="CF129" s="1088">
        <v>15.108747135217721</v>
      </c>
      <c r="CG129" s="1088">
        <v>16.792743373009028</v>
      </c>
      <c r="CH129" s="1088">
        <v>16.31235888294712</v>
      </c>
      <c r="CI129" s="1088">
        <v>17.094985912253467</v>
      </c>
      <c r="CJ129" s="1088">
        <v>16.166500297088529</v>
      </c>
      <c r="CK129" s="1088">
        <v>16.255195215916277</v>
      </c>
      <c r="CL129" s="1088">
        <v>14.962530044275773</v>
      </c>
      <c r="CM129" s="1088">
        <v>15.427705288175876</v>
      </c>
      <c r="CN129" s="1088">
        <v>18.315129089759072</v>
      </c>
      <c r="CO129" s="1088">
        <v>18.013710041592393</v>
      </c>
      <c r="CP129" s="1088">
        <v>16.026823069403715</v>
      </c>
      <c r="CQ129" s="1108">
        <v>17.418855729975274</v>
      </c>
      <c r="CR129" s="1109">
        <v>18.913829258976314</v>
      </c>
      <c r="CS129" s="1109">
        <v>17.099792286632539</v>
      </c>
      <c r="CT129" s="1109">
        <v>14.097333333333335</v>
      </c>
      <c r="CU129" s="1109">
        <v>13.416913123844731</v>
      </c>
      <c r="CV129" s="1109">
        <v>15.345841035120149</v>
      </c>
      <c r="CW129" s="1109">
        <v>14.45</v>
      </c>
      <c r="CX129" s="1109">
        <v>16.512199630314232</v>
      </c>
      <c r="CY129" s="1109">
        <v>17.124953789279111</v>
      </c>
      <c r="CZ129" s="1109">
        <v>16.01441774491682</v>
      </c>
      <c r="DA129" s="1109">
        <v>17.871866913123842</v>
      </c>
      <c r="DB129" s="1110">
        <v>14.894805914972272</v>
      </c>
      <c r="DC129" s="1091">
        <v>17.646672828096118</v>
      </c>
      <c r="DD129" s="1091">
        <v>17.223659889094268</v>
      </c>
      <c r="DE129" s="1091">
        <v>20.06524953789279</v>
      </c>
      <c r="DF129" s="1091">
        <v>17.795748613678377</v>
      </c>
      <c r="DG129" s="1091">
        <v>17.15822550831793</v>
      </c>
      <c r="DH129" s="1091">
        <v>15.272983114446529</v>
      </c>
      <c r="DI129" s="1091">
        <v>14.928705440900563</v>
      </c>
      <c r="DJ129" s="1091">
        <v>13.361350844277673</v>
      </c>
      <c r="DK129" s="1091">
        <v>14.629831144465291</v>
      </c>
      <c r="DL129" s="1091">
        <v>13.460037523452158</v>
      </c>
      <c r="DM129" s="1091">
        <v>13.0124</v>
      </c>
      <c r="DN129" s="1092">
        <v>14.32495126705653</v>
      </c>
      <c r="DO129" s="1091">
        <v>13.672899159663867</v>
      </c>
      <c r="DP129" s="1091">
        <v>12.442226890756308</v>
      </c>
      <c r="DQ129" s="1091">
        <v>15.169747899159663</v>
      </c>
      <c r="DR129" s="1091">
        <v>13.3</v>
      </c>
      <c r="DS129" s="1091">
        <v>12.305252100840335</v>
      </c>
      <c r="DT129" s="1091">
        <v>13.437605042016807</v>
      </c>
      <c r="DU129" s="1091">
        <v>12.504621848739497</v>
      </c>
      <c r="DV129" s="1091">
        <v>14.042436974789917</v>
      </c>
      <c r="DW129" s="1091">
        <v>13.129621848739497</v>
      </c>
      <c r="DX129" s="1091">
        <v>19.2031512605042</v>
      </c>
      <c r="DY129" s="1091">
        <v>13.888655462184873</v>
      </c>
      <c r="DZ129" s="1091">
        <v>11.942647058823528</v>
      </c>
      <c r="EA129" s="1099"/>
      <c r="EB129" s="1111">
        <v>5.5709765785259231</v>
      </c>
      <c r="EC129" s="1112">
        <v>8.6785325789891878</v>
      </c>
      <c r="ED129" s="1112">
        <v>10.875780884206728</v>
      </c>
      <c r="EE129" s="1112">
        <v>10.010375527612171</v>
      </c>
      <c r="EF129" s="1112">
        <v>8.5598665358899879</v>
      </c>
      <c r="EG129" s="1112">
        <v>10.368398459222981</v>
      </c>
      <c r="EH129" s="1112">
        <v>16.561377302719968</v>
      </c>
      <c r="EI129" s="1112">
        <v>16.364626816106263</v>
      </c>
      <c r="EJ129" s="1112">
        <f t="shared" si="16"/>
        <v>16.096734063374051</v>
      </c>
      <c r="EK129" s="1113">
        <v>15.766392556002534</v>
      </c>
      <c r="EL129" s="1112">
        <f t="shared" si="17"/>
        <v>13.753238795518209</v>
      </c>
      <c r="EM129" s="1318">
        <v>13.956320028011206</v>
      </c>
    </row>
    <row r="130" spans="1:143">
      <c r="A130" s="998"/>
      <c r="B130" s="1166" t="s">
        <v>719</v>
      </c>
      <c r="C130" s="1171" t="s">
        <v>720</v>
      </c>
      <c r="D130" s="1098">
        <v>3.8639266450916936</v>
      </c>
      <c r="E130" s="1099">
        <v>3.499430003131851</v>
      </c>
      <c r="F130" s="1099">
        <v>4.0839521399957839</v>
      </c>
      <c r="G130" s="1099">
        <v>3.6568975188781017</v>
      </c>
      <c r="H130" s="1099">
        <v>3.0534443288241415</v>
      </c>
      <c r="I130" s="1099">
        <v>2.7774865156418556</v>
      </c>
      <c r="J130" s="1100">
        <v>3.0850819500991751</v>
      </c>
      <c r="K130" s="1101">
        <v>3.3265476563315586</v>
      </c>
      <c r="L130" s="1102">
        <v>3.7170665742024975</v>
      </c>
      <c r="M130" s="1102">
        <v>3.2104353272784212</v>
      </c>
      <c r="N130" s="1102">
        <v>3.3265372168284788</v>
      </c>
      <c r="O130" s="1102">
        <v>3.2437623969099065</v>
      </c>
      <c r="P130" s="1102">
        <v>3.6864077669902913</v>
      </c>
      <c r="Q130" s="1102">
        <v>3.5862596978358523</v>
      </c>
      <c r="R130" s="1102">
        <v>4.3256431196406693</v>
      </c>
      <c r="S130" s="1102">
        <v>3.5589662447257382</v>
      </c>
      <c r="T130" s="1102">
        <v>3.5209269089424255</v>
      </c>
      <c r="U130" s="1102">
        <v>3.3938185654008444</v>
      </c>
      <c r="V130" s="1103">
        <v>3.3901592486729277</v>
      </c>
      <c r="W130" s="1098">
        <v>3.6380971825234791</v>
      </c>
      <c r="X130" s="1099">
        <v>4.0959188127455262</v>
      </c>
      <c r="Y130" s="1099">
        <v>3.9011841567986933</v>
      </c>
      <c r="Z130" s="1099">
        <v>3.266139240506329</v>
      </c>
      <c r="AA130" s="1099">
        <v>3.2035524703960805</v>
      </c>
      <c r="AB130" s="1099">
        <v>3.7094936708860757</v>
      </c>
      <c r="AC130" s="1099">
        <v>4.1061657819518169</v>
      </c>
      <c r="AD130" s="1099">
        <v>4.0115761535320544</v>
      </c>
      <c r="AE130" s="1099">
        <v>3.8094936708860758</v>
      </c>
      <c r="AF130" s="1099">
        <v>3.7969017966516949</v>
      </c>
      <c r="AG130" s="1099">
        <v>3.7340717299578059</v>
      </c>
      <c r="AH130" s="1100">
        <v>3.8965567578603517</v>
      </c>
      <c r="AI130" s="1104">
        <v>3.8718129848917924</v>
      </c>
      <c r="AJ130" s="1104">
        <v>4.0893422242314648</v>
      </c>
      <c r="AK130" s="1104">
        <v>4.1337850136515319</v>
      </c>
      <c r="AL130" s="1104">
        <v>3.9306687565308249</v>
      </c>
      <c r="AM130" s="1104">
        <v>3.9622206492061887</v>
      </c>
      <c r="AN130" s="1104">
        <v>4.0730407523510967</v>
      </c>
      <c r="AO130" s="1104">
        <v>3.7157447669127315</v>
      </c>
      <c r="AP130" s="1104">
        <v>2.8790575386793411</v>
      </c>
      <c r="AQ130" s="1104">
        <v>2.7124346917450364</v>
      </c>
      <c r="AR130" s="1104">
        <v>2.9064617251491556</v>
      </c>
      <c r="AS130" s="1104">
        <v>2.7830721003134795</v>
      </c>
      <c r="AT130" s="1104">
        <v>2.6381838406310041</v>
      </c>
      <c r="AU130" s="1098">
        <v>2.796541611892001</v>
      </c>
      <c r="AV130" s="1099">
        <v>3.3368786386027764</v>
      </c>
      <c r="AW130" s="1099">
        <v>3.0527859237536656</v>
      </c>
      <c r="AX130" s="1099">
        <v>3.1385579937304073</v>
      </c>
      <c r="AY130" s="1099">
        <v>2.3901304479724952</v>
      </c>
      <c r="AZ130" s="1099">
        <v>2.7256008359456629</v>
      </c>
      <c r="BA130" s="1099">
        <v>2.6323187379917079</v>
      </c>
      <c r="BB130" s="1099">
        <v>2.8808777429467085</v>
      </c>
      <c r="BC130" s="1099">
        <v>2.8377220480668757</v>
      </c>
      <c r="BD130" s="1099">
        <v>2.9302255030842352</v>
      </c>
      <c r="BE130" s="1099">
        <v>2.8942528735632185</v>
      </c>
      <c r="BF130" s="1099">
        <v>3.0643138841136617</v>
      </c>
      <c r="BG130" s="1105">
        <v>2.8567640813024573</v>
      </c>
      <c r="BH130" s="1105">
        <v>3.1269592476489034</v>
      </c>
      <c r="BI130" s="1105">
        <v>2.8890686621498638</v>
      </c>
      <c r="BJ130" s="1105">
        <v>3.3618599791013586</v>
      </c>
      <c r="BK130" s="1105">
        <v>3.2780867630700778</v>
      </c>
      <c r="BL130" s="1105">
        <v>3.2792058516196456</v>
      </c>
      <c r="BM130" s="1105">
        <v>3.2091212458286984</v>
      </c>
      <c r="BN130" s="1105">
        <v>3.0432804125796347</v>
      </c>
      <c r="BO130" s="1105">
        <v>3.2559038662486941</v>
      </c>
      <c r="BP130" s="1105">
        <v>3.1675599150571343</v>
      </c>
      <c r="BQ130" s="1105">
        <v>3.5230929989550681</v>
      </c>
      <c r="BR130" s="1105">
        <v>3.1661442006269591</v>
      </c>
      <c r="BS130" s="1106">
        <v>3.0369096976438468</v>
      </c>
      <c r="BT130" s="1107">
        <v>3.1889525456707388</v>
      </c>
      <c r="BU130" s="1107">
        <v>2.967741935483871</v>
      </c>
      <c r="BV130" s="1107">
        <v>2.8037617554858936</v>
      </c>
      <c r="BW130" s="1107">
        <v>2.7757103852765699</v>
      </c>
      <c r="BX130" s="1107">
        <v>2.790700104493208</v>
      </c>
      <c r="BY130" s="1107">
        <v>2.9492940327733694</v>
      </c>
      <c r="BZ130" s="1107">
        <v>2.9204369782541484</v>
      </c>
      <c r="CA130" s="1107">
        <v>3.1167199148029816</v>
      </c>
      <c r="CB130" s="1107">
        <v>3.0204060599814486</v>
      </c>
      <c r="CC130" s="1107">
        <v>3.1093716719914806</v>
      </c>
      <c r="CD130" s="1107">
        <v>2.6959703184582087</v>
      </c>
      <c r="CE130" s="1087">
        <v>2.8459239410491599</v>
      </c>
      <c r="CF130" s="1088">
        <v>3.2687129164764945</v>
      </c>
      <c r="CG130" s="1088">
        <v>3.0045346799958774</v>
      </c>
      <c r="CH130" s="1088">
        <v>3.039723109691161</v>
      </c>
      <c r="CI130" s="1088">
        <v>2.8371637637843965</v>
      </c>
      <c r="CJ130" s="1088">
        <v>2.909612353567625</v>
      </c>
      <c r="CK130" s="1088">
        <v>3.1311924147170975</v>
      </c>
      <c r="CL130" s="1088">
        <v>5.1406884468721019</v>
      </c>
      <c r="CM130" s="1088">
        <v>3.7203578274760387</v>
      </c>
      <c r="CN130" s="1088">
        <v>3.4473224775842533</v>
      </c>
      <c r="CO130" s="1088">
        <v>3.2476741214057507</v>
      </c>
      <c r="CP130" s="1088">
        <v>3.1813799855714726</v>
      </c>
      <c r="CQ130" s="1108">
        <v>3.2538936411419144</v>
      </c>
      <c r="CR130" s="1109">
        <v>3.7044511638521227</v>
      </c>
      <c r="CS130" s="1109">
        <v>3.6935937338967331</v>
      </c>
      <c r="CT130" s="1109">
        <v>3.3934185303514379</v>
      </c>
      <c r="CU130" s="1109">
        <v>3.4900546222817685</v>
      </c>
      <c r="CV130" s="1109">
        <v>3.3587859424920126</v>
      </c>
      <c r="CW130" s="1109">
        <v>3.74</v>
      </c>
      <c r="CX130" s="1109">
        <v>3.3932907348242809</v>
      </c>
      <c r="CY130" s="1109">
        <v>3.5159744408945688</v>
      </c>
      <c r="CZ130" s="1109">
        <v>3.3555910543130985</v>
      </c>
      <c r="DA130" s="1109">
        <v>5.2230031948881788</v>
      </c>
      <c r="DB130" s="1110">
        <v>4.9581789137380179</v>
      </c>
      <c r="DC130" s="1091">
        <v>4.847667731629393</v>
      </c>
      <c r="DD130" s="1091">
        <v>5.2188498402555901</v>
      </c>
      <c r="DE130" s="1091">
        <v>5.4111821086261989</v>
      </c>
      <c r="DF130" s="1091">
        <v>5.8499361022364216</v>
      </c>
      <c r="DG130" s="1091">
        <v>5.2696485623003193</v>
      </c>
      <c r="DH130" s="1091">
        <v>4.6060702875399357</v>
      </c>
      <c r="DI130" s="1091">
        <v>5.3086261980830667</v>
      </c>
      <c r="DJ130" s="1091">
        <v>5.7188811188811188</v>
      </c>
      <c r="DK130" s="1091">
        <v>5.4695804195804198</v>
      </c>
      <c r="DL130" s="1091">
        <v>4.7139860139860135</v>
      </c>
      <c r="DM130" s="1091">
        <v>5.024468085106383</v>
      </c>
      <c r="DN130" s="1092">
        <v>7.2</v>
      </c>
      <c r="DO130" s="1091">
        <v>6.7561403508771942</v>
      </c>
      <c r="DP130" s="1091">
        <v>6.2666666666666666</v>
      </c>
      <c r="DQ130" s="1091">
        <v>6.1947368421052635</v>
      </c>
      <c r="DR130" s="1091">
        <v>5.712280701754386</v>
      </c>
      <c r="DS130" s="1091">
        <v>6.1701754385964902</v>
      </c>
      <c r="DT130" s="1091">
        <v>6.2649122807017541</v>
      </c>
      <c r="DU130" s="1091">
        <v>5.9614035087719293</v>
      </c>
      <c r="DV130" s="1091">
        <v>6.3947368421052628</v>
      </c>
      <c r="DW130" s="1091">
        <v>6.8754385964912279</v>
      </c>
      <c r="DX130" s="1091">
        <v>6.7807017543859649</v>
      </c>
      <c r="DY130" s="1091">
        <v>6.7368421052631575</v>
      </c>
      <c r="DZ130" s="1091">
        <v>6.8210526315789473</v>
      </c>
      <c r="EA130" s="1099"/>
      <c r="EB130" s="1111">
        <v>3.4335082598022955</v>
      </c>
      <c r="EC130" s="1112">
        <v>3.523868224733286</v>
      </c>
      <c r="ED130" s="1112">
        <v>3.763750432316527</v>
      </c>
      <c r="EE130" s="1112">
        <v>3.4699261986271899</v>
      </c>
      <c r="EF130" s="1112">
        <v>2.8862455447245234</v>
      </c>
      <c r="EG130" s="1112">
        <v>3.1782671877012922</v>
      </c>
      <c r="EH130" s="1112">
        <v>2.9464072632944238</v>
      </c>
      <c r="EI130" s="1112">
        <v>3.3158338658146964</v>
      </c>
      <c r="EJ130" s="1112">
        <f t="shared" si="16"/>
        <v>3.7566863310561782</v>
      </c>
      <c r="EK130" s="1113">
        <v>5.3809436878375196</v>
      </c>
      <c r="EL130" s="1112">
        <f t="shared" si="17"/>
        <v>6.4112573099415213</v>
      </c>
      <c r="EM130" s="1318">
        <v>6.4904970760233915</v>
      </c>
    </row>
    <row r="131" spans="1:143">
      <c r="A131" s="998"/>
      <c r="B131" s="1163" t="s">
        <v>728</v>
      </c>
      <c r="C131" s="1164"/>
      <c r="D131" s="1120">
        <v>6.7779996533194646</v>
      </c>
      <c r="E131" s="1121">
        <v>5.2588134614459188</v>
      </c>
      <c r="F131" s="1121">
        <v>5.4283092834277271</v>
      </c>
      <c r="G131" s="1121">
        <v>4.7550421614159353</v>
      </c>
      <c r="H131" s="1121">
        <v>5.3146800743395719</v>
      </c>
      <c r="I131" s="1121">
        <v>5.9421168135476066</v>
      </c>
      <c r="J131" s="1122">
        <v>5.6596724818959832</v>
      </c>
      <c r="K131" s="1123">
        <v>6.5416777930659631</v>
      </c>
      <c r="L131" s="1124">
        <v>6.7119577125328655</v>
      </c>
      <c r="M131" s="1124">
        <v>6.1074676069645006</v>
      </c>
      <c r="N131" s="1124">
        <v>6.4240794979079512</v>
      </c>
      <c r="O131" s="1124">
        <v>6.9489666284248868</v>
      </c>
      <c r="P131" s="1124">
        <v>6.4533014295676416</v>
      </c>
      <c r="Q131" s="1124">
        <v>7.0572060380910751</v>
      </c>
      <c r="R131" s="1124">
        <v>7.2251127099127528</v>
      </c>
      <c r="S131" s="1124">
        <v>6.9579505723205006</v>
      </c>
      <c r="T131" s="1124">
        <v>6.8357440166493246</v>
      </c>
      <c r="U131" s="1124">
        <v>7.6468764083896694</v>
      </c>
      <c r="V131" s="1125">
        <v>6.9448445839347448</v>
      </c>
      <c r="W131" s="1120">
        <v>6.5440080227310711</v>
      </c>
      <c r="X131" s="1121">
        <v>6.8729387171699097</v>
      </c>
      <c r="Y131" s="1121">
        <v>7.3633611900384466</v>
      </c>
      <c r="Z131" s="1121">
        <v>7.6230094991364421</v>
      </c>
      <c r="AA131" s="1121">
        <v>7.6480660203911128</v>
      </c>
      <c r="AB131" s="1121">
        <v>7.4002158894645964</v>
      </c>
      <c r="AC131" s="1121">
        <v>8.1855273274277138</v>
      </c>
      <c r="AD131" s="1121">
        <v>8.2203142236336308</v>
      </c>
      <c r="AE131" s="1121">
        <v>8.1748276338514732</v>
      </c>
      <c r="AF131" s="1121">
        <v>7.3860581648002679</v>
      </c>
      <c r="AG131" s="1121">
        <v>8.1406901311249147</v>
      </c>
      <c r="AH131" s="1122">
        <v>7.2130382169845868</v>
      </c>
      <c r="AI131" s="1126">
        <v>7.7947417180889298</v>
      </c>
      <c r="AJ131" s="1126">
        <v>7.6055325846833561</v>
      </c>
      <c r="AK131" s="1126">
        <v>7.8290391001785649</v>
      </c>
      <c r="AL131" s="1126">
        <v>7.2348163476461425</v>
      </c>
      <c r="AM131" s="1126">
        <v>7.5427982577641357</v>
      </c>
      <c r="AN131" s="1126">
        <v>7.6178220382824593</v>
      </c>
      <c r="AO131" s="1126">
        <v>8.5469354005167997</v>
      </c>
      <c r="AP131" s="1126">
        <v>8.193649016237508</v>
      </c>
      <c r="AQ131" s="1126">
        <v>7.4877777202966023</v>
      </c>
      <c r="AR131" s="1126">
        <v>7.1427350099294129</v>
      </c>
      <c r="AS131" s="1126">
        <v>7.6848085876875336</v>
      </c>
      <c r="AT131" s="1126">
        <v>8.1903200800200064</v>
      </c>
      <c r="AU131" s="1120">
        <v>8.0881220305076322</v>
      </c>
      <c r="AV131" s="1121">
        <v>8.4471107871720097</v>
      </c>
      <c r="AW131" s="1121">
        <v>7.6810801514154061</v>
      </c>
      <c r="AX131" s="1121">
        <v>7.7815221825599128</v>
      </c>
      <c r="AY131" s="1121">
        <v>8.3462053593459533</v>
      </c>
      <c r="AZ131" s="1121">
        <v>7.9254332823389388</v>
      </c>
      <c r="BA131" s="1121">
        <v>8.1299652909147664</v>
      </c>
      <c r="BB131" s="1121">
        <v>8.0065860077972015</v>
      </c>
      <c r="BC131" s="1121">
        <v>7.7551883392826779</v>
      </c>
      <c r="BD131" s="1121">
        <v>8.0055195670411727</v>
      </c>
      <c r="BE131" s="1121">
        <v>7.4925583885772538</v>
      </c>
      <c r="BF131" s="1121">
        <v>7.8647252060337847</v>
      </c>
      <c r="BG131" s="1127">
        <v>7.4416536987382988</v>
      </c>
      <c r="BH131" s="1127">
        <v>8.145062103882859</v>
      </c>
      <c r="BI131" s="1127">
        <v>7.2048502245398138</v>
      </c>
      <c r="BJ131" s="1127">
        <v>7.5494453510113866</v>
      </c>
      <c r="BK131" s="1127">
        <v>7.3165486667434285</v>
      </c>
      <c r="BL131" s="1127">
        <v>8.2025978242393318</v>
      </c>
      <c r="BM131" s="1127">
        <v>8.5213383560066447</v>
      </c>
      <c r="BN131" s="1127">
        <v>8.5008246286456863</v>
      </c>
      <c r="BO131" s="1127">
        <v>8.2732497025327181</v>
      </c>
      <c r="BP131" s="1127">
        <v>8.9200240167129987</v>
      </c>
      <c r="BQ131" s="1127">
        <v>9.2643749787523344</v>
      </c>
      <c r="BR131" s="1127">
        <v>9.0605655442417454</v>
      </c>
      <c r="BS131" s="1128">
        <v>9.1469691237189696</v>
      </c>
      <c r="BT131" s="1129">
        <v>9.1809425170127774</v>
      </c>
      <c r="BU131" s="1129">
        <v>9.7799921040943563</v>
      </c>
      <c r="BV131" s="1129">
        <v>9.6055255821859564</v>
      </c>
      <c r="BW131" s="1129">
        <v>11.043150092141634</v>
      </c>
      <c r="BX131" s="1129">
        <v>11.143583375828657</v>
      </c>
      <c r="BY131" s="1129">
        <v>12.417311010883422</v>
      </c>
      <c r="BZ131" s="1129">
        <v>11.520433539235871</v>
      </c>
      <c r="CA131" s="1129">
        <v>11.391994765281998</v>
      </c>
      <c r="CB131" s="1129">
        <v>11.449210706932053</v>
      </c>
      <c r="CC131" s="1129">
        <v>10.893110435663626</v>
      </c>
      <c r="CD131" s="1129">
        <v>9.5252680001307315</v>
      </c>
      <c r="CE131" s="1066">
        <v>9.9671552766611082</v>
      </c>
      <c r="CF131" s="1067">
        <v>10.247605478361555</v>
      </c>
      <c r="CG131" s="1067">
        <v>11.236853286269897</v>
      </c>
      <c r="CH131" s="1067">
        <v>10.772694191151635</v>
      </c>
      <c r="CI131" s="1067">
        <v>10.733140013726834</v>
      </c>
      <c r="CJ131" s="1067">
        <v>10.334476697061802</v>
      </c>
      <c r="CK131" s="1067">
        <v>10.615742883289208</v>
      </c>
      <c r="CL131" s="1067">
        <v>10.772813020884396</v>
      </c>
      <c r="CM131" s="1067">
        <v>10.995739446133063</v>
      </c>
      <c r="CN131" s="1067">
        <v>11.907421806059416</v>
      </c>
      <c r="CO131" s="1067">
        <v>12.37120364741641</v>
      </c>
      <c r="CP131" s="1067">
        <v>10.988534170016669</v>
      </c>
      <c r="CQ131" s="1130">
        <v>12.435509363663101</v>
      </c>
      <c r="CR131" s="1131">
        <v>12.645199196699958</v>
      </c>
      <c r="CS131" s="1131">
        <v>12.420908175893079</v>
      </c>
      <c r="CT131" s="1131">
        <v>11.029539235755717</v>
      </c>
      <c r="CU131" s="1131">
        <v>10.682895631789217</v>
      </c>
      <c r="CV131" s="1131">
        <v>11.24114636642784</v>
      </c>
      <c r="CW131" s="1131">
        <v>11.97</v>
      </c>
      <c r="CX131" s="1131">
        <v>11.78915601023018</v>
      </c>
      <c r="CY131" s="1131">
        <v>12.605303416624171</v>
      </c>
      <c r="CZ131" s="1131">
        <v>14.010249872514024</v>
      </c>
      <c r="DA131" s="1131">
        <v>14.429694033656302</v>
      </c>
      <c r="DB131" s="1132">
        <v>12.314186639469661</v>
      </c>
      <c r="DC131" s="1071">
        <v>12.965849056603773</v>
      </c>
      <c r="DD131" s="1071">
        <v>12.136766955634878</v>
      </c>
      <c r="DE131" s="1071">
        <v>13.856807751147375</v>
      </c>
      <c r="DF131" s="1071">
        <v>12.555884752677205</v>
      </c>
      <c r="DG131" s="1071">
        <v>12.634778174400813</v>
      </c>
      <c r="DH131" s="1071">
        <v>12.975064004096263</v>
      </c>
      <c r="DI131" s="1071">
        <v>11.570711725550435</v>
      </c>
      <c r="DJ131" s="1071">
        <v>10.316345653305568</v>
      </c>
      <c r="DK131" s="1071">
        <v>10.725819885476314</v>
      </c>
      <c r="DL131" s="1071">
        <v>11.244612181155649</v>
      </c>
      <c r="DM131" s="1071">
        <v>11.260908610670892</v>
      </c>
      <c r="DN131" s="1072">
        <v>11.194105263157896</v>
      </c>
      <c r="DO131" s="1071">
        <v>11.044010152284264</v>
      </c>
      <c r="DP131" s="1071">
        <v>10.579949238578678</v>
      </c>
      <c r="DQ131" s="1071">
        <v>11.19751269035533</v>
      </c>
      <c r="DR131" s="1071">
        <v>9.7067005076142134</v>
      </c>
      <c r="DS131" s="1071">
        <v>8.8536040609137068</v>
      </c>
      <c r="DT131" s="1071">
        <v>10.36243654822335</v>
      </c>
      <c r="DU131" s="1071">
        <v>9.8602538071065986</v>
      </c>
      <c r="DV131" s="1071">
        <v>10.713096446700508</v>
      </c>
      <c r="DW131" s="1071">
        <v>11.126598984771574</v>
      </c>
      <c r="DX131" s="1071">
        <v>14.751725888324875</v>
      </c>
      <c r="DY131" s="1071">
        <v>10.468477157360406</v>
      </c>
      <c r="DZ131" s="1071">
        <v>10.115076142131979</v>
      </c>
      <c r="EA131" s="1121"/>
      <c r="EB131" s="1133">
        <v>5.8</v>
      </c>
      <c r="EC131" s="1134">
        <v>6.8222978956100349</v>
      </c>
      <c r="ED131" s="1134">
        <v>7.5650867285138608</v>
      </c>
      <c r="EE131" s="1134">
        <v>7.7429624890717621</v>
      </c>
      <c r="EF131" s="1134">
        <v>7.958610029374741</v>
      </c>
      <c r="EG131" s="1134">
        <v>8.1991554350939033</v>
      </c>
      <c r="EH131" s="1134">
        <v>10.599332331624778</v>
      </c>
      <c r="EI131" s="1134">
        <v>10.915144786331899</v>
      </c>
      <c r="EJ131" s="1134">
        <f t="shared" si="16"/>
        <v>12.297815661893603</v>
      </c>
      <c r="EK131" s="1135">
        <v>11.962430341432258</v>
      </c>
      <c r="EL131" s="1134">
        <f t="shared" si="17"/>
        <v>10.731620135363791</v>
      </c>
      <c r="EM131" s="1319">
        <v>10.855731810490694</v>
      </c>
    </row>
    <row r="132" spans="1:143">
      <c r="A132" s="998"/>
      <c r="B132" s="1136"/>
      <c r="C132" s="1197"/>
      <c r="D132" s="1198"/>
      <c r="E132" s="1198"/>
      <c r="F132" s="1199"/>
      <c r="G132" s="1200"/>
      <c r="H132" s="1200"/>
      <c r="I132" s="1199"/>
      <c r="J132" s="1199"/>
      <c r="K132" s="1199"/>
      <c r="L132" s="1199"/>
      <c r="M132" s="1199"/>
      <c r="N132" s="1199"/>
      <c r="O132" s="1199"/>
      <c r="P132" s="1199"/>
      <c r="Q132" s="1199"/>
      <c r="R132" s="1199"/>
      <c r="S132" s="1199"/>
      <c r="T132" s="1199"/>
      <c r="U132" s="1199"/>
      <c r="V132" s="1199"/>
      <c r="W132" s="1199"/>
      <c r="X132" s="1199"/>
      <c r="Y132" s="1199"/>
      <c r="Z132" s="1199"/>
      <c r="AA132" s="1199"/>
      <c r="AB132" s="1199"/>
      <c r="AC132" s="1199"/>
      <c r="AD132" s="1199"/>
      <c r="AE132" s="1199"/>
      <c r="AF132" s="1199"/>
      <c r="AG132" s="1199"/>
      <c r="AH132" s="1199"/>
      <c r="AI132" s="1199"/>
      <c r="AJ132" s="1199"/>
      <c r="AK132" s="1199"/>
      <c r="AL132" s="1199"/>
      <c r="AM132" s="1199"/>
      <c r="AN132" s="1199"/>
      <c r="AO132" s="1199"/>
      <c r="AP132" s="1199"/>
      <c r="AQ132" s="1199"/>
      <c r="AR132" s="1199"/>
      <c r="AS132" s="1199"/>
      <c r="AT132" s="1199"/>
      <c r="AU132" s="1199"/>
      <c r="AV132" s="1199"/>
      <c r="AW132" s="1199"/>
      <c r="AX132" s="1199"/>
      <c r="AY132" s="1199"/>
      <c r="AZ132" s="1199"/>
      <c r="BA132" s="1199"/>
      <c r="BB132" s="1199"/>
      <c r="BC132" s="1199"/>
      <c r="BD132" s="1199"/>
      <c r="BE132" s="1199"/>
      <c r="BF132" s="1199"/>
      <c r="BG132" s="1199"/>
      <c r="BH132" s="1199"/>
      <c r="BI132" s="1199"/>
      <c r="BJ132" s="1199"/>
      <c r="BK132" s="1199"/>
      <c r="BL132" s="1199"/>
      <c r="BM132" s="1199"/>
      <c r="BN132" s="1199"/>
      <c r="BO132" s="1199"/>
      <c r="BP132" s="1199"/>
      <c r="BQ132" s="1199"/>
      <c r="BR132" s="1199"/>
      <c r="BS132" s="1199"/>
      <c r="BT132" s="1199"/>
      <c r="BU132" s="1199"/>
      <c r="BV132" s="1199"/>
      <c r="BW132" s="1199"/>
      <c r="BX132" s="1199"/>
      <c r="BY132" s="1199"/>
      <c r="BZ132" s="1199"/>
      <c r="CA132" s="1199"/>
      <c r="CB132" s="1199"/>
      <c r="CC132" s="1199"/>
      <c r="CD132" s="1199"/>
      <c r="CE132" s="1199"/>
      <c r="CF132" s="1199"/>
      <c r="CG132" s="1199"/>
      <c r="CH132" s="1199"/>
      <c r="CI132" s="1199"/>
      <c r="CJ132" s="1199"/>
      <c r="CK132" s="1199"/>
      <c r="CL132" s="1199"/>
      <c r="CM132" s="1199"/>
      <c r="CN132" s="1199"/>
      <c r="CO132" s="1199"/>
      <c r="CP132" s="1199"/>
      <c r="CQ132" s="1199"/>
      <c r="CR132" s="1199"/>
      <c r="CS132" s="1199"/>
      <c r="CT132" s="1199"/>
      <c r="CU132" s="1199"/>
      <c r="CV132" s="1199"/>
      <c r="CW132" s="1199"/>
      <c r="CX132" s="1199"/>
      <c r="CY132" s="1199"/>
      <c r="CZ132" s="1199"/>
      <c r="DA132" s="1199"/>
      <c r="DB132" s="1199"/>
      <c r="DC132" s="1199"/>
      <c r="DD132" s="1199"/>
      <c r="DE132" s="1199"/>
      <c r="DF132" s="1199"/>
      <c r="DG132" s="1199"/>
      <c r="DH132" s="1199"/>
      <c r="DI132" s="1199"/>
      <c r="DJ132" s="1199"/>
      <c r="DK132" s="1199"/>
      <c r="DL132" s="1199"/>
      <c r="DM132" s="1199"/>
      <c r="DN132" s="1199"/>
      <c r="DO132" s="1199"/>
      <c r="DP132" s="1199"/>
      <c r="DQ132" s="1199"/>
      <c r="DR132" s="1199"/>
      <c r="DS132" s="1199"/>
      <c r="DT132" s="1199"/>
      <c r="DU132" s="1199"/>
      <c r="DV132" s="1199"/>
      <c r="DW132" s="1199"/>
      <c r="DX132" s="1199"/>
      <c r="DY132" s="1199"/>
      <c r="DZ132" s="1199"/>
      <c r="EA132" s="1199"/>
      <c r="EB132" s="1137"/>
      <c r="EC132" s="1137"/>
      <c r="ED132" s="1137"/>
      <c r="EE132" s="1137"/>
      <c r="EF132" s="1137"/>
      <c r="EG132" s="1137"/>
      <c r="EH132" s="1137"/>
      <c r="EI132" s="1137"/>
      <c r="EJ132" s="1137"/>
      <c r="EK132" s="1137"/>
      <c r="EL132" s="1137"/>
      <c r="EM132" s="1325"/>
    </row>
    <row r="133" spans="1:143">
      <c r="A133" s="998"/>
      <c r="B133" s="1201"/>
      <c r="C133" s="1202"/>
      <c r="D133" s="1203"/>
      <c r="E133" s="1203"/>
      <c r="F133" s="1071"/>
      <c r="G133" s="1204"/>
      <c r="H133" s="1204"/>
      <c r="I133" s="1071"/>
      <c r="J133" s="1071"/>
      <c r="K133" s="1071"/>
      <c r="L133" s="1071"/>
      <c r="M133" s="1071"/>
      <c r="N133" s="1071"/>
      <c r="O133" s="1071"/>
      <c r="P133" s="1071"/>
      <c r="Q133" s="1071"/>
      <c r="R133" s="1071"/>
      <c r="S133" s="1071"/>
      <c r="T133" s="1071"/>
      <c r="U133" s="1071"/>
      <c r="V133" s="1071"/>
      <c r="W133" s="1071"/>
      <c r="X133" s="1071"/>
      <c r="Y133" s="1071"/>
      <c r="Z133" s="1071"/>
      <c r="AA133" s="1071"/>
      <c r="AB133" s="1071"/>
      <c r="AC133" s="1071"/>
      <c r="AD133" s="1071"/>
      <c r="AE133" s="1071"/>
      <c r="AF133" s="1071"/>
      <c r="AG133" s="1071"/>
      <c r="AH133" s="1071"/>
      <c r="AI133" s="1071"/>
      <c r="AJ133" s="1071"/>
      <c r="AK133" s="1071"/>
      <c r="AL133" s="1071"/>
      <c r="AM133" s="1071"/>
      <c r="AN133" s="1071"/>
      <c r="AO133" s="1071"/>
      <c r="AP133" s="1071"/>
      <c r="AQ133" s="1071"/>
      <c r="AR133" s="1071"/>
      <c r="AS133" s="1071"/>
      <c r="AT133" s="1071"/>
      <c r="AU133" s="1071"/>
      <c r="AV133" s="1071"/>
      <c r="AW133" s="1071"/>
      <c r="AX133" s="1071"/>
      <c r="AY133" s="1071"/>
      <c r="AZ133" s="1071"/>
      <c r="BA133" s="1071"/>
      <c r="BB133" s="1071"/>
      <c r="BC133" s="1071"/>
      <c r="BD133" s="1071"/>
      <c r="BE133" s="1071"/>
      <c r="BF133" s="1071"/>
      <c r="BG133" s="1071"/>
      <c r="BH133" s="1071"/>
      <c r="BI133" s="1071"/>
      <c r="BJ133" s="1071"/>
      <c r="BK133" s="1071"/>
      <c r="BL133" s="1071"/>
      <c r="BM133" s="1071"/>
      <c r="BN133" s="1071"/>
      <c r="BO133" s="1071"/>
      <c r="BP133" s="1071"/>
      <c r="BQ133" s="1071"/>
      <c r="BR133" s="1071"/>
      <c r="BS133" s="1071"/>
      <c r="BT133" s="1071"/>
      <c r="BU133" s="1071"/>
      <c r="BV133" s="1071"/>
      <c r="BW133" s="1071"/>
      <c r="BX133" s="1071"/>
      <c r="BY133" s="1071"/>
      <c r="BZ133" s="1071"/>
      <c r="CA133" s="1071"/>
      <c r="CB133" s="1071"/>
      <c r="CC133" s="1071"/>
      <c r="CD133" s="1071"/>
      <c r="CE133" s="1071"/>
      <c r="CF133" s="1071"/>
      <c r="CG133" s="1071"/>
      <c r="CH133" s="1071"/>
      <c r="CI133" s="1071"/>
      <c r="CJ133" s="1071"/>
      <c r="CK133" s="1071"/>
      <c r="CL133" s="1071"/>
      <c r="CM133" s="1071"/>
      <c r="CN133" s="1071"/>
      <c r="CO133" s="1071"/>
      <c r="CP133" s="1071"/>
      <c r="CQ133" s="1071"/>
      <c r="CR133" s="1071"/>
      <c r="CS133" s="1071"/>
      <c r="CT133" s="1071"/>
      <c r="CU133" s="1071"/>
      <c r="CV133" s="1071"/>
      <c r="CW133" s="1071"/>
      <c r="CX133" s="1071"/>
      <c r="CY133" s="1071"/>
      <c r="CZ133" s="1071"/>
      <c r="DA133" s="1071"/>
      <c r="DB133" s="1071"/>
      <c r="DC133" s="1071"/>
      <c r="DD133" s="1071"/>
      <c r="DE133" s="1071"/>
      <c r="DF133" s="1071"/>
      <c r="DG133" s="1071"/>
      <c r="DH133" s="1071"/>
      <c r="DI133" s="1071"/>
      <c r="DJ133" s="1071"/>
      <c r="DK133" s="1071"/>
      <c r="DL133" s="1071"/>
      <c r="DM133" s="1071"/>
      <c r="DN133" s="1071"/>
      <c r="DO133" s="1071"/>
      <c r="DP133" s="1071"/>
      <c r="DQ133" s="1071"/>
      <c r="DR133" s="1071"/>
      <c r="DS133" s="1071"/>
      <c r="DT133" s="1071"/>
      <c r="DU133" s="1071"/>
      <c r="DV133" s="1071"/>
      <c r="DW133" s="1071"/>
      <c r="DX133" s="1071"/>
      <c r="DY133" s="1071"/>
      <c r="DZ133" s="1071"/>
      <c r="EA133" s="1071"/>
      <c r="EB133" s="1205"/>
      <c r="EC133" s="1205"/>
      <c r="ED133" s="1205"/>
      <c r="EE133" s="1205"/>
      <c r="EF133" s="1205"/>
      <c r="EG133" s="1205"/>
      <c r="EH133" s="1205"/>
      <c r="EI133" s="1205"/>
      <c r="EJ133" s="1205"/>
      <c r="EK133" s="1205"/>
      <c r="EL133" s="1205"/>
      <c r="EM133" s="1328"/>
    </row>
    <row r="134" spans="1:143" s="1012" customFormat="1" ht="30">
      <c r="A134" s="998"/>
      <c r="B134" s="1006" t="s">
        <v>732</v>
      </c>
      <c r="C134" s="1007"/>
      <c r="D134" s="1008"/>
      <c r="E134" s="1008"/>
      <c r="F134" s="1008"/>
      <c r="G134" s="1008"/>
      <c r="H134" s="1008"/>
      <c r="I134" s="1009"/>
      <c r="J134" s="1009"/>
      <c r="K134" s="1009"/>
      <c r="L134" s="1009"/>
      <c r="M134" s="1009"/>
      <c r="N134" s="1009"/>
      <c r="O134" s="1009"/>
      <c r="P134" s="1009"/>
      <c r="Q134" s="1009"/>
      <c r="R134" s="1009"/>
      <c r="S134" s="1009"/>
      <c r="T134" s="1009"/>
      <c r="U134" s="1009"/>
      <c r="V134" s="1009"/>
      <c r="W134" s="1010"/>
      <c r="X134" s="1010"/>
      <c r="Y134" s="1010"/>
      <c r="Z134" s="1010"/>
      <c r="AA134" s="1010"/>
      <c r="AB134" s="1010"/>
      <c r="AC134" s="1010"/>
      <c r="AD134" s="1010"/>
      <c r="AE134" s="1010"/>
      <c r="AF134" s="1010"/>
      <c r="AG134" s="1010"/>
      <c r="AH134" s="1010"/>
      <c r="AI134" s="1010"/>
      <c r="AJ134" s="1010"/>
      <c r="AK134" s="1010"/>
      <c r="AL134" s="1010"/>
      <c r="AM134" s="1010"/>
      <c r="AN134" s="1010"/>
      <c r="AO134" s="1010"/>
      <c r="AP134" s="1010"/>
      <c r="AQ134" s="1010"/>
      <c r="AR134" s="1010"/>
      <c r="AS134" s="1010"/>
      <c r="AT134" s="1010"/>
      <c r="AU134" s="1010"/>
      <c r="AV134" s="1010"/>
      <c r="AW134" s="1010"/>
      <c r="AX134" s="1010"/>
      <c r="AY134" s="1010"/>
      <c r="AZ134" s="1010"/>
      <c r="BA134" s="1010"/>
      <c r="BB134" s="1010"/>
      <c r="BC134" s="1010"/>
      <c r="BD134" s="1010"/>
      <c r="BE134" s="1010"/>
      <c r="BF134" s="1010"/>
      <c r="BG134" s="1010"/>
      <c r="BH134" s="1010"/>
      <c r="BI134" s="1010"/>
      <c r="BJ134" s="1010"/>
      <c r="BK134" s="1010"/>
      <c r="BL134" s="1010"/>
      <c r="BM134" s="1010"/>
      <c r="BN134" s="1010"/>
      <c r="BO134" s="1010"/>
      <c r="BP134" s="1010"/>
      <c r="BQ134" s="1010"/>
      <c r="BR134" s="1010"/>
      <c r="BS134" s="1010"/>
      <c r="BT134" s="1010"/>
      <c r="BU134" s="1010"/>
      <c r="BV134" s="1010"/>
      <c r="BW134" s="1010"/>
      <c r="BX134" s="1010"/>
      <c r="BY134" s="1010"/>
      <c r="BZ134" s="1010"/>
      <c r="CA134" s="1010"/>
      <c r="CB134" s="1010"/>
      <c r="CC134" s="1010"/>
      <c r="CD134" s="1010"/>
      <c r="CE134" s="1010"/>
      <c r="CF134" s="1010"/>
      <c r="CG134" s="1010"/>
      <c r="CH134" s="1010"/>
      <c r="CI134" s="1010"/>
      <c r="CJ134" s="1010"/>
      <c r="CK134" s="1010"/>
      <c r="CL134" s="1010"/>
      <c r="CM134" s="1010"/>
      <c r="CN134" s="1010"/>
      <c r="CO134" s="1010"/>
      <c r="CP134" s="1010"/>
      <c r="CQ134" s="1010"/>
      <c r="CR134" s="1010"/>
      <c r="CS134" s="1010"/>
      <c r="CT134" s="1010"/>
      <c r="CU134" s="1010"/>
      <c r="CV134" s="1010"/>
      <c r="CW134" s="1010"/>
      <c r="CX134" s="1010"/>
      <c r="CY134" s="1010"/>
      <c r="CZ134" s="1010"/>
      <c r="DA134" s="1010"/>
      <c r="DB134" s="1010"/>
      <c r="DC134" s="1010"/>
      <c r="DD134" s="1010"/>
      <c r="DE134" s="1010"/>
      <c r="DF134" s="1010"/>
      <c r="DG134" s="1010"/>
      <c r="DH134" s="1010"/>
      <c r="DI134" s="1010"/>
      <c r="DJ134" s="1010"/>
      <c r="DK134" s="1010"/>
      <c r="DL134" s="1010"/>
      <c r="DM134" s="1010"/>
      <c r="DN134" s="1010"/>
      <c r="DO134" s="1010"/>
      <c r="DP134" s="1010"/>
      <c r="DQ134" s="1010"/>
      <c r="DR134" s="1010"/>
      <c r="DS134" s="1010"/>
      <c r="DT134" s="1010"/>
      <c r="DU134" s="1010"/>
      <c r="DV134" s="1010"/>
      <c r="DW134" s="1010"/>
      <c r="DX134" s="1010"/>
      <c r="DY134" s="1010"/>
      <c r="DZ134" s="1010"/>
      <c r="EA134" s="1010"/>
      <c r="EB134" s="1011"/>
      <c r="EC134" s="1011"/>
      <c r="ED134" s="1011"/>
      <c r="EE134" s="1011"/>
      <c r="EF134" s="1011"/>
      <c r="EG134" s="1011"/>
      <c r="EH134" s="1011"/>
      <c r="EI134" s="1011"/>
      <c r="EJ134" s="1011"/>
      <c r="EK134" s="1011"/>
      <c r="EL134" s="1011"/>
      <c r="EM134" s="1321"/>
    </row>
    <row r="135" spans="1:143" ht="30">
      <c r="A135" s="1013"/>
      <c r="B135" s="1014" t="s">
        <v>733</v>
      </c>
      <c r="C135" s="1015"/>
      <c r="D135" s="1138"/>
      <c r="E135" s="1138"/>
      <c r="F135" s="1138"/>
      <c r="G135" s="1138"/>
      <c r="H135" s="1138"/>
      <c r="I135" s="1140"/>
      <c r="J135" s="1140"/>
      <c r="K135" s="1140"/>
      <c r="L135" s="1140"/>
      <c r="M135" s="1140"/>
      <c r="N135" s="1140"/>
      <c r="O135" s="1140"/>
      <c r="P135" s="1140"/>
      <c r="Q135" s="1140"/>
      <c r="R135" s="1140"/>
      <c r="S135" s="1140"/>
      <c r="T135" s="1140"/>
      <c r="U135" s="1140"/>
      <c r="V135" s="1140"/>
      <c r="W135" s="1140"/>
      <c r="X135" s="1140"/>
      <c r="Y135" s="1140"/>
      <c r="Z135" s="1140"/>
      <c r="AA135" s="1140"/>
      <c r="AB135" s="1140"/>
      <c r="AC135" s="1140"/>
      <c r="AD135" s="1140"/>
      <c r="AE135" s="1140"/>
      <c r="AF135" s="1140"/>
      <c r="AG135" s="1141"/>
      <c r="AH135" s="1141"/>
      <c r="AI135" s="1141"/>
      <c r="AJ135" s="1141"/>
      <c r="AK135" s="1141"/>
      <c r="AL135" s="1141"/>
      <c r="AM135" s="1141"/>
      <c r="AN135" s="1141"/>
      <c r="AO135" s="1141"/>
      <c r="AP135" s="1141"/>
      <c r="AQ135" s="1141"/>
      <c r="AR135" s="1141"/>
      <c r="AS135" s="1141"/>
      <c r="AT135" s="1141"/>
      <c r="AU135" s="1140"/>
      <c r="AV135" s="1140"/>
      <c r="AW135" s="1140"/>
      <c r="AX135" s="1140"/>
      <c r="AY135" s="1140"/>
      <c r="AZ135" s="1140"/>
      <c r="BA135" s="1140"/>
      <c r="BB135" s="1140"/>
      <c r="BC135" s="1140"/>
      <c r="BD135" s="1140"/>
      <c r="BE135" s="1140"/>
      <c r="BF135" s="1140"/>
      <c r="BG135" s="1140"/>
      <c r="BH135" s="1140"/>
      <c r="BI135" s="1140"/>
      <c r="BJ135" s="1140"/>
      <c r="BK135" s="1140"/>
      <c r="BL135" s="1140"/>
      <c r="BM135" s="1140"/>
      <c r="BN135" s="1140"/>
      <c r="BO135" s="1140"/>
      <c r="BP135" s="1140"/>
      <c r="BQ135" s="1140"/>
      <c r="BR135" s="1140"/>
      <c r="BS135" s="1140"/>
      <c r="BT135" s="1139" t="s">
        <v>734</v>
      </c>
      <c r="BU135" s="1140"/>
      <c r="BV135" s="1140"/>
      <c r="BW135" s="1140"/>
      <c r="BX135" s="1140"/>
      <c r="BY135" s="1140"/>
      <c r="BZ135" s="1140"/>
      <c r="CA135" s="1140"/>
      <c r="CB135" s="1140"/>
      <c r="CC135" s="1140"/>
      <c r="CD135" s="1140"/>
      <c r="CE135" s="1140"/>
      <c r="CF135" s="1140"/>
      <c r="CG135" s="1140"/>
      <c r="CH135" s="1140"/>
      <c r="CI135" s="1140"/>
      <c r="CJ135" s="1140"/>
      <c r="CK135" s="1140"/>
      <c r="CL135" s="1140"/>
      <c r="CM135" s="1140"/>
      <c r="CN135" s="1140"/>
      <c r="CO135" s="1140"/>
      <c r="CP135" s="1140"/>
      <c r="CQ135" s="1140"/>
      <c r="CR135" s="1140"/>
      <c r="CS135" s="1140"/>
      <c r="CT135" s="1140"/>
      <c r="CU135" s="1140"/>
      <c r="CV135" s="1140"/>
      <c r="CW135" s="1140"/>
      <c r="CX135" s="1140"/>
      <c r="CY135" s="1140"/>
      <c r="CZ135" s="1140"/>
      <c r="DA135" s="1140"/>
      <c r="DB135" s="1140"/>
      <c r="DC135" s="1140"/>
      <c r="DD135" s="1140"/>
      <c r="DE135" s="1140"/>
      <c r="DF135" s="1140"/>
      <c r="DG135" s="1140"/>
      <c r="DH135" s="1140"/>
      <c r="DI135" s="1140"/>
      <c r="DJ135" s="1140"/>
      <c r="DK135" s="1140"/>
      <c r="DL135" s="1140"/>
      <c r="DM135" s="1140"/>
      <c r="DN135" s="1140"/>
      <c r="DO135" s="1140"/>
      <c r="DP135" s="1140"/>
      <c r="DQ135" s="1140"/>
      <c r="DR135" s="1140"/>
      <c r="DS135" s="1140"/>
      <c r="DT135" s="1140"/>
      <c r="DU135" s="1140"/>
      <c r="DV135" s="1140"/>
      <c r="DW135" s="1140"/>
      <c r="DX135" s="1140"/>
      <c r="DY135" s="1140"/>
      <c r="DZ135" s="1140"/>
      <c r="EA135" s="1142"/>
      <c r="EB135" s="1020"/>
      <c r="EC135" s="1020"/>
      <c r="ED135" s="1020"/>
      <c r="EE135" s="1020" t="s">
        <v>165</v>
      </c>
      <c r="EF135" s="1020"/>
      <c r="EG135" s="1021"/>
      <c r="EH135" s="1021"/>
      <c r="EI135" s="1021"/>
      <c r="EJ135" s="1021"/>
      <c r="EK135" s="1021"/>
      <c r="EL135" s="1021"/>
      <c r="EM135" s="1322"/>
    </row>
    <row r="136" spans="1:143" ht="15" customHeight="1">
      <c r="A136" s="998"/>
      <c r="B136" s="1207"/>
      <c r="C136" s="1167"/>
      <c r="D136" s="1208"/>
      <c r="E136" s="1208"/>
      <c r="F136" s="1208"/>
      <c r="G136" s="1208">
        <v>2006</v>
      </c>
      <c r="H136" s="1208"/>
      <c r="I136" s="1208"/>
      <c r="J136" s="1208"/>
      <c r="K136" s="1145"/>
      <c r="L136" s="1146"/>
      <c r="M136" s="1146"/>
      <c r="N136" s="1209"/>
      <c r="O136" s="1146"/>
      <c r="P136" s="1146">
        <v>2007</v>
      </c>
      <c r="Q136" s="1146"/>
      <c r="R136" s="1146"/>
      <c r="S136" s="1146"/>
      <c r="T136" s="1146"/>
      <c r="U136" s="1146"/>
      <c r="V136" s="1151"/>
      <c r="W136" s="1145"/>
      <c r="X136" s="1146"/>
      <c r="Y136" s="1146"/>
      <c r="Z136" s="1146"/>
      <c r="AA136" s="1146"/>
      <c r="AB136" s="1146">
        <v>2008</v>
      </c>
      <c r="AC136" s="1146"/>
      <c r="AD136" s="1146"/>
      <c r="AE136" s="1146"/>
      <c r="AF136" s="1146"/>
      <c r="AG136" s="1146"/>
      <c r="AH136" s="1151"/>
      <c r="AI136" s="1210"/>
      <c r="AJ136" s="1211"/>
      <c r="AK136" s="1211"/>
      <c r="AL136" s="1211"/>
      <c r="AM136" s="1211"/>
      <c r="AN136" s="1211">
        <v>2009</v>
      </c>
      <c r="AO136" s="1211"/>
      <c r="AP136" s="1211"/>
      <c r="AQ136" s="1211"/>
      <c r="AR136" s="1211"/>
      <c r="AS136" s="1211"/>
      <c r="AT136" s="1212"/>
      <c r="AU136" s="1213"/>
      <c r="AV136" s="1214"/>
      <c r="AW136" s="1214"/>
      <c r="AX136" s="1214"/>
      <c r="AY136" s="1214"/>
      <c r="AZ136" s="1214">
        <v>2010</v>
      </c>
      <c r="BA136" s="1214"/>
      <c r="BB136" s="1214"/>
      <c r="BC136" s="1214"/>
      <c r="BD136" s="1214"/>
      <c r="BE136" s="1214"/>
      <c r="BF136" s="1214"/>
      <c r="BG136" s="1154"/>
      <c r="BH136" s="1154"/>
      <c r="BI136" s="1154"/>
      <c r="BJ136" s="1154"/>
      <c r="BK136" s="1154"/>
      <c r="BL136" s="1154">
        <v>2011</v>
      </c>
      <c r="BM136" s="1154"/>
      <c r="BN136" s="1154"/>
      <c r="BO136" s="1154"/>
      <c r="BP136" s="1154"/>
      <c r="BQ136" s="1154"/>
      <c r="BR136" s="1154"/>
      <c r="BS136" s="1155"/>
      <c r="BT136" s="1156"/>
      <c r="BU136" s="1156"/>
      <c r="BV136" s="1156"/>
      <c r="BW136" s="1156"/>
      <c r="BX136" s="1156">
        <v>2012</v>
      </c>
      <c r="BY136" s="1156"/>
      <c r="BZ136" s="1156"/>
      <c r="CA136" s="1156"/>
      <c r="CB136" s="1156"/>
      <c r="CC136" s="1156"/>
      <c r="CD136" s="1156"/>
      <c r="CE136" s="1157"/>
      <c r="CF136" s="1158"/>
      <c r="CG136" s="1158"/>
      <c r="CH136" s="1158"/>
      <c r="CI136" s="1158"/>
      <c r="CJ136" s="1158">
        <v>2013</v>
      </c>
      <c r="CK136" s="1158"/>
      <c r="CL136" s="1158"/>
      <c r="CM136" s="1158"/>
      <c r="CN136" s="1158"/>
      <c r="CO136" s="1158"/>
      <c r="CP136" s="1158"/>
      <c r="CQ136" s="1043">
        <v>2014</v>
      </c>
      <c r="CR136" s="1044"/>
      <c r="CS136" s="1044"/>
      <c r="CT136" s="1044"/>
      <c r="CU136" s="1044"/>
      <c r="CV136" s="1044"/>
      <c r="CW136" s="1044"/>
      <c r="CX136" s="1044"/>
      <c r="CY136" s="1044"/>
      <c r="CZ136" s="1044"/>
      <c r="DA136" s="1044"/>
      <c r="DB136" s="1045"/>
      <c r="DC136" s="1159">
        <v>2015</v>
      </c>
      <c r="DD136" s="1159"/>
      <c r="DE136" s="1159"/>
      <c r="DF136" s="1159"/>
      <c r="DG136" s="1159"/>
      <c r="DH136" s="1159"/>
      <c r="DI136" s="1159"/>
      <c r="DJ136" s="1159"/>
      <c r="DK136" s="1159"/>
      <c r="DL136" s="1159"/>
      <c r="DM136" s="1159"/>
      <c r="DN136" s="1047"/>
      <c r="DO136" s="1044">
        <v>2016</v>
      </c>
      <c r="DP136" s="1044"/>
      <c r="DQ136" s="1044"/>
      <c r="DR136" s="1044"/>
      <c r="DS136" s="1044"/>
      <c r="DT136" s="1044"/>
      <c r="DU136" s="1160"/>
      <c r="DV136" s="1160"/>
      <c r="DW136" s="1160"/>
      <c r="DX136" s="1160"/>
      <c r="DY136" s="1160"/>
      <c r="DZ136" s="1160"/>
      <c r="EA136" s="1077"/>
      <c r="EB136" s="1048">
        <v>2006</v>
      </c>
      <c r="EC136" s="1161">
        <v>2007</v>
      </c>
      <c r="ED136" s="1161">
        <v>2008</v>
      </c>
      <c r="EE136" s="1161">
        <v>2009</v>
      </c>
      <c r="EF136" s="1161">
        <v>2010</v>
      </c>
      <c r="EG136" s="1161">
        <v>2011</v>
      </c>
      <c r="EH136" s="1161">
        <v>2012</v>
      </c>
      <c r="EI136" s="1161">
        <v>2013</v>
      </c>
      <c r="EJ136" s="1161">
        <v>2014</v>
      </c>
      <c r="EK136" s="1161">
        <v>2015</v>
      </c>
      <c r="EL136" s="1049">
        <v>2016</v>
      </c>
      <c r="EM136" s="1315" t="s">
        <v>899</v>
      </c>
    </row>
    <row r="137" spans="1:143">
      <c r="A137" s="998"/>
      <c r="B137" s="1215" t="s">
        <v>735</v>
      </c>
      <c r="C137" s="1164"/>
      <c r="D137" s="1216" t="s">
        <v>42</v>
      </c>
      <c r="E137" s="1216" t="s">
        <v>43</v>
      </c>
      <c r="F137" s="1216" t="s">
        <v>44</v>
      </c>
      <c r="G137" s="1217" t="s">
        <v>45</v>
      </c>
      <c r="H137" s="1217" t="s">
        <v>46</v>
      </c>
      <c r="I137" s="1217" t="s">
        <v>47</v>
      </c>
      <c r="J137" s="1217" t="s">
        <v>48</v>
      </c>
      <c r="K137" s="1061" t="s">
        <v>37</v>
      </c>
      <c r="L137" s="1056" t="s">
        <v>38</v>
      </c>
      <c r="M137" s="1056" t="s">
        <v>39</v>
      </c>
      <c r="N137" s="1056" t="s">
        <v>40</v>
      </c>
      <c r="O137" s="1056" t="s">
        <v>41</v>
      </c>
      <c r="P137" s="1056" t="s">
        <v>42</v>
      </c>
      <c r="Q137" s="1056" t="s">
        <v>43</v>
      </c>
      <c r="R137" s="1056" t="s">
        <v>44</v>
      </c>
      <c r="S137" s="1056" t="s">
        <v>45</v>
      </c>
      <c r="T137" s="1056" t="s">
        <v>46</v>
      </c>
      <c r="U137" s="1056" t="s">
        <v>47</v>
      </c>
      <c r="V137" s="1057" t="s">
        <v>48</v>
      </c>
      <c r="W137" s="1061" t="s">
        <v>37</v>
      </c>
      <c r="X137" s="1056" t="s">
        <v>38</v>
      </c>
      <c r="Y137" s="1056" t="s">
        <v>39</v>
      </c>
      <c r="Z137" s="1056" t="s">
        <v>40</v>
      </c>
      <c r="AA137" s="1056" t="s">
        <v>41</v>
      </c>
      <c r="AB137" s="1056" t="s">
        <v>42</v>
      </c>
      <c r="AC137" s="1056" t="s">
        <v>43</v>
      </c>
      <c r="AD137" s="1056" t="s">
        <v>44</v>
      </c>
      <c r="AE137" s="1056" t="s">
        <v>45</v>
      </c>
      <c r="AF137" s="1056" t="s">
        <v>46</v>
      </c>
      <c r="AG137" s="1056" t="s">
        <v>47</v>
      </c>
      <c r="AH137" s="1057" t="s">
        <v>48</v>
      </c>
      <c r="AI137" s="1218" t="s">
        <v>37</v>
      </c>
      <c r="AJ137" s="1218" t="s">
        <v>38</v>
      </c>
      <c r="AK137" s="1218" t="s">
        <v>39</v>
      </c>
      <c r="AL137" s="1218" t="s">
        <v>40</v>
      </c>
      <c r="AM137" s="1218" t="s">
        <v>41</v>
      </c>
      <c r="AN137" s="1218" t="s">
        <v>42</v>
      </c>
      <c r="AO137" s="1218" t="s">
        <v>43</v>
      </c>
      <c r="AP137" s="1218" t="s">
        <v>44</v>
      </c>
      <c r="AQ137" s="1218" t="s">
        <v>45</v>
      </c>
      <c r="AR137" s="1218" t="s">
        <v>46</v>
      </c>
      <c r="AS137" s="1218" t="s">
        <v>47</v>
      </c>
      <c r="AT137" s="1218" t="s">
        <v>48</v>
      </c>
      <c r="AU137" s="1061" t="s">
        <v>37</v>
      </c>
      <c r="AV137" s="1056" t="s">
        <v>38</v>
      </c>
      <c r="AW137" s="1056" t="s">
        <v>39</v>
      </c>
      <c r="AX137" s="1056" t="s">
        <v>40</v>
      </c>
      <c r="AY137" s="1056" t="s">
        <v>41</v>
      </c>
      <c r="AZ137" s="1056" t="s">
        <v>42</v>
      </c>
      <c r="BA137" s="1056" t="s">
        <v>43</v>
      </c>
      <c r="BB137" s="1056" t="s">
        <v>44</v>
      </c>
      <c r="BC137" s="1056" t="s">
        <v>45</v>
      </c>
      <c r="BD137" s="1056" t="s">
        <v>46</v>
      </c>
      <c r="BE137" s="1056" t="s">
        <v>47</v>
      </c>
      <c r="BF137" s="1056" t="s">
        <v>48</v>
      </c>
      <c r="BG137" s="1063" t="s">
        <v>37</v>
      </c>
      <c r="BH137" s="1063" t="s">
        <v>38</v>
      </c>
      <c r="BI137" s="1063" t="s">
        <v>39</v>
      </c>
      <c r="BJ137" s="1063" t="s">
        <v>40</v>
      </c>
      <c r="BK137" s="1063" t="s">
        <v>41</v>
      </c>
      <c r="BL137" s="1063" t="s">
        <v>42</v>
      </c>
      <c r="BM137" s="1063" t="s">
        <v>43</v>
      </c>
      <c r="BN137" s="1063" t="s">
        <v>44</v>
      </c>
      <c r="BO137" s="1063" t="s">
        <v>45</v>
      </c>
      <c r="BP137" s="1063" t="s">
        <v>46</v>
      </c>
      <c r="BQ137" s="1063" t="s">
        <v>47</v>
      </c>
      <c r="BR137" s="1063" t="s">
        <v>48</v>
      </c>
      <c r="BS137" s="1128" t="s">
        <v>37</v>
      </c>
      <c r="BT137" s="1129" t="s">
        <v>38</v>
      </c>
      <c r="BU137" s="1129" t="s">
        <v>39</v>
      </c>
      <c r="BV137" s="1129" t="s">
        <v>40</v>
      </c>
      <c r="BW137" s="1129" t="s">
        <v>41</v>
      </c>
      <c r="BX137" s="1129" t="s">
        <v>42</v>
      </c>
      <c r="BY137" s="1129" t="s">
        <v>43</v>
      </c>
      <c r="BZ137" s="1129" t="s">
        <v>44</v>
      </c>
      <c r="CA137" s="1129" t="s">
        <v>45</v>
      </c>
      <c r="CB137" s="1065" t="s">
        <v>46</v>
      </c>
      <c r="CC137" s="1065" t="s">
        <v>47</v>
      </c>
      <c r="CD137" s="1065" t="s">
        <v>48</v>
      </c>
      <c r="CE137" s="1066" t="s">
        <v>37</v>
      </c>
      <c r="CF137" s="1067" t="s">
        <v>38</v>
      </c>
      <c r="CG137" s="1067" t="s">
        <v>39</v>
      </c>
      <c r="CH137" s="1067" t="s">
        <v>40</v>
      </c>
      <c r="CI137" s="1067" t="s">
        <v>41</v>
      </c>
      <c r="CJ137" s="1067" t="s">
        <v>42</v>
      </c>
      <c r="CK137" s="1067" t="s">
        <v>43</v>
      </c>
      <c r="CL137" s="1067" t="s">
        <v>44</v>
      </c>
      <c r="CM137" s="1067" t="s">
        <v>45</v>
      </c>
      <c r="CN137" s="1067" t="s">
        <v>46</v>
      </c>
      <c r="CO137" s="1067" t="s">
        <v>47</v>
      </c>
      <c r="CP137" s="1067" t="s">
        <v>48</v>
      </c>
      <c r="CQ137" s="1068" t="s">
        <v>37</v>
      </c>
      <c r="CR137" s="1069" t="s">
        <v>38</v>
      </c>
      <c r="CS137" s="1069" t="s">
        <v>39</v>
      </c>
      <c r="CT137" s="1069" t="s">
        <v>40</v>
      </c>
      <c r="CU137" s="1069" t="s">
        <v>41</v>
      </c>
      <c r="CV137" s="1069" t="s">
        <v>42</v>
      </c>
      <c r="CW137" s="1069" t="s">
        <v>43</v>
      </c>
      <c r="CX137" s="1069" t="s">
        <v>44</v>
      </c>
      <c r="CY137" s="1069" t="s">
        <v>45</v>
      </c>
      <c r="CZ137" s="1069" t="s">
        <v>46</v>
      </c>
      <c r="DA137" s="1069" t="s">
        <v>47</v>
      </c>
      <c r="DB137" s="1070" t="s">
        <v>48</v>
      </c>
      <c r="DC137" s="1071" t="s">
        <v>37</v>
      </c>
      <c r="DD137" s="1071" t="s">
        <v>38</v>
      </c>
      <c r="DE137" s="1071" t="s">
        <v>39</v>
      </c>
      <c r="DF137" s="1071" t="s">
        <v>40</v>
      </c>
      <c r="DG137" s="1071" t="s">
        <v>41</v>
      </c>
      <c r="DH137" s="1071" t="s">
        <v>42</v>
      </c>
      <c r="DI137" s="1071" t="s">
        <v>43</v>
      </c>
      <c r="DJ137" s="1071" t="s">
        <v>44</v>
      </c>
      <c r="DK137" s="1071" t="s">
        <v>45</v>
      </c>
      <c r="DL137" s="1071" t="s">
        <v>46</v>
      </c>
      <c r="DM137" s="1071" t="s">
        <v>47</v>
      </c>
      <c r="DN137" s="1072" t="s">
        <v>48</v>
      </c>
      <c r="DO137" s="1071" t="s">
        <v>37</v>
      </c>
      <c r="DP137" s="1071" t="s">
        <v>38</v>
      </c>
      <c r="DQ137" s="1071" t="s">
        <v>39</v>
      </c>
      <c r="DR137" s="1071" t="s">
        <v>40</v>
      </c>
      <c r="DS137" s="1071" t="s">
        <v>41</v>
      </c>
      <c r="DT137" s="1071" t="s">
        <v>42</v>
      </c>
      <c r="DU137" s="1071" t="s">
        <v>43</v>
      </c>
      <c r="DV137" s="1071" t="s">
        <v>44</v>
      </c>
      <c r="DW137" s="1071" t="s">
        <v>45</v>
      </c>
      <c r="DX137" s="1071" t="s">
        <v>46</v>
      </c>
      <c r="DY137" s="1071" t="s">
        <v>47</v>
      </c>
      <c r="DZ137" s="1071" t="s">
        <v>48</v>
      </c>
      <c r="EA137" s="1056"/>
      <c r="EB137" s="1190" t="s">
        <v>167</v>
      </c>
      <c r="EC137" s="1165" t="s">
        <v>49</v>
      </c>
      <c r="ED137" s="1165" t="s">
        <v>49</v>
      </c>
      <c r="EE137" s="1165" t="s">
        <v>49</v>
      </c>
      <c r="EF137" s="1165" t="s">
        <v>49</v>
      </c>
      <c r="EG137" s="1165" t="s">
        <v>49</v>
      </c>
      <c r="EH137" s="1165" t="s">
        <v>706</v>
      </c>
      <c r="EI137" s="1165" t="s">
        <v>706</v>
      </c>
      <c r="EJ137" s="1165" t="s">
        <v>706</v>
      </c>
      <c r="EK137" s="1165" t="s">
        <v>706</v>
      </c>
      <c r="EL137" s="1165" t="s">
        <v>706</v>
      </c>
      <c r="EM137" s="1316"/>
    </row>
    <row r="138" spans="1:143">
      <c r="A138" s="998"/>
      <c r="B138" s="1172"/>
      <c r="C138" s="1171"/>
      <c r="D138" s="1219"/>
      <c r="E138" s="1219"/>
      <c r="F138" s="1220" t="s">
        <v>220</v>
      </c>
      <c r="G138" s="1219"/>
      <c r="H138" s="1219"/>
      <c r="I138" s="1219"/>
      <c r="J138" s="1219"/>
      <c r="K138" s="1098"/>
      <c r="L138" s="1099"/>
      <c r="M138" s="1099"/>
      <c r="N138" s="1099"/>
      <c r="O138" s="1099"/>
      <c r="P138" s="1099" t="s">
        <v>220</v>
      </c>
      <c r="Q138" s="1099"/>
      <c r="R138" s="1099"/>
      <c r="S138" s="1099"/>
      <c r="T138" s="1099"/>
      <c r="U138" s="1099"/>
      <c r="V138" s="1100"/>
      <c r="W138" s="1098"/>
      <c r="X138" s="1099"/>
      <c r="Y138" s="1099"/>
      <c r="Z138" s="1099"/>
      <c r="AA138" s="1099"/>
      <c r="AB138" s="1099"/>
      <c r="AC138" s="1099"/>
      <c r="AD138" s="1099" t="s">
        <v>220</v>
      </c>
      <c r="AE138" s="1099"/>
      <c r="AF138" s="1099"/>
      <c r="AG138" s="1099"/>
      <c r="AH138" s="1100"/>
      <c r="AI138" s="1219"/>
      <c r="AJ138" s="1219"/>
      <c r="AK138" s="1219"/>
      <c r="AL138" s="1219"/>
      <c r="AM138" s="1219"/>
      <c r="AN138" s="1219"/>
      <c r="AO138" s="1219"/>
      <c r="AP138" s="1099" t="s">
        <v>220</v>
      </c>
      <c r="AQ138" s="1219"/>
      <c r="AR138" s="1219"/>
      <c r="AS138" s="1219"/>
      <c r="AT138" s="1219"/>
      <c r="AU138" s="1098"/>
      <c r="AV138" s="1099"/>
      <c r="AW138" s="1099"/>
      <c r="AX138" s="1099"/>
      <c r="AY138" s="1099"/>
      <c r="AZ138" s="1099"/>
      <c r="BA138" s="1099"/>
      <c r="BB138" s="1099" t="s">
        <v>220</v>
      </c>
      <c r="BC138" s="1099"/>
      <c r="BD138" s="1099"/>
      <c r="BE138" s="1099"/>
      <c r="BF138" s="1099"/>
      <c r="BG138" s="1105"/>
      <c r="BH138" s="1105"/>
      <c r="BI138" s="1105"/>
      <c r="BJ138" s="1105"/>
      <c r="BK138" s="1105"/>
      <c r="BL138" s="1105"/>
      <c r="BM138" s="1105" t="str">
        <f>+BB138</f>
        <v>Residentes</v>
      </c>
      <c r="BN138" s="1105"/>
      <c r="BO138" s="1105"/>
      <c r="BP138" s="1105"/>
      <c r="BQ138" s="1105"/>
      <c r="BR138" s="1105"/>
      <c r="BS138" s="1106"/>
      <c r="BT138" s="1107"/>
      <c r="BU138" s="1107"/>
      <c r="BV138" s="1107"/>
      <c r="BW138" s="1107"/>
      <c r="BX138" s="1107"/>
      <c r="BY138" s="1107" t="str">
        <f>+BM138</f>
        <v>Residentes</v>
      </c>
      <c r="BZ138" s="1107"/>
      <c r="CA138" s="1107"/>
      <c r="CB138" s="1107"/>
      <c r="CC138" s="1107"/>
      <c r="CD138" s="1107"/>
      <c r="CE138" s="1087"/>
      <c r="CF138" s="1088"/>
      <c r="CG138" s="1088"/>
      <c r="CH138" s="1088"/>
      <c r="CI138" s="1088"/>
      <c r="CJ138" s="1088"/>
      <c r="CK138" s="1088" t="str">
        <f>+BY138</f>
        <v>Residentes</v>
      </c>
      <c r="CL138" s="1088"/>
      <c r="CM138" s="1088"/>
      <c r="CN138" s="1088"/>
      <c r="CO138" s="1088"/>
      <c r="CP138" s="1088"/>
      <c r="CQ138" s="1089"/>
      <c r="CR138" s="1050"/>
      <c r="CS138" s="1050"/>
      <c r="CT138" s="1050"/>
      <c r="CU138" s="1050"/>
      <c r="CV138" s="1050"/>
      <c r="CW138" s="1050" t="str">
        <f>+CK138</f>
        <v>Residentes</v>
      </c>
      <c r="CX138" s="1050"/>
      <c r="CY138" s="1050"/>
      <c r="CZ138" s="1050"/>
      <c r="DA138" s="1050"/>
      <c r="DB138" s="1090"/>
      <c r="DC138" s="1091"/>
      <c r="DD138" s="1091"/>
      <c r="DE138" s="1091"/>
      <c r="DF138" s="1091"/>
      <c r="DG138" s="1091"/>
      <c r="DH138" s="1091"/>
      <c r="DI138" s="1091"/>
      <c r="DJ138" s="1091"/>
      <c r="DK138" s="1091"/>
      <c r="DL138" s="1091"/>
      <c r="DM138" s="1091"/>
      <c r="DN138" s="1092"/>
      <c r="DO138" s="1091"/>
      <c r="DP138" s="1091"/>
      <c r="DQ138" s="1091"/>
      <c r="DR138" s="1091"/>
      <c r="DS138" s="1091"/>
      <c r="DT138" s="1091"/>
      <c r="DU138" s="1091"/>
      <c r="DV138" s="1091"/>
      <c r="DW138" s="1091"/>
      <c r="DX138" s="1091"/>
      <c r="DY138" s="1091"/>
      <c r="DZ138" s="1091"/>
      <c r="EA138" s="1077"/>
      <c r="EB138" s="1111"/>
      <c r="EC138" s="1112"/>
      <c r="ED138" s="1112"/>
      <c r="EE138" s="1112"/>
      <c r="EF138" s="1112"/>
      <c r="EG138" s="1112"/>
      <c r="EH138" s="1112"/>
      <c r="EI138" s="1112"/>
      <c r="EJ138" s="1112"/>
      <c r="EK138" s="1113"/>
      <c r="EL138" s="1112"/>
      <c r="EM138" s="1318"/>
    </row>
    <row r="139" spans="1:143">
      <c r="A139" s="998"/>
      <c r="B139" s="1114" t="s">
        <v>707</v>
      </c>
      <c r="C139" s="1115" t="s">
        <v>708</v>
      </c>
      <c r="D139" s="1221">
        <v>1.4635140644109255</v>
      </c>
      <c r="E139" s="1221">
        <v>1.7067082683307333</v>
      </c>
      <c r="F139" s="1221">
        <v>1.5467079347214405</v>
      </c>
      <c r="G139" s="1221">
        <v>1.6542227662178703</v>
      </c>
      <c r="H139" s="1221">
        <v>1.4431017119838871</v>
      </c>
      <c r="I139" s="1221">
        <v>1.290080738177624</v>
      </c>
      <c r="J139" s="1221">
        <v>1.4614670380687094</v>
      </c>
      <c r="K139" s="1222">
        <v>1.3421383647798737</v>
      </c>
      <c r="L139" s="1076">
        <v>1.4288346384154764</v>
      </c>
      <c r="M139" s="1076">
        <v>1.505175983436853</v>
      </c>
      <c r="N139" s="1076">
        <v>1.3691910499139417</v>
      </c>
      <c r="O139" s="1076">
        <v>1.5016820857863751</v>
      </c>
      <c r="P139" s="1076">
        <v>1.3388059701492536</v>
      </c>
      <c r="Q139" s="1076">
        <v>1.4298474134722738</v>
      </c>
      <c r="R139" s="1076">
        <v>1.2919847328244276</v>
      </c>
      <c r="S139" s="1076">
        <v>1.2997014925373132</v>
      </c>
      <c r="T139" s="1076">
        <v>1.2145275469375192</v>
      </c>
      <c r="U139" s="1076">
        <v>1.2376891334250342</v>
      </c>
      <c r="V139" s="1223">
        <v>1.6662303664921465</v>
      </c>
      <c r="W139" s="1222">
        <v>1.426605504587156</v>
      </c>
      <c r="X139" s="1076">
        <v>1.151440329218107</v>
      </c>
      <c r="Y139" s="1076">
        <v>1.3667443667443668</v>
      </c>
      <c r="Z139" s="1076">
        <v>1.2458595088520847</v>
      </c>
      <c r="AA139" s="1076">
        <v>1.1554707379134861</v>
      </c>
      <c r="AB139" s="1076">
        <v>1.179783950617284</v>
      </c>
      <c r="AC139" s="1076">
        <v>1.1806831566548883</v>
      </c>
      <c r="AD139" s="1076">
        <v>1.1930774664469037</v>
      </c>
      <c r="AE139" s="1076">
        <v>1.2814511410181395</v>
      </c>
      <c r="AF139" s="1076">
        <v>1.076392877656519</v>
      </c>
      <c r="AG139" s="1076">
        <v>1.2192588433464346</v>
      </c>
      <c r="AH139" s="1223">
        <v>1.1673250564334088</v>
      </c>
      <c r="AI139" s="1224">
        <v>1.1785231268596157</v>
      </c>
      <c r="AJ139" s="1224">
        <v>1.0510256410256409</v>
      </c>
      <c r="AK139" s="1224">
        <v>1.1656118143459913</v>
      </c>
      <c r="AL139" s="1224">
        <v>1.2778348749571773</v>
      </c>
      <c r="AM139" s="1224">
        <v>1.2725130890052354</v>
      </c>
      <c r="AN139" s="1224">
        <v>1.2173913043478262</v>
      </c>
      <c r="AO139" s="1224">
        <v>1.1710234824988923</v>
      </c>
      <c r="AP139" s="1224">
        <v>1.3498694516971281</v>
      </c>
      <c r="AQ139" s="1224">
        <v>1.2340909090909089</v>
      </c>
      <c r="AR139" s="1224">
        <v>1.2051077414205906</v>
      </c>
      <c r="AS139" s="1224">
        <v>1.1808236808236807</v>
      </c>
      <c r="AT139" s="1224">
        <v>1.0894680279419666</v>
      </c>
      <c r="AU139" s="1222">
        <v>1.1300077539415869</v>
      </c>
      <c r="AV139" s="1076">
        <v>1.1762295081967213</v>
      </c>
      <c r="AW139" s="1076">
        <v>1.1718901453957997</v>
      </c>
      <c r="AX139" s="1076">
        <v>1.1672991777356103</v>
      </c>
      <c r="AY139" s="1076">
        <v>1.28784049424319</v>
      </c>
      <c r="AZ139" s="1076">
        <v>1.2284820031298906</v>
      </c>
      <c r="BA139" s="1076">
        <v>1.1574758385446278</v>
      </c>
      <c r="BB139" s="1076">
        <v>1.2684504557483092</v>
      </c>
      <c r="BC139" s="1076">
        <v>1.2908150064683053</v>
      </c>
      <c r="BD139" s="1076">
        <v>1.2211743230909644</v>
      </c>
      <c r="BE139" s="1076">
        <v>1.1694333142530051</v>
      </c>
      <c r="BF139" s="1076">
        <v>1.1300345224395858</v>
      </c>
      <c r="BG139" s="1225">
        <v>1.1378848728246318</v>
      </c>
      <c r="BH139" s="1225">
        <v>1.2146324549237173</v>
      </c>
      <c r="BI139" s="1225">
        <v>1.1240329423508859</v>
      </c>
      <c r="BJ139" s="1225">
        <v>1.1070862576409328</v>
      </c>
      <c r="BK139" s="1225">
        <v>1.2339575005259835</v>
      </c>
      <c r="BL139" s="1225">
        <v>1.3805732484076434</v>
      </c>
      <c r="BM139" s="1225">
        <v>1.3226733740567733</v>
      </c>
      <c r="BN139" s="1225">
        <v>1.1569239500567539</v>
      </c>
      <c r="BO139" s="1225">
        <v>1.1346435291657955</v>
      </c>
      <c r="BP139" s="1225">
        <v>1.1374841168996186</v>
      </c>
      <c r="BQ139" s="1225">
        <v>1.2258475656385417</v>
      </c>
      <c r="BR139" s="1225">
        <v>1.3098849372384935</v>
      </c>
      <c r="BS139" s="1226">
        <v>1.2905874921036007</v>
      </c>
      <c r="BT139" s="1227">
        <v>1.4822820694542878</v>
      </c>
      <c r="BU139" s="1227">
        <v>1.2940496822645871</v>
      </c>
      <c r="BV139" s="1227">
        <v>1.1815384615384619</v>
      </c>
      <c r="BW139" s="1227">
        <v>1.484810653349979</v>
      </c>
      <c r="BX139" s="1227">
        <v>1.2614876033057851</v>
      </c>
      <c r="BY139" s="1227">
        <v>1.2317596566523608</v>
      </c>
      <c r="BZ139" s="1227">
        <v>1.207283611873285</v>
      </c>
      <c r="CA139" s="1227">
        <v>1.2618828580190127</v>
      </c>
      <c r="CB139" s="1227">
        <v>1.2148825065274154</v>
      </c>
      <c r="CC139" s="1227">
        <v>1.2895916334661353</v>
      </c>
      <c r="CD139" s="1227">
        <v>1.3877304321547297</v>
      </c>
      <c r="CE139" s="1228">
        <v>1.3201013513513513</v>
      </c>
      <c r="CF139" s="1229">
        <v>1.3760272031737035</v>
      </c>
      <c r="CG139" s="1229">
        <v>1.3265932940875349</v>
      </c>
      <c r="CH139" s="1229">
        <v>1.4468584850264237</v>
      </c>
      <c r="CI139" s="1229">
        <v>1.2270240700218815</v>
      </c>
      <c r="CJ139" s="1229">
        <v>1.5558698727015561</v>
      </c>
      <c r="CK139" s="1229">
        <v>1.497448111602586</v>
      </c>
      <c r="CL139" s="1229">
        <v>1.4053103007037746</v>
      </c>
      <c r="CM139" s="1229">
        <v>1.2571010248901906</v>
      </c>
      <c r="CN139" s="1229">
        <v>1.3940472339048855</v>
      </c>
      <c r="CO139" s="1229">
        <v>1.3004895960832312</v>
      </c>
      <c r="CP139" s="1229">
        <v>1.3031628532974429</v>
      </c>
      <c r="CQ139" s="1230">
        <v>1.3135964912280702</v>
      </c>
      <c r="CR139" s="1231">
        <v>1.4949679780420859</v>
      </c>
      <c r="CS139" s="1231">
        <v>1.558703638290357</v>
      </c>
      <c r="CT139" s="1231">
        <v>1.1799828178694158</v>
      </c>
      <c r="CU139" s="1231">
        <v>1.1382555193630113</v>
      </c>
      <c r="CV139" s="1231">
        <v>1.1326607319485658</v>
      </c>
      <c r="CW139" s="1231">
        <v>1.2310000000000001</v>
      </c>
      <c r="CX139" s="1231">
        <v>1.1560250391236306</v>
      </c>
      <c r="CY139" s="1231">
        <v>1.4348727272727271</v>
      </c>
      <c r="CZ139" s="1231">
        <v>1.2514864864864865</v>
      </c>
      <c r="DA139" s="1231">
        <v>1.195735900962861</v>
      </c>
      <c r="DB139" s="1232">
        <v>1.4042322991249006</v>
      </c>
      <c r="DC139" s="1233">
        <v>1.4705285996055228</v>
      </c>
      <c r="DD139" s="1233">
        <v>1.3572677595628413</v>
      </c>
      <c r="DE139" s="1233">
        <v>1.2710137085137083</v>
      </c>
      <c r="DF139" s="1233">
        <v>1.3500275650842266</v>
      </c>
      <c r="DG139" s="1233">
        <v>1.416123745819398</v>
      </c>
      <c r="DH139" s="1233">
        <v>1.2573034013605442</v>
      </c>
      <c r="DI139" s="1233">
        <v>1.2751889832991501</v>
      </c>
      <c r="DJ139" s="1233">
        <v>1.2659537953795379</v>
      </c>
      <c r="DK139" s="1233">
        <v>1.458</v>
      </c>
      <c r="DL139" s="1233">
        <v>1.3938821138211381</v>
      </c>
      <c r="DM139" s="1233">
        <v>1.1883998493975905</v>
      </c>
      <c r="DN139" s="1234">
        <v>1.164440689422102</v>
      </c>
      <c r="DO139" s="1233">
        <v>1.2153794188861986</v>
      </c>
      <c r="DP139" s="1233">
        <v>1.2285746984225179</v>
      </c>
      <c r="DQ139" s="1233">
        <v>1.2070365070093458</v>
      </c>
      <c r="DR139" s="1233">
        <v>1.2233540245566168</v>
      </c>
      <c r="DS139" s="1233">
        <v>1.3334866812911312</v>
      </c>
      <c r="DT139" s="1233">
        <v>1.4445068214804064</v>
      </c>
      <c r="DU139" s="1233">
        <v>1.3741695125737348</v>
      </c>
      <c r="DV139" s="1233">
        <v>1.3521169176262178</v>
      </c>
      <c r="DW139" s="1233">
        <v>1.4587704381948983</v>
      </c>
      <c r="DX139" s="1233">
        <v>1.5034731113956468</v>
      </c>
      <c r="DY139" s="1233">
        <v>1.3453058596265295</v>
      </c>
      <c r="DZ139" s="1233">
        <v>1.1778078748952805</v>
      </c>
      <c r="EA139" s="1077"/>
      <c r="EB139" s="1235">
        <v>1.5017690997248068</v>
      </c>
      <c r="EC139" s="1236">
        <v>1.3721791753860082</v>
      </c>
      <c r="ED139" s="1236">
        <v>1.2120758723876635</v>
      </c>
      <c r="EE139" s="1236">
        <v>1.1975453370974687</v>
      </c>
      <c r="EF139" s="1236">
        <v>1.1994567326348466</v>
      </c>
      <c r="EG139" s="1236">
        <v>1.1994836790058627</v>
      </c>
      <c r="EH139" s="1236">
        <v>1.288146837682441</v>
      </c>
      <c r="EI139" s="1236">
        <v>1.3621154476051311</v>
      </c>
      <c r="EJ139" s="1236">
        <f t="shared" ref="EJ139:EJ146" si="18">AVERAGE(CQ139:DB139)</f>
        <v>1.2909599691426761</v>
      </c>
      <c r="EK139" s="1237">
        <v>1.3192172682236378</v>
      </c>
      <c r="EL139" s="1236">
        <f t="shared" ref="EL139:EL146" si="19">AVERAGE(DO139:DZ139)</f>
        <v>1.321998488829877</v>
      </c>
      <c r="EM139" s="1329">
        <v>1.3385928052341491</v>
      </c>
    </row>
    <row r="140" spans="1:143">
      <c r="A140" s="998"/>
      <c r="B140" s="1114" t="s">
        <v>709</v>
      </c>
      <c r="C140" s="1115" t="s">
        <v>710</v>
      </c>
      <c r="D140" s="1221">
        <v>1.6866746698679471</v>
      </c>
      <c r="E140" s="1221">
        <v>1.6048918156161807</v>
      </c>
      <c r="F140" s="1221">
        <v>1.2438551099611901</v>
      </c>
      <c r="G140" s="1221">
        <v>1.8931372549019607</v>
      </c>
      <c r="H140" s="1221">
        <v>1.5683701657458564</v>
      </c>
      <c r="I140" s="1221">
        <v>1.2133333333333334</v>
      </c>
      <c r="J140" s="1221">
        <v>1.8473895582329318</v>
      </c>
      <c r="K140" s="1222">
        <v>1.1401960784313727</v>
      </c>
      <c r="L140" s="1076">
        <v>1.3339145597210114</v>
      </c>
      <c r="M140" s="1076">
        <v>1.7162673392181591</v>
      </c>
      <c r="N140" s="1076">
        <v>1.9848599545798638</v>
      </c>
      <c r="O140" s="1076">
        <v>1.3897849462365592</v>
      </c>
      <c r="P140" s="1076">
        <v>1.1972062448644205</v>
      </c>
      <c r="Q140" s="1076">
        <v>1.2319932998324961</v>
      </c>
      <c r="R140" s="1076">
        <v>1.2953410981697175</v>
      </c>
      <c r="S140" s="1076">
        <v>1.2233948988566405</v>
      </c>
      <c r="T140" s="1076">
        <v>1.4058908045977012</v>
      </c>
      <c r="U140" s="1076">
        <v>1.2967791411042946</v>
      </c>
      <c r="V140" s="1223">
        <v>1.7851099830795263</v>
      </c>
      <c r="W140" s="1222">
        <v>1.6515873015873015</v>
      </c>
      <c r="X140" s="1076">
        <v>1.4683026584867074</v>
      </c>
      <c r="Y140" s="1076">
        <v>1.564779874213837</v>
      </c>
      <c r="Z140" s="1076">
        <v>1.2026286966046003</v>
      </c>
      <c r="AA140" s="1076">
        <v>1.1853233830845769</v>
      </c>
      <c r="AB140" s="1076">
        <v>1.4464912280701754</v>
      </c>
      <c r="AC140" s="1076">
        <v>1.3239595050618673</v>
      </c>
      <c r="AD140" s="1076">
        <v>1.787136294027565</v>
      </c>
      <c r="AE140" s="1076">
        <v>1.5917573872472781</v>
      </c>
      <c r="AF140" s="1076">
        <v>1.3803680981595092</v>
      </c>
      <c r="AG140" s="1076">
        <v>1.6442762535477766</v>
      </c>
      <c r="AH140" s="1223">
        <v>1.8052190121155638</v>
      </c>
      <c r="AI140" s="1224">
        <v>1.1802864363942711</v>
      </c>
      <c r="AJ140" s="1224">
        <v>1.6383838383838381</v>
      </c>
      <c r="AK140" s="1224">
        <v>1.1851851851851853</v>
      </c>
      <c r="AL140" s="1224">
        <v>1.2291666666666667</v>
      </c>
      <c r="AM140" s="1224">
        <v>1.2993548387096772</v>
      </c>
      <c r="AN140" s="1224">
        <v>1.3986354775828462</v>
      </c>
      <c r="AO140" s="1224">
        <v>1.3937823834196892</v>
      </c>
      <c r="AP140" s="1224">
        <v>1.2689611217335883</v>
      </c>
      <c r="AQ140" s="1224">
        <v>1.2635379061371841</v>
      </c>
      <c r="AR140" s="1224">
        <v>1.291611185086551</v>
      </c>
      <c r="AS140" s="1224">
        <v>1.3407202216066485</v>
      </c>
      <c r="AT140" s="1224">
        <v>1.5176358436606292</v>
      </c>
      <c r="AU140" s="1222">
        <v>1.4689880304678999</v>
      </c>
      <c r="AV140" s="1076">
        <v>1.2399626517273576</v>
      </c>
      <c r="AW140" s="1076">
        <v>1.379690949227373</v>
      </c>
      <c r="AX140" s="1076">
        <v>1.0955198647506339</v>
      </c>
      <c r="AY140" s="1076">
        <v>1.2196467991169981</v>
      </c>
      <c r="AZ140" s="1076">
        <v>1.1923076923076921</v>
      </c>
      <c r="BA140" s="1076">
        <v>1.1815476190476188</v>
      </c>
      <c r="BB140" s="1076">
        <v>1.2102728731942216</v>
      </c>
      <c r="BC140" s="1076">
        <v>1.0925039872408293</v>
      </c>
      <c r="BD140" s="1076">
        <v>1.1428571428571428</v>
      </c>
      <c r="BE140" s="1076">
        <v>1.0964125560538116</v>
      </c>
      <c r="BF140" s="1076">
        <v>1.0929018789144049</v>
      </c>
      <c r="BG140" s="1225">
        <v>1.3089171974522293</v>
      </c>
      <c r="BH140" s="1225">
        <v>1.3344907407407409</v>
      </c>
      <c r="BI140" s="1225">
        <v>1.1847133757961785</v>
      </c>
      <c r="BJ140" s="1225">
        <v>1.0803461063040791</v>
      </c>
      <c r="BK140" s="1225">
        <v>1.0991735537190082</v>
      </c>
      <c r="BL140" s="1225">
        <v>1.1052123552123552</v>
      </c>
      <c r="BM140" s="1225">
        <v>1.1490147783251232</v>
      </c>
      <c r="BN140" s="1225">
        <v>1.1092436974789917</v>
      </c>
      <c r="BO140" s="1225">
        <v>1.14726507713885</v>
      </c>
      <c r="BP140" s="1225">
        <v>1.1877256317689533</v>
      </c>
      <c r="BQ140" s="1225">
        <v>1.174329501915709</v>
      </c>
      <c r="BR140" s="1225">
        <v>1.1847133757961785</v>
      </c>
      <c r="BS140" s="1226">
        <v>1.160905840286055</v>
      </c>
      <c r="BT140" s="1227">
        <v>1.1150121065375305</v>
      </c>
      <c r="BU140" s="1227">
        <v>1.138671875</v>
      </c>
      <c r="BV140" s="1227">
        <v>1.24896265560166</v>
      </c>
      <c r="BW140" s="1227">
        <v>1.2549019607843137</v>
      </c>
      <c r="BX140" s="1227">
        <v>1.2446524064171123</v>
      </c>
      <c r="BY140" s="1227">
        <v>1.1467505241090146</v>
      </c>
      <c r="BZ140" s="1227">
        <v>1.1839464882943145</v>
      </c>
      <c r="CA140" s="1227">
        <v>1.355335533553355</v>
      </c>
      <c r="CB140" s="1227">
        <v>1.2695035460992907</v>
      </c>
      <c r="CC140" s="1227">
        <v>1.1538461538461537</v>
      </c>
      <c r="CD140" s="1227">
        <v>1.1349765258215965</v>
      </c>
      <c r="CE140" s="1228">
        <v>1.1497252747252746</v>
      </c>
      <c r="CF140" s="1229">
        <v>1.2089947089947088</v>
      </c>
      <c r="CG140" s="1229">
        <v>1.1695303550973655</v>
      </c>
      <c r="CH140" s="1229">
        <v>1.1118677042801555</v>
      </c>
      <c r="CI140" s="1229">
        <v>1.142713567839196</v>
      </c>
      <c r="CJ140" s="1229">
        <v>1.1020881670533644</v>
      </c>
      <c r="CK140" s="1229">
        <v>1.1070950468540828</v>
      </c>
      <c r="CL140" s="1229">
        <v>1.1964873765093305</v>
      </c>
      <c r="CM140" s="1229">
        <v>1.2633996937212859</v>
      </c>
      <c r="CN140" s="1229">
        <v>1.3877139979859012</v>
      </c>
      <c r="CO140" s="1229">
        <v>1.194649446494465</v>
      </c>
      <c r="CP140" s="1229">
        <v>1.4089456869009584</v>
      </c>
      <c r="CQ140" s="1230">
        <v>1.1310894596988488</v>
      </c>
      <c r="CR140" s="1231">
        <v>1.2018561484918797</v>
      </c>
      <c r="CS140" s="1231">
        <v>1.1640947752126367</v>
      </c>
      <c r="CT140" s="1231">
        <v>1.2725274725274724</v>
      </c>
      <c r="CU140" s="1231">
        <v>1.3098591549295775</v>
      </c>
      <c r="CV140" s="1231">
        <v>1.4596163069544366</v>
      </c>
      <c r="CW140" s="1231">
        <v>1.3069999999999999</v>
      </c>
      <c r="CX140" s="1231">
        <v>1.39879173290938</v>
      </c>
      <c r="CY140" s="1231">
        <v>1.4815032679738562</v>
      </c>
      <c r="CZ140" s="1231">
        <v>1.4413427109974426</v>
      </c>
      <c r="DA140" s="1231">
        <v>1.1813112884834664</v>
      </c>
      <c r="DB140" s="1232">
        <v>1.5068867924528302</v>
      </c>
      <c r="DC140" s="1233">
        <v>1.3142406311637083</v>
      </c>
      <c r="DD140" s="1233">
        <v>1.2063189269746646</v>
      </c>
      <c r="DE140" s="1233">
        <v>1.1310227272727273</v>
      </c>
      <c r="DF140" s="1233">
        <v>1.2041810918774967</v>
      </c>
      <c r="DG140" s="1233">
        <v>1.1667867867867867</v>
      </c>
      <c r="DH140" s="1233">
        <v>1.2737763012181618</v>
      </c>
      <c r="DI140" s="1233">
        <v>1.1594222833562586</v>
      </c>
      <c r="DJ140" s="1233">
        <v>1.6845762711864407</v>
      </c>
      <c r="DK140" s="1233">
        <v>1.6220000000000001</v>
      </c>
      <c r="DL140" s="1233">
        <v>1.3279954180985107</v>
      </c>
      <c r="DM140" s="1233">
        <v>1.5299862068965517</v>
      </c>
      <c r="DN140" s="1234">
        <v>1.5757345971563983</v>
      </c>
      <c r="DO140" s="1233">
        <v>1.4882705426356591</v>
      </c>
      <c r="DP140" s="1233">
        <v>1.2814019138755981</v>
      </c>
      <c r="DQ140" s="1233">
        <v>1.2595844815083395</v>
      </c>
      <c r="DR140" s="1233">
        <v>1.310311958405546</v>
      </c>
      <c r="DS140" s="1233">
        <v>1.4613687074829929</v>
      </c>
      <c r="DT140" s="1233">
        <v>1.3165717213114754</v>
      </c>
      <c r="DU140" s="1233">
        <v>1.2545238095238094</v>
      </c>
      <c r="DV140" s="1233">
        <v>1.1597932618683</v>
      </c>
      <c r="DW140" s="1233">
        <v>1.2536452241715399</v>
      </c>
      <c r="DX140" s="1233">
        <v>1.4040520446096652</v>
      </c>
      <c r="DY140" s="1233">
        <v>1.4942874251497007</v>
      </c>
      <c r="DZ140" s="1233">
        <v>1.4843894009216589</v>
      </c>
      <c r="EA140" s="1077"/>
      <c r="EB140" s="1235">
        <v>1.5526597166533012</v>
      </c>
      <c r="EC140" s="1236">
        <v>1.4161140819964342</v>
      </c>
      <c r="ED140" s="1236">
        <v>1.5260838208189755</v>
      </c>
      <c r="EE140" s="1236">
        <v>1.3255223269151983</v>
      </c>
      <c r="EF140" s="1236">
        <v>1.2029112081513824</v>
      </c>
      <c r="EG140" s="1236">
        <v>1.1740013540961411</v>
      </c>
      <c r="EH140" s="1236">
        <v>1.2015111029208521</v>
      </c>
      <c r="EI140" s="1236">
        <v>1.2054120541205413</v>
      </c>
      <c r="EJ140" s="1236">
        <f t="shared" si="18"/>
        <v>1.3213232592193189</v>
      </c>
      <c r="EK140" s="1237">
        <v>1.3251475218658895</v>
      </c>
      <c r="EL140" s="1236">
        <f t="shared" si="19"/>
        <v>1.3473500409553572</v>
      </c>
      <c r="EM140" s="1329">
        <v>1.3318707095684263</v>
      </c>
    </row>
    <row r="141" spans="1:143">
      <c r="A141" s="998"/>
      <c r="B141" s="1114" t="s">
        <v>711</v>
      </c>
      <c r="C141" s="1115" t="s">
        <v>712</v>
      </c>
      <c r="D141" s="1221">
        <v>1.7302429011289771</v>
      </c>
      <c r="E141" s="1221">
        <v>1.6945428773919207</v>
      </c>
      <c r="F141" s="1221">
        <v>1.9393698100329884</v>
      </c>
      <c r="G141" s="1221">
        <v>1.8421246319921492</v>
      </c>
      <c r="H141" s="1221">
        <v>1.6460729543213934</v>
      </c>
      <c r="I141" s="1221">
        <v>1.3669100730219066</v>
      </c>
      <c r="J141" s="1221">
        <v>1.627052890210785</v>
      </c>
      <c r="K141" s="1222">
        <v>1.4075604838709674</v>
      </c>
      <c r="L141" s="1076">
        <v>1.6146867025800964</v>
      </c>
      <c r="M141" s="1076">
        <v>1.5760538896132115</v>
      </c>
      <c r="N141" s="1076">
        <v>1.3959113450055667</v>
      </c>
      <c r="O141" s="1076">
        <v>1.4081023454157786</v>
      </c>
      <c r="P141" s="1076">
        <v>1.6431032566411028</v>
      </c>
      <c r="Q141" s="1076">
        <v>1.3765598482579613</v>
      </c>
      <c r="R141" s="1076">
        <v>1.7280091489564469</v>
      </c>
      <c r="S141" s="1076">
        <v>1.63152520740268</v>
      </c>
      <c r="T141" s="1076">
        <v>1.6523375142531358</v>
      </c>
      <c r="U141" s="1076">
        <v>1.757107678531453</v>
      </c>
      <c r="V141" s="1223">
        <v>1.8135802469135796</v>
      </c>
      <c r="W141" s="1222">
        <v>1.7716250452406799</v>
      </c>
      <c r="X141" s="1076">
        <v>1.2969688503981003</v>
      </c>
      <c r="Y141" s="1076">
        <v>1.6181334566901813</v>
      </c>
      <c r="Z141" s="1076">
        <v>1.7505042998195131</v>
      </c>
      <c r="AA141" s="1076">
        <v>1.3843848234520071</v>
      </c>
      <c r="AB141" s="1076">
        <v>1.3754146585716969</v>
      </c>
      <c r="AC141" s="1076">
        <v>1.2561175666438822</v>
      </c>
      <c r="AD141" s="1076">
        <v>1.1924554936867693</v>
      </c>
      <c r="AE141" s="1076">
        <v>1.2689372640372725</v>
      </c>
      <c r="AF141" s="1076">
        <v>1.2606023355869698</v>
      </c>
      <c r="AG141" s="1076">
        <v>1.2849999999999997</v>
      </c>
      <c r="AH141" s="1223">
        <v>1.5690188360978354</v>
      </c>
      <c r="AI141" s="1224">
        <v>1.2765434347113456</v>
      </c>
      <c r="AJ141" s="1224">
        <v>1.4361969805895036</v>
      </c>
      <c r="AK141" s="1224">
        <v>1.3300395256916993</v>
      </c>
      <c r="AL141" s="1224">
        <v>1.4279671560089577</v>
      </c>
      <c r="AM141" s="1224">
        <v>1.2898605069746516</v>
      </c>
      <c r="AN141" s="1224">
        <v>1.3380009657170451</v>
      </c>
      <c r="AO141" s="1224">
        <v>1.3436953410717123</v>
      </c>
      <c r="AP141" s="1224">
        <v>1.5134562781258269</v>
      </c>
      <c r="AQ141" s="1224">
        <v>1.234144608278557</v>
      </c>
      <c r="AR141" s="1224">
        <v>1.513737021041992</v>
      </c>
      <c r="AS141" s="1224">
        <v>1.2074557566785544</v>
      </c>
      <c r="AT141" s="1224">
        <v>1.2186310421604538</v>
      </c>
      <c r="AU141" s="1222">
        <v>1.1933190578158459</v>
      </c>
      <c r="AV141" s="1076">
        <v>1.2839337700145557</v>
      </c>
      <c r="AW141" s="1076">
        <v>1.2495773287174941</v>
      </c>
      <c r="AX141" s="1076">
        <v>1.393267413116184</v>
      </c>
      <c r="AY141" s="1076">
        <v>1.3202221615223528</v>
      </c>
      <c r="AZ141" s="1076">
        <v>1.4092830132720395</v>
      </c>
      <c r="BA141" s="1076">
        <v>1.3761878654970754</v>
      </c>
      <c r="BB141" s="1076">
        <v>1.3299314173742656</v>
      </c>
      <c r="BC141" s="1076">
        <v>1.2993090177556199</v>
      </c>
      <c r="BD141" s="1076">
        <v>1.4663149350649349</v>
      </c>
      <c r="BE141" s="1076">
        <v>1.3702755737565055</v>
      </c>
      <c r="BF141" s="1076">
        <v>1.5453939326591839</v>
      </c>
      <c r="BG141" s="1225">
        <v>1.5261865793780691</v>
      </c>
      <c r="BH141" s="1225">
        <v>1.4935615452291451</v>
      </c>
      <c r="BI141" s="1225">
        <v>1.3739515597021947</v>
      </c>
      <c r="BJ141" s="1225">
        <v>1.4483411467724485</v>
      </c>
      <c r="BK141" s="1225">
        <v>1.4269577598481258</v>
      </c>
      <c r="BL141" s="1225">
        <v>1.4286991062562069</v>
      </c>
      <c r="BM141" s="1225">
        <v>1.4218277577294451</v>
      </c>
      <c r="BN141" s="1225">
        <v>1.3781537257969887</v>
      </c>
      <c r="BO141" s="1225">
        <v>1.3287966960765909</v>
      </c>
      <c r="BP141" s="1225">
        <v>1.4363227016885549</v>
      </c>
      <c r="BQ141" s="1225">
        <v>1.4567609532167689</v>
      </c>
      <c r="BR141" s="1225">
        <v>1.5604074654509186</v>
      </c>
      <c r="BS141" s="1226">
        <v>1.4374496373892023</v>
      </c>
      <c r="BT141" s="1227">
        <v>1.4347944459569837</v>
      </c>
      <c r="BU141" s="1227">
        <v>1.3217545472453864</v>
      </c>
      <c r="BV141" s="1227">
        <v>1.3648504273504269</v>
      </c>
      <c r="BW141" s="1227">
        <v>1.4123119728719244</v>
      </c>
      <c r="BX141" s="1227">
        <v>1.3312853678253842</v>
      </c>
      <c r="BY141" s="1227">
        <v>1.238691523039043</v>
      </c>
      <c r="BZ141" s="1227">
        <v>1.344417277913611</v>
      </c>
      <c r="CA141" s="1227">
        <v>1.334537905582039</v>
      </c>
      <c r="CB141" s="1227">
        <v>1.3710330608938961</v>
      </c>
      <c r="CC141" s="1227">
        <v>1.3520710059171601</v>
      </c>
      <c r="CD141" s="1227">
        <v>1.3945748364755675</v>
      </c>
      <c r="CE141" s="1228">
        <v>1.401779733996747</v>
      </c>
      <c r="CF141" s="1229">
        <v>1.3475889533373731</v>
      </c>
      <c r="CG141" s="1229">
        <v>1.4406289899872322</v>
      </c>
      <c r="CH141" s="1229">
        <v>1.3970942428715714</v>
      </c>
      <c r="CI141" s="1229">
        <v>1.5321627106679607</v>
      </c>
      <c r="CJ141" s="1229">
        <v>1.4475864266369287</v>
      </c>
      <c r="CK141" s="1229">
        <v>1.374331158836033</v>
      </c>
      <c r="CL141" s="1229">
        <v>1.3556534508076368</v>
      </c>
      <c r="CM141" s="1229">
        <v>1.4154561775746697</v>
      </c>
      <c r="CN141" s="1229">
        <v>1.4356202243537639</v>
      </c>
      <c r="CO141" s="1229">
        <v>1.4344196849822168</v>
      </c>
      <c r="CP141" s="1229">
        <v>1.5330844610359309</v>
      </c>
      <c r="CQ141" s="1230">
        <v>1.5973211741236819</v>
      </c>
      <c r="CR141" s="1231">
        <v>1.5516273849607174</v>
      </c>
      <c r="CS141" s="1231">
        <v>1.4875123724095269</v>
      </c>
      <c r="CT141" s="1231">
        <v>1.5551586289019308</v>
      </c>
      <c r="CU141" s="1231">
        <v>1.4867155942424755</v>
      </c>
      <c r="CV141" s="1231">
        <v>1.470272536687631</v>
      </c>
      <c r="CW141" s="1231">
        <v>1.538</v>
      </c>
      <c r="CX141" s="1231">
        <v>1.5793953275309209</v>
      </c>
      <c r="CY141" s="1231">
        <v>1.5812607674236492</v>
      </c>
      <c r="CZ141" s="1231">
        <v>1.6852903846153846</v>
      </c>
      <c r="DA141" s="1231">
        <v>1.5567293233082706</v>
      </c>
      <c r="DB141" s="1232">
        <v>1.6200899937628088</v>
      </c>
      <c r="DC141" s="1233">
        <v>1.4413700349681702</v>
      </c>
      <c r="DD141" s="1233">
        <v>1.3285485793761176</v>
      </c>
      <c r="DE141" s="1233">
        <v>1.4298439109420804</v>
      </c>
      <c r="DF141" s="1233">
        <v>1.3736613272311216</v>
      </c>
      <c r="DG141" s="1233">
        <v>1.5395244107744108</v>
      </c>
      <c r="DH141" s="1233">
        <v>1.4743213108396354</v>
      </c>
      <c r="DI141" s="1233">
        <v>1.3847939172345023</v>
      </c>
      <c r="DJ141" s="1233">
        <v>1.4784628197501486</v>
      </c>
      <c r="DK141" s="1233">
        <v>1.4750000000000001</v>
      </c>
      <c r="DL141" s="1233">
        <v>1.5580379881154502</v>
      </c>
      <c r="DM141" s="1233">
        <v>1.3651998737639386</v>
      </c>
      <c r="DN141" s="1234">
        <v>1.4278366863905323</v>
      </c>
      <c r="DO141" s="1233">
        <v>1.4696266382525309</v>
      </c>
      <c r="DP141" s="1233">
        <v>1.4502401987852016</v>
      </c>
      <c r="DQ141" s="1233">
        <v>1.5143618549967344</v>
      </c>
      <c r="DR141" s="1233">
        <v>1.3948064183381086</v>
      </c>
      <c r="DS141" s="1233">
        <v>1.468137129380054</v>
      </c>
      <c r="DT141" s="1233">
        <v>1.4733174180327868</v>
      </c>
      <c r="DU141" s="1233">
        <v>1.4384830166954519</v>
      </c>
      <c r="DV141" s="1233">
        <v>1.3813961105424768</v>
      </c>
      <c r="DW141" s="1233">
        <v>1.4090794593487612</v>
      </c>
      <c r="DX141" s="1233">
        <v>1.5564236850958839</v>
      </c>
      <c r="DY141" s="1233">
        <v>1.4123443537999139</v>
      </c>
      <c r="DZ141" s="1233">
        <v>1.3902758620689653</v>
      </c>
      <c r="EA141" s="1077"/>
      <c r="EB141" s="1235">
        <v>1.6826270214979806</v>
      </c>
      <c r="EC141" s="1236">
        <v>1.5768844683888161</v>
      </c>
      <c r="ED141" s="1236">
        <v>1.3956192220057706</v>
      </c>
      <c r="EE141" s="1236">
        <v>1.3377118558129799</v>
      </c>
      <c r="EF141" s="1236">
        <v>1.3510998247941153</v>
      </c>
      <c r="EG141" s="1236">
        <v>1.4439070023786038</v>
      </c>
      <c r="EH141" s="1236">
        <v>1.3563362609786702</v>
      </c>
      <c r="EI141" s="1236">
        <v>1.4243357874519826</v>
      </c>
      <c r="EJ141" s="1236">
        <f t="shared" si="18"/>
        <v>1.5591144573305831</v>
      </c>
      <c r="EK141" s="1237">
        <v>1.4364925689674863</v>
      </c>
      <c r="EL141" s="1236">
        <f t="shared" si="19"/>
        <v>1.4465410121114057</v>
      </c>
      <c r="EM141" s="1329">
        <v>1.4288449820593818</v>
      </c>
    </row>
    <row r="142" spans="1:143">
      <c r="A142" s="998"/>
      <c r="B142" s="1114" t="s">
        <v>713</v>
      </c>
      <c r="C142" s="1115" t="s">
        <v>714</v>
      </c>
      <c r="D142" s="1221">
        <v>1.6137254901960785</v>
      </c>
      <c r="E142" s="1221">
        <v>1.4367509986684421</v>
      </c>
      <c r="F142" s="1221">
        <v>1.3492700729927007</v>
      </c>
      <c r="G142" s="1221">
        <v>1.7455882352941177</v>
      </c>
      <c r="H142" s="1221">
        <v>1.6706367384333487</v>
      </c>
      <c r="I142" s="1221">
        <v>1.9477071600965405</v>
      </c>
      <c r="J142" s="1221">
        <v>2.4122807017543861</v>
      </c>
      <c r="K142" s="1222">
        <v>1.3232278198840839</v>
      </c>
      <c r="L142" s="1076">
        <v>1.3889508928571428</v>
      </c>
      <c r="M142" s="1076">
        <v>1.1552466070837473</v>
      </c>
      <c r="N142" s="1076">
        <v>1.6430834213305174</v>
      </c>
      <c r="O142" s="1076">
        <v>1.6332085743450153</v>
      </c>
      <c r="P142" s="1076">
        <v>1.8330515638207945</v>
      </c>
      <c r="Q142" s="1076">
        <v>1.2377202849643794</v>
      </c>
      <c r="R142" s="1076">
        <v>1.2647407993668383</v>
      </c>
      <c r="S142" s="1076">
        <v>1.4607843137254901</v>
      </c>
      <c r="T142" s="1076">
        <v>1.9568749999999999</v>
      </c>
      <c r="U142" s="1076">
        <v>1.4551578947368422</v>
      </c>
      <c r="V142" s="1223">
        <v>1.3195945945945948</v>
      </c>
      <c r="W142" s="1222">
        <v>1.4306459689534301</v>
      </c>
      <c r="X142" s="1076">
        <v>1.5163785259326661</v>
      </c>
      <c r="Y142" s="1076">
        <v>1.2440835266821344</v>
      </c>
      <c r="Z142" s="1076">
        <v>1.4814317673378077</v>
      </c>
      <c r="AA142" s="1076">
        <v>1.558852140077821</v>
      </c>
      <c r="AB142" s="1076">
        <v>1.4836185819070902</v>
      </c>
      <c r="AC142" s="1076">
        <v>1.4714230916762563</v>
      </c>
      <c r="AD142" s="1076">
        <v>1.4427698574338084</v>
      </c>
      <c r="AE142" s="1076">
        <v>1.2986822840409955</v>
      </c>
      <c r="AF142" s="1076">
        <v>1.377940609332819</v>
      </c>
      <c r="AG142" s="1076">
        <v>1.3225</v>
      </c>
      <c r="AH142" s="1223">
        <v>1.5565899069083782</v>
      </c>
      <c r="AI142" s="1224">
        <v>1.379865269461078</v>
      </c>
      <c r="AJ142" s="1224">
        <v>1.4810218978102188</v>
      </c>
      <c r="AK142" s="1224">
        <v>1.154564315352697</v>
      </c>
      <c r="AL142" s="1224">
        <v>1.2807765151515149</v>
      </c>
      <c r="AM142" s="1224">
        <v>1.2768316831683169</v>
      </c>
      <c r="AN142" s="1224">
        <v>1.2919099249374477</v>
      </c>
      <c r="AO142" s="1224">
        <v>1.2028094820017559</v>
      </c>
      <c r="AP142" s="1224">
        <v>1.1381638163816381</v>
      </c>
      <c r="AQ142" s="1224">
        <v>1.3902200488997554</v>
      </c>
      <c r="AR142" s="1224">
        <v>1.187189896256202</v>
      </c>
      <c r="AS142" s="1224">
        <v>1.1903513371788148</v>
      </c>
      <c r="AT142" s="1224">
        <v>1.2287052810902896</v>
      </c>
      <c r="AU142" s="1222">
        <v>1.1554814506044186</v>
      </c>
      <c r="AV142" s="1076">
        <v>1.224240031583103</v>
      </c>
      <c r="AW142" s="1076">
        <v>1.3934494195688225</v>
      </c>
      <c r="AX142" s="1076">
        <v>1.2749901224812326</v>
      </c>
      <c r="AY142" s="1076">
        <v>1.3095963442498095</v>
      </c>
      <c r="AZ142" s="1076">
        <v>1.2727272727272725</v>
      </c>
      <c r="BA142" s="1076">
        <v>1.2011406844106465</v>
      </c>
      <c r="BB142" s="1076">
        <v>1.2140631953716066</v>
      </c>
      <c r="BC142" s="1076">
        <v>1.4636642784032752</v>
      </c>
      <c r="BD142" s="1076">
        <v>1.2433125687064859</v>
      </c>
      <c r="BE142" s="1076">
        <v>1.2468541820873427</v>
      </c>
      <c r="BF142" s="1076">
        <v>1.2778836987607245</v>
      </c>
      <c r="BG142" s="1225">
        <v>1.2967853042479909</v>
      </c>
      <c r="BH142" s="1225">
        <v>1.3304612265585405</v>
      </c>
      <c r="BI142" s="1225">
        <v>1.6793365583966828</v>
      </c>
      <c r="BJ142" s="1225">
        <v>1.4242947610823258</v>
      </c>
      <c r="BK142" s="1225">
        <v>1.8089887640449438</v>
      </c>
      <c r="BL142" s="1225">
        <v>1.3656853725850964</v>
      </c>
      <c r="BM142" s="1225">
        <v>1.5061247216035634</v>
      </c>
      <c r="BN142" s="1225">
        <v>1.4798323729701417</v>
      </c>
      <c r="BO142" s="1225">
        <v>1.456150676868746</v>
      </c>
      <c r="BP142" s="1225">
        <v>1.4723690533397404</v>
      </c>
      <c r="BQ142" s="1225">
        <v>1.2823022709475334</v>
      </c>
      <c r="BR142" s="1225">
        <v>1.3521515988945914</v>
      </c>
      <c r="BS142" s="1226">
        <v>1.3025866276232307</v>
      </c>
      <c r="BT142" s="1227">
        <v>1.2746666666666668</v>
      </c>
      <c r="BU142" s="1227">
        <v>1.3745819397993311</v>
      </c>
      <c r="BV142" s="1227">
        <v>1.3045793397231094</v>
      </c>
      <c r="BW142" s="1227">
        <v>1.4978499761108457</v>
      </c>
      <c r="BX142" s="1227">
        <v>1.3992837958818263</v>
      </c>
      <c r="BY142" s="1227">
        <v>1.2441150828247605</v>
      </c>
      <c r="BZ142" s="1227">
        <v>1.3896848137535818</v>
      </c>
      <c r="CA142" s="1227">
        <v>1.4164979757085021</v>
      </c>
      <c r="CB142" s="1227">
        <v>1.483727810650888</v>
      </c>
      <c r="CC142" s="1227">
        <v>1.6219101123595503</v>
      </c>
      <c r="CD142" s="1227">
        <v>1.414002205071665</v>
      </c>
      <c r="CE142" s="1228">
        <v>1.4172374429223744</v>
      </c>
      <c r="CF142" s="1229">
        <v>1.318429661941112</v>
      </c>
      <c r="CG142" s="1229">
        <v>1.7033333333333334</v>
      </c>
      <c r="CH142" s="1229">
        <v>1.3859275053304905</v>
      </c>
      <c r="CI142" s="1229">
        <v>1.4354045596781404</v>
      </c>
      <c r="CJ142" s="1229">
        <v>1.4188759278897136</v>
      </c>
      <c r="CK142" s="1229">
        <v>1.4574700109051255</v>
      </c>
      <c r="CL142" s="1229">
        <v>1.5240928019036286</v>
      </c>
      <c r="CM142" s="1229">
        <v>1.5068134171907757</v>
      </c>
      <c r="CN142" s="1229">
        <v>1.8031704095112282</v>
      </c>
      <c r="CO142" s="1229">
        <v>1.6852387843704775</v>
      </c>
      <c r="CP142" s="1229">
        <v>1.4381169324221716</v>
      </c>
      <c r="CQ142" s="1230">
        <v>1.7312633832976447</v>
      </c>
      <c r="CR142" s="1231">
        <v>2.0081775700934581</v>
      </c>
      <c r="CS142" s="1231">
        <v>2.0515323992994747</v>
      </c>
      <c r="CT142" s="1231">
        <v>1.834942084942085</v>
      </c>
      <c r="CU142" s="1231">
        <v>1.8304431599229281</v>
      </c>
      <c r="CV142" s="1231">
        <v>2.0470726256983238</v>
      </c>
      <c r="CW142" s="1231">
        <v>2.0859999999999999</v>
      </c>
      <c r="CX142" s="1231">
        <v>1.5119488536155203</v>
      </c>
      <c r="CY142" s="1231">
        <v>1.7842088854247855</v>
      </c>
      <c r="CZ142" s="1231">
        <v>1.9771993543179984</v>
      </c>
      <c r="DA142" s="1231">
        <v>1.5826315789473682</v>
      </c>
      <c r="DB142" s="1232">
        <v>2.0383015597920275</v>
      </c>
      <c r="DC142" s="1233">
        <v>1.6382057716436638</v>
      </c>
      <c r="DD142" s="1233">
        <v>1.6355449735449736</v>
      </c>
      <c r="DE142" s="1233">
        <v>1.6081097046413502</v>
      </c>
      <c r="DF142" s="1233">
        <v>1.5968085106382979</v>
      </c>
      <c r="DG142" s="1233">
        <v>2.0338063660477452</v>
      </c>
      <c r="DH142" s="1233">
        <v>1.4736175251628183</v>
      </c>
      <c r="DI142" s="1233">
        <v>1.3439552238805967</v>
      </c>
      <c r="DJ142" s="1233">
        <v>1.5903166421207655</v>
      </c>
      <c r="DK142" s="1233">
        <v>1.7250000000000001</v>
      </c>
      <c r="DL142" s="1233">
        <v>1.5048510638297874</v>
      </c>
      <c r="DM142" s="1233">
        <v>1.8850731707317077</v>
      </c>
      <c r="DN142" s="1234">
        <v>1.7576428571428573</v>
      </c>
      <c r="DO142" s="1233">
        <v>1.6269166666666668</v>
      </c>
      <c r="DP142" s="1233">
        <v>1.3638086021505378</v>
      </c>
      <c r="DQ142" s="1233">
        <v>1.4644136807817589</v>
      </c>
      <c r="DR142" s="1233">
        <v>1.543554565701559</v>
      </c>
      <c r="DS142" s="1233">
        <v>1.5125956006768189</v>
      </c>
      <c r="DT142" s="1233">
        <v>1.6697190082644626</v>
      </c>
      <c r="DU142" s="1233">
        <v>1.4503732809430256</v>
      </c>
      <c r="DV142" s="1233">
        <v>1.3891710758377427</v>
      </c>
      <c r="DW142" s="1233">
        <v>1.4184114052953156</v>
      </c>
      <c r="DX142" s="1233">
        <v>2.1319455252918287</v>
      </c>
      <c r="DY142" s="1233">
        <v>1.2079896238651102</v>
      </c>
      <c r="DZ142" s="1233">
        <v>1.4548223896663075</v>
      </c>
      <c r="EA142" s="1077"/>
      <c r="EB142" s="1235">
        <v>1.6656881930854535</v>
      </c>
      <c r="EC142" s="1236">
        <v>1.4552894361438546</v>
      </c>
      <c r="ED142" s="1236">
        <v>1.4305840259401441</v>
      </c>
      <c r="EE142" s="1236">
        <v>1.2699252362815632</v>
      </c>
      <c r="EF142" s="1236">
        <v>1.2694411414982167</v>
      </c>
      <c r="EG142" s="1236">
        <v>1.4377339011485359</v>
      </c>
      <c r="EH142" s="1236">
        <v>1.3891307000772886</v>
      </c>
      <c r="EI142" s="1236">
        <v>1.4963563534578446</v>
      </c>
      <c r="EJ142" s="1236">
        <f t="shared" si="18"/>
        <v>1.8736434546126348</v>
      </c>
      <c r="EK142" s="1237">
        <v>1.6170034843205572</v>
      </c>
      <c r="EL142" s="1236">
        <f t="shared" si="19"/>
        <v>1.5194767854284279</v>
      </c>
      <c r="EM142" s="1329">
        <v>1.4757542177300502</v>
      </c>
    </row>
    <row r="143" spans="1:143">
      <c r="A143" s="998"/>
      <c r="B143" s="1114" t="s">
        <v>715</v>
      </c>
      <c r="C143" s="1115" t="s">
        <v>716</v>
      </c>
      <c r="D143" s="1221">
        <v>2.4252450980392157</v>
      </c>
      <c r="E143" s="1221">
        <v>2.4152689415847313</v>
      </c>
      <c r="F143" s="1221">
        <v>2.8437336130047193</v>
      </c>
      <c r="G143" s="1221">
        <v>2.0904088050314464</v>
      </c>
      <c r="H143" s="1221">
        <v>1.0361873990306947</v>
      </c>
      <c r="I143" s="1221">
        <v>1.0459594025277672</v>
      </c>
      <c r="J143" s="1221">
        <v>1.4341216216216217</v>
      </c>
      <c r="K143" s="1222">
        <v>1.1384261918437679</v>
      </c>
      <c r="L143" s="1076">
        <v>1.0861767279090113</v>
      </c>
      <c r="M143" s="1076">
        <v>1.2567478604344964</v>
      </c>
      <c r="N143" s="1076">
        <v>1.22620989668298</v>
      </c>
      <c r="O143" s="1076">
        <v>1.4130540672187044</v>
      </c>
      <c r="P143" s="1076">
        <v>1.2128279883381925</v>
      </c>
      <c r="Q143" s="1076">
        <v>1.1666666666666667</v>
      </c>
      <c r="R143" s="1076">
        <v>1.8652291105121295</v>
      </c>
      <c r="S143" s="1076">
        <v>1.4343131373725255</v>
      </c>
      <c r="T143" s="1076">
        <v>1.179263565891473</v>
      </c>
      <c r="U143" s="1076">
        <v>1.6281062553556127</v>
      </c>
      <c r="V143" s="1223">
        <v>1.2281048985650669</v>
      </c>
      <c r="W143" s="1222">
        <v>1.3820870994248151</v>
      </c>
      <c r="X143" s="1076">
        <v>1.6303225806451613</v>
      </c>
      <c r="Y143" s="1076">
        <v>1.2697986577181208</v>
      </c>
      <c r="Z143" s="1076">
        <v>1.0020130850528435</v>
      </c>
      <c r="AA143" s="1076">
        <v>1.0396767083027185</v>
      </c>
      <c r="AB143" s="1076">
        <v>1.1873015873015873</v>
      </c>
      <c r="AC143" s="1076">
        <v>1.5738077214231643</v>
      </c>
      <c r="AD143" s="1076">
        <v>1.2674354750137287</v>
      </c>
      <c r="AE143" s="1076">
        <v>1.1897435897435897</v>
      </c>
      <c r="AF143" s="1076">
        <v>1.4723955832933269</v>
      </c>
      <c r="AG143" s="1076">
        <v>1.6213217559093103</v>
      </c>
      <c r="AH143" s="1223">
        <v>2.0667115902964959</v>
      </c>
      <c r="AI143" s="1224">
        <v>1.6732716864817261</v>
      </c>
      <c r="AJ143" s="1224">
        <v>1.3755274261603376</v>
      </c>
      <c r="AK143" s="1224">
        <v>1.1311203319502074</v>
      </c>
      <c r="AL143" s="1224">
        <v>1.15368081676518</v>
      </c>
      <c r="AM143" s="1224">
        <v>1.3910681955340978</v>
      </c>
      <c r="AN143" s="1224">
        <v>1.1832014607425441</v>
      </c>
      <c r="AO143" s="1224">
        <v>1.3730385164051355</v>
      </c>
      <c r="AP143" s="1224">
        <v>1.2831154064809551</v>
      </c>
      <c r="AQ143" s="1224">
        <v>1.3858858858858858</v>
      </c>
      <c r="AR143" s="1224">
        <v>1.1067518248175183</v>
      </c>
      <c r="AS143" s="1224">
        <v>1.0490353697749195</v>
      </c>
      <c r="AT143" s="1224">
        <v>1.6666666666666667</v>
      </c>
      <c r="AU143" s="1222">
        <v>1.9556800815078963</v>
      </c>
      <c r="AV143" s="1076">
        <v>2.1816762103071317</v>
      </c>
      <c r="AW143" s="1076">
        <v>2.206168831168831</v>
      </c>
      <c r="AX143" s="1076">
        <v>1.6762649115590291</v>
      </c>
      <c r="AY143" s="1076">
        <v>1.5863960504662644</v>
      </c>
      <c r="AZ143" s="1076">
        <v>1.669921875</v>
      </c>
      <c r="BA143" s="1076">
        <v>1.2376237623762376</v>
      </c>
      <c r="BB143" s="1076">
        <v>1.1284032376747608</v>
      </c>
      <c r="BC143" s="1076">
        <v>1.2501030078285951</v>
      </c>
      <c r="BD143" s="1076">
        <v>1.3145280235988202</v>
      </c>
      <c r="BE143" s="1076">
        <v>1.205240174672489</v>
      </c>
      <c r="BF143" s="1076">
        <v>1.1068566340160284</v>
      </c>
      <c r="BG143" s="1225">
        <v>1.5307108350586611</v>
      </c>
      <c r="BH143" s="1225">
        <v>1.8592150170648465</v>
      </c>
      <c r="BI143" s="1225">
        <v>1.4168367346938775</v>
      </c>
      <c r="BJ143" s="1225">
        <v>1.6144278606965174</v>
      </c>
      <c r="BK143" s="1225">
        <v>1.5007518796992481</v>
      </c>
      <c r="BL143" s="1225">
        <v>1.5986062717770035</v>
      </c>
      <c r="BM143" s="1225">
        <v>1.7622080679405521</v>
      </c>
      <c r="BN143" s="1225">
        <v>1.637473079684135</v>
      </c>
      <c r="BO143" s="1225">
        <v>1.2245002562788314</v>
      </c>
      <c r="BP143" s="1225">
        <v>1.3764458464773923</v>
      </c>
      <c r="BQ143" s="1225">
        <v>1.397838394235718</v>
      </c>
      <c r="BR143" s="1225">
        <v>1.5424870466321243</v>
      </c>
      <c r="BS143" s="1226">
        <v>1.5441478439425051</v>
      </c>
      <c r="BT143" s="1227">
        <v>1.6001170960187354</v>
      </c>
      <c r="BU143" s="1227">
        <v>1.4981290926099156</v>
      </c>
      <c r="BV143" s="1227">
        <v>1.544561403508772</v>
      </c>
      <c r="BW143" s="1227">
        <v>1.6588845654993516</v>
      </c>
      <c r="BX143" s="1227">
        <v>1.7073482428115017</v>
      </c>
      <c r="BY143" s="1227">
        <v>1.6973799126637554</v>
      </c>
      <c r="BZ143" s="1227">
        <v>1.668533604887984</v>
      </c>
      <c r="CA143" s="1227">
        <v>1.3608934169278994</v>
      </c>
      <c r="CB143" s="1227">
        <v>1.2210526315789476</v>
      </c>
      <c r="CC143" s="1227">
        <v>1.4564263322884012</v>
      </c>
      <c r="CD143" s="1227">
        <v>1.2700511945392494</v>
      </c>
      <c r="CE143" s="1228">
        <v>1.2002402883460153</v>
      </c>
      <c r="CF143" s="1229">
        <v>1.3043953640935928</v>
      </c>
      <c r="CG143" s="1229">
        <v>1.3372894333843799</v>
      </c>
      <c r="CH143" s="1229">
        <v>1.9204204204204205</v>
      </c>
      <c r="CI143" s="1229">
        <v>1.7839737582005624</v>
      </c>
      <c r="CJ143" s="1229">
        <v>1.7181544633901704</v>
      </c>
      <c r="CK143" s="1229">
        <v>1.7485981308411218</v>
      </c>
      <c r="CL143" s="1229">
        <v>1.9792993630573248</v>
      </c>
      <c r="CM143" s="1229">
        <v>1.9196332254584683</v>
      </c>
      <c r="CN143" s="1229">
        <v>1.8774485183324963</v>
      </c>
      <c r="CO143" s="1229">
        <v>1.7119666048237479</v>
      </c>
      <c r="CP143" s="1229">
        <v>1.6121495327102804</v>
      </c>
      <c r="CQ143" s="1230">
        <v>1.8243405275779379</v>
      </c>
      <c r="CR143" s="1231">
        <v>1.6645202833226014</v>
      </c>
      <c r="CS143" s="1231">
        <v>1.6789794721407625</v>
      </c>
      <c r="CT143" s="1231">
        <v>1.7942708333333333</v>
      </c>
      <c r="CU143" s="1231">
        <v>1.3592528236316246</v>
      </c>
      <c r="CV143" s="1231">
        <v>1.3283098106712565</v>
      </c>
      <c r="CW143" s="1231">
        <v>1.323</v>
      </c>
      <c r="CX143" s="1231">
        <v>1.3549410840534171</v>
      </c>
      <c r="CY143" s="1231">
        <v>1.4189203834931221</v>
      </c>
      <c r="CZ143" s="1231">
        <v>1.2832066316215123</v>
      </c>
      <c r="DA143" s="1231">
        <v>1.6585135135135136</v>
      </c>
      <c r="DB143" s="1232">
        <v>1.2753622250970247</v>
      </c>
      <c r="DC143" s="1233">
        <v>1.1889552785923754</v>
      </c>
      <c r="DD143" s="1233">
        <v>1.164151202749141</v>
      </c>
      <c r="DE143" s="1233">
        <v>1.494221963523477</v>
      </c>
      <c r="DF143" s="1233">
        <v>1.5678327759197324</v>
      </c>
      <c r="DG143" s="1233">
        <v>1.6020069404279931</v>
      </c>
      <c r="DH143" s="1233">
        <v>1.5188785046728972</v>
      </c>
      <c r="DI143" s="1233">
        <v>1.7531051964512041</v>
      </c>
      <c r="DJ143" s="1233">
        <v>1.6379142857142857</v>
      </c>
      <c r="DK143" s="1233">
        <v>1.6639999999999999</v>
      </c>
      <c r="DL143" s="1233">
        <v>1.6664521033958437</v>
      </c>
      <c r="DM143" s="1233">
        <v>1.7422899159663867</v>
      </c>
      <c r="DN143" s="1234">
        <v>1.6629765886287626</v>
      </c>
      <c r="DO143" s="1233">
        <v>1.5603674101610905</v>
      </c>
      <c r="DP143" s="1233">
        <v>1.6153185815602835</v>
      </c>
      <c r="DQ143" s="1233">
        <v>1.5840459861775653</v>
      </c>
      <c r="DR143" s="1233">
        <v>1.5940179260267755</v>
      </c>
      <c r="DS143" s="1233">
        <v>1.4727365805168984</v>
      </c>
      <c r="DT143" s="1233">
        <v>1.6223842592592592</v>
      </c>
      <c r="DU143" s="1233">
        <v>1.6156004553215713</v>
      </c>
      <c r="DV143" s="1233">
        <v>1.6446968325791855</v>
      </c>
      <c r="DW143" s="1233">
        <v>1.4647927241962775</v>
      </c>
      <c r="DX143" s="1233">
        <v>1.7652931209759404</v>
      </c>
      <c r="DY143" s="1233">
        <v>1.2668068747173225</v>
      </c>
      <c r="DZ143" s="1233">
        <v>1.3201034022681788</v>
      </c>
      <c r="EA143" s="1077"/>
      <c r="EB143" s="1235">
        <v>1.77602382725242</v>
      </c>
      <c r="EC143" s="1236">
        <v>1.3007656967840733</v>
      </c>
      <c r="ED143" s="1236">
        <v>1.3882226871459913</v>
      </c>
      <c r="EE143" s="1236">
        <v>1.2918858526139378</v>
      </c>
      <c r="EF143" s="1236">
        <v>1.5038216087859904</v>
      </c>
      <c r="EG143" s="1236">
        <v>1.5154983064764438</v>
      </c>
      <c r="EH143" s="1236">
        <v>1.4857554292831003</v>
      </c>
      <c r="EI143" s="1236">
        <v>1.6243020281710441</v>
      </c>
      <c r="EJ143" s="1236">
        <f t="shared" si="18"/>
        <v>1.4969681323713422</v>
      </c>
      <c r="EK143" s="1237">
        <v>1.5172381930184804</v>
      </c>
      <c r="EL143" s="1236">
        <f t="shared" si="19"/>
        <v>1.5438470128133623</v>
      </c>
      <c r="EM143" s="1329">
        <v>1.5100447265946293</v>
      </c>
    </row>
    <row r="144" spans="1:143">
      <c r="A144" s="998"/>
      <c r="B144" s="1114" t="s">
        <v>717</v>
      </c>
      <c r="C144" s="1115" t="s">
        <v>718</v>
      </c>
      <c r="D144" s="1221">
        <v>1.6213100624865331</v>
      </c>
      <c r="E144" s="1221">
        <v>1.6427366899542279</v>
      </c>
      <c r="F144" s="1221">
        <v>1.6101741022850924</v>
      </c>
      <c r="G144" s="1221">
        <v>1.4619641529693566</v>
      </c>
      <c r="H144" s="1221">
        <v>1.4318793314309008</v>
      </c>
      <c r="I144" s="1221">
        <v>1.3662958064265152</v>
      </c>
      <c r="J144" s="1221">
        <v>1.2274861646822068</v>
      </c>
      <c r="K144" s="1222">
        <v>1.3852908891328211</v>
      </c>
      <c r="L144" s="1076">
        <v>1.4864984998333157</v>
      </c>
      <c r="M144" s="1076">
        <v>1.5921338548457193</v>
      </c>
      <c r="N144" s="1076">
        <v>1.4586091029426749</v>
      </c>
      <c r="O144" s="1076">
        <v>1.3367414981106915</v>
      </c>
      <c r="P144" s="1076">
        <v>1.4010721649484537</v>
      </c>
      <c r="Q144" s="1076">
        <v>1.3918641843680801</v>
      </c>
      <c r="R144" s="1076">
        <v>1.6219380403458212</v>
      </c>
      <c r="S144" s="1076">
        <v>1.720717642033319</v>
      </c>
      <c r="T144" s="1076">
        <v>1.7440680495448433</v>
      </c>
      <c r="U144" s="1076">
        <v>1.750594018844736</v>
      </c>
      <c r="V144" s="1223">
        <v>1.6327844627401307</v>
      </c>
      <c r="W144" s="1222">
        <v>1.4969343354430378</v>
      </c>
      <c r="X144" s="1076">
        <v>1.7186891257018446</v>
      </c>
      <c r="Y144" s="1076">
        <v>1.4307669789227164</v>
      </c>
      <c r="Z144" s="1076">
        <v>1.6198880349179245</v>
      </c>
      <c r="AA144" s="1076">
        <v>1.5148000301272875</v>
      </c>
      <c r="AB144" s="1076">
        <v>1.6109093400945655</v>
      </c>
      <c r="AC144" s="1076">
        <v>1.657640380484811</v>
      </c>
      <c r="AD144" s="1076">
        <v>1.5393194166428368</v>
      </c>
      <c r="AE144" s="1076">
        <v>1.420028334948922</v>
      </c>
      <c r="AF144" s="1076">
        <v>1.3677898763978806</v>
      </c>
      <c r="AG144" s="1076">
        <v>1.378691983122363</v>
      </c>
      <c r="AH144" s="1223">
        <v>1.5669059089568373</v>
      </c>
      <c r="AI144" s="1224">
        <v>1.3391878078245523</v>
      </c>
      <c r="AJ144" s="1224">
        <v>1.5313865256380781</v>
      </c>
      <c r="AK144" s="1224">
        <v>1.3549051199427142</v>
      </c>
      <c r="AL144" s="1224">
        <v>1.38351776354106</v>
      </c>
      <c r="AM144" s="1224">
        <v>1.3585961342828077</v>
      </c>
      <c r="AN144" s="1224">
        <v>1.3846410684474124</v>
      </c>
      <c r="AO144" s="1224">
        <v>1.5535178980779401</v>
      </c>
      <c r="AP144" s="1224">
        <v>1.5674498911493135</v>
      </c>
      <c r="AQ144" s="1224">
        <v>1.656049546560495</v>
      </c>
      <c r="AR144" s="1224">
        <v>1.4052648951972269</v>
      </c>
      <c r="AS144" s="1224">
        <v>1.4521787443447898</v>
      </c>
      <c r="AT144" s="1224">
        <v>1.3078635014836801</v>
      </c>
      <c r="AU144" s="1222">
        <v>1.3582419696095407</v>
      </c>
      <c r="AV144" s="1076">
        <v>1.294459724950884</v>
      </c>
      <c r="AW144" s="1076">
        <v>1.3257142857142856</v>
      </c>
      <c r="AX144" s="1076">
        <v>1.356032214336975</v>
      </c>
      <c r="AY144" s="1076">
        <v>1.4036595303355808</v>
      </c>
      <c r="AZ144" s="1076">
        <v>1.3962336960716215</v>
      </c>
      <c r="BA144" s="1076">
        <v>1.5772749958409584</v>
      </c>
      <c r="BB144" s="1076">
        <v>1.541180692625157</v>
      </c>
      <c r="BC144" s="1076">
        <v>1.5291627062991451</v>
      </c>
      <c r="BD144" s="1076">
        <v>1.4451449156705416</v>
      </c>
      <c r="BE144" s="1076">
        <v>1.4697635835752805</v>
      </c>
      <c r="BF144" s="1076">
        <v>1.3784587652095546</v>
      </c>
      <c r="BG144" s="1225">
        <v>1.3718331567286388</v>
      </c>
      <c r="BH144" s="1225">
        <v>1.3417783191230213</v>
      </c>
      <c r="BI144" s="1225">
        <v>1.3674650260016112</v>
      </c>
      <c r="BJ144" s="1225">
        <v>1.4965814130159532</v>
      </c>
      <c r="BK144" s="1225">
        <v>1.4443309499489281</v>
      </c>
      <c r="BL144" s="1225">
        <v>1.4527815934065937</v>
      </c>
      <c r="BM144" s="1225">
        <v>1.613887472378039</v>
      </c>
      <c r="BN144" s="1225">
        <v>1.5228471714958201</v>
      </c>
      <c r="BO144" s="1225">
        <v>1.4296460527357662</v>
      </c>
      <c r="BP144" s="1225">
        <v>1.5038825247943415</v>
      </c>
      <c r="BQ144" s="1225">
        <v>1.484164201717048</v>
      </c>
      <c r="BR144" s="1225">
        <v>1.5422140560404225</v>
      </c>
      <c r="BS144" s="1226">
        <v>1.6085538576220646</v>
      </c>
      <c r="BT144" s="1227">
        <v>1.4309006211180126</v>
      </c>
      <c r="BU144" s="1227">
        <v>1.4090334236675701</v>
      </c>
      <c r="BV144" s="1227">
        <v>1.6009259259259254</v>
      </c>
      <c r="BW144" s="1227">
        <v>1.6693149452855645</v>
      </c>
      <c r="BX144" s="1227">
        <v>1.5902067165716636</v>
      </c>
      <c r="BY144" s="1227">
        <v>1.6477953184540002</v>
      </c>
      <c r="BZ144" s="1227">
        <v>1.7034197720151989</v>
      </c>
      <c r="CA144" s="1227">
        <v>1.648588749103709</v>
      </c>
      <c r="CB144" s="1227">
        <v>1.7605250944772262</v>
      </c>
      <c r="CC144" s="1227">
        <v>1.566919486581096</v>
      </c>
      <c r="CD144" s="1227">
        <v>1.5699348277590768</v>
      </c>
      <c r="CE144" s="1228">
        <v>1.5033400133600536</v>
      </c>
      <c r="CF144" s="1229">
        <v>1.6171843156435965</v>
      </c>
      <c r="CG144" s="1229">
        <v>1.7567168585769122</v>
      </c>
      <c r="CH144" s="1229">
        <v>1.69117411500881</v>
      </c>
      <c r="CI144" s="1229">
        <v>1.7677202715526681</v>
      </c>
      <c r="CJ144" s="1229">
        <v>1.6413176919929071</v>
      </c>
      <c r="CK144" s="1229">
        <v>1.5478550006519751</v>
      </c>
      <c r="CL144" s="1229">
        <v>1.5540890269151131</v>
      </c>
      <c r="CM144" s="1229">
        <v>1.6674694090080706</v>
      </c>
      <c r="CN144" s="1229">
        <v>1.6996067170235345</v>
      </c>
      <c r="CO144" s="1229">
        <v>1.6755533199195163</v>
      </c>
      <c r="CP144" s="1229">
        <v>1.625830205024545</v>
      </c>
      <c r="CQ144" s="1230">
        <v>1.7769317088810517</v>
      </c>
      <c r="CR144" s="1231">
        <v>1.7812570738700666</v>
      </c>
      <c r="CS144" s="1231">
        <v>1.8653212101961412</v>
      </c>
      <c r="CT144" s="1231">
        <v>1.5717037671232874</v>
      </c>
      <c r="CU144" s="1231">
        <v>1.6496134113736545</v>
      </c>
      <c r="CV144" s="1231">
        <v>1.5301481086129829</v>
      </c>
      <c r="CW144" s="1231">
        <v>1.524</v>
      </c>
      <c r="CX144" s="1231">
        <v>1.5421948680262105</v>
      </c>
      <c r="CY144" s="1231">
        <v>1.533198373894413</v>
      </c>
      <c r="CZ144" s="1231">
        <v>1.5346875185823867</v>
      </c>
      <c r="DA144" s="1231">
        <v>1.4724738613147459</v>
      </c>
      <c r="DB144" s="1232">
        <v>1.5896584598296921</v>
      </c>
      <c r="DC144" s="1233">
        <v>1.5833333333333333</v>
      </c>
      <c r="DD144" s="1233">
        <v>1.6437047458262988</v>
      </c>
      <c r="DE144" s="1233">
        <v>1.6615284529596799</v>
      </c>
      <c r="DF144" s="1233">
        <v>1.5790353885443267</v>
      </c>
      <c r="DG144" s="1233">
        <v>1.6984913003663002</v>
      </c>
      <c r="DH144" s="1233">
        <v>1.669492208285823</v>
      </c>
      <c r="DI144" s="1233">
        <v>1.5213695109414016</v>
      </c>
      <c r="DJ144" s="1233">
        <v>1.5047491758635516</v>
      </c>
      <c r="DK144" s="1233">
        <v>1.573</v>
      </c>
      <c r="DL144" s="1233">
        <v>1.6079655712050078</v>
      </c>
      <c r="DM144" s="1233">
        <v>1.6522471823966878</v>
      </c>
      <c r="DN144" s="1234">
        <v>1.5672547447206628</v>
      </c>
      <c r="DO144" s="1233">
        <v>1.5313572795856323</v>
      </c>
      <c r="DP144" s="1233">
        <v>1.5142158148505303</v>
      </c>
      <c r="DQ144" s="1233">
        <v>1.496680927881578</v>
      </c>
      <c r="DR144" s="1233">
        <v>1.6472940985732811</v>
      </c>
      <c r="DS144" s="1233">
        <v>1.6646174156697922</v>
      </c>
      <c r="DT144" s="1233">
        <v>1.6667579542075526</v>
      </c>
      <c r="DU144" s="1233">
        <v>1.5093290630767562</v>
      </c>
      <c r="DV144" s="1233">
        <v>1.5280240601503758</v>
      </c>
      <c r="DW144" s="1233">
        <v>1.5234755725855615</v>
      </c>
      <c r="DX144" s="1233">
        <v>1.9986908589802477</v>
      </c>
      <c r="DY144" s="1233">
        <v>1.4832327766179541</v>
      </c>
      <c r="DZ144" s="1233">
        <v>1.3837121212121213</v>
      </c>
      <c r="EA144" s="1077"/>
      <c r="EB144" s="1235">
        <v>1.479658838649375</v>
      </c>
      <c r="EC144" s="1236">
        <v>1.5435872301557243</v>
      </c>
      <c r="ED144" s="1236">
        <v>1.5198800819349665</v>
      </c>
      <c r="EE144" s="1236">
        <v>1.4359312207655297</v>
      </c>
      <c r="EF144" s="1236">
        <v>1.4212137931034476</v>
      </c>
      <c r="EG144" s="1236">
        <v>1.463520130576712</v>
      </c>
      <c r="EH144" s="1236">
        <v>1.5985759712429144</v>
      </c>
      <c r="EI144" s="1236">
        <v>1.6438510068274121</v>
      </c>
      <c r="EJ144" s="1236">
        <f t="shared" si="18"/>
        <v>1.6142656968087195</v>
      </c>
      <c r="EK144" s="1237">
        <v>1.6049041925650274</v>
      </c>
      <c r="EL144" s="1236">
        <f t="shared" si="19"/>
        <v>1.578948995282615</v>
      </c>
      <c r="EM144" s="1329">
        <v>1.5476491085030126</v>
      </c>
    </row>
    <row r="145" spans="1:143">
      <c r="A145" s="998"/>
      <c r="B145" s="1114" t="s">
        <v>719</v>
      </c>
      <c r="C145" s="1115" t="s">
        <v>720</v>
      </c>
      <c r="D145" s="1221">
        <v>1.6116322701688555</v>
      </c>
      <c r="E145" s="1221">
        <v>1.0907738095238095</v>
      </c>
      <c r="F145" s="1221">
        <v>1.0952517162471396</v>
      </c>
      <c r="G145" s="1221">
        <v>1.1397326852976915</v>
      </c>
      <c r="H145" s="1221">
        <v>1.5839561534628799</v>
      </c>
      <c r="I145" s="1221">
        <v>1.1243093922651934</v>
      </c>
      <c r="J145" s="1221">
        <v>1.1253369272237195</v>
      </c>
      <c r="K145" s="1222">
        <v>1.1455255087817118</v>
      </c>
      <c r="L145" s="1076">
        <v>1.0873844318520727</v>
      </c>
      <c r="M145" s="1076">
        <v>1.2577663671373553</v>
      </c>
      <c r="N145" s="1076">
        <v>1.0458173219036357</v>
      </c>
      <c r="O145" s="1076">
        <v>1.1351495726495726</v>
      </c>
      <c r="P145" s="1076">
        <v>1.0665507822200146</v>
      </c>
      <c r="Q145" s="1076">
        <v>1.0660074826296098</v>
      </c>
      <c r="R145" s="1076">
        <v>1.0844966936076414</v>
      </c>
      <c r="S145" s="1076">
        <v>1.0780460415496913</v>
      </c>
      <c r="T145" s="1076">
        <v>1.0843071786310519</v>
      </c>
      <c r="U145" s="1076">
        <v>1.0670178519168863</v>
      </c>
      <c r="V145" s="1223">
        <v>1.0829670329670331</v>
      </c>
      <c r="W145" s="1222">
        <v>1.0795542886758227</v>
      </c>
      <c r="X145" s="1076">
        <v>1.0806370070778566</v>
      </c>
      <c r="Y145" s="1076">
        <v>1.0664235477989057</v>
      </c>
      <c r="Z145" s="1076">
        <v>1.1087395442745889</v>
      </c>
      <c r="AA145" s="1076">
        <v>1.0578000589796521</v>
      </c>
      <c r="AB145" s="1076">
        <v>1.0789897904352499</v>
      </c>
      <c r="AC145" s="1076">
        <v>1.0630052306229194</v>
      </c>
      <c r="AD145" s="1076">
        <v>1.0842853516120843</v>
      </c>
      <c r="AE145" s="1076">
        <v>1.1147125140924463</v>
      </c>
      <c r="AF145" s="1076">
        <v>1.070806100217865</v>
      </c>
      <c r="AG145" s="1076">
        <v>1.0978201634877385</v>
      </c>
      <c r="AH145" s="1223">
        <v>1.0721426641448255</v>
      </c>
      <c r="AI145" s="1224">
        <v>1.0662905500705218</v>
      </c>
      <c r="AJ145" s="1224">
        <v>1.0837876614060258</v>
      </c>
      <c r="AK145" s="1224">
        <v>1.0602346805736638</v>
      </c>
      <c r="AL145" s="1224">
        <v>1.0876550169109356</v>
      </c>
      <c r="AM145" s="1224">
        <v>1.0722795869737889</v>
      </c>
      <c r="AN145" s="1224">
        <v>1.0566294582085489</v>
      </c>
      <c r="AO145" s="1224">
        <v>1.0858648481091135</v>
      </c>
      <c r="AP145" s="1224">
        <v>1.0945363048166787</v>
      </c>
      <c r="AQ145" s="1224">
        <v>1.1063094209161626</v>
      </c>
      <c r="AR145" s="1224">
        <v>1.1033040568799666</v>
      </c>
      <c r="AS145" s="1224">
        <v>1.1045895851721095</v>
      </c>
      <c r="AT145" s="1224">
        <v>1.1155187445510024</v>
      </c>
      <c r="AU145" s="1222">
        <v>1.110397946084724</v>
      </c>
      <c r="AV145" s="1076">
        <v>1.1197061365600691</v>
      </c>
      <c r="AW145" s="1076">
        <v>1.1187156738487536</v>
      </c>
      <c r="AX145" s="1076">
        <v>1.1286522148916116</v>
      </c>
      <c r="AY145" s="1076">
        <v>1.1109607577807847</v>
      </c>
      <c r="AZ145" s="1076">
        <v>1.1197029270423766</v>
      </c>
      <c r="BA145" s="1076">
        <v>1.108363309352518</v>
      </c>
      <c r="BB145" s="1076">
        <v>1.1046061127851916</v>
      </c>
      <c r="BC145" s="1076">
        <v>1.1087248322147651</v>
      </c>
      <c r="BD145" s="1076">
        <v>1.0899954317039744</v>
      </c>
      <c r="BE145" s="1076">
        <v>1.1014989293361883</v>
      </c>
      <c r="BF145" s="1076">
        <v>1.0841603811036125</v>
      </c>
      <c r="BG145" s="1225">
        <v>1.153259949195597</v>
      </c>
      <c r="BH145" s="1225">
        <v>1.1336484744305972</v>
      </c>
      <c r="BI145" s="1225">
        <v>1.1089857651245554</v>
      </c>
      <c r="BJ145" s="1225">
        <v>1.1622657580919928</v>
      </c>
      <c r="BK145" s="1225">
        <v>1.2437128486511202</v>
      </c>
      <c r="BL145" s="1225">
        <v>1.089983713355049</v>
      </c>
      <c r="BM145" s="1225">
        <v>1.1328398909232567</v>
      </c>
      <c r="BN145" s="1225">
        <v>1.092774690038478</v>
      </c>
      <c r="BO145" s="1225">
        <v>1.05626204238921</v>
      </c>
      <c r="BP145" s="1225">
        <v>1.0733646548608602</v>
      </c>
      <c r="BQ145" s="1225">
        <v>1.1019900497512438</v>
      </c>
      <c r="BR145" s="1225">
        <v>1.1035444046196732</v>
      </c>
      <c r="BS145" s="1226">
        <v>1.1255853554704129</v>
      </c>
      <c r="BT145" s="1227">
        <v>1.1422319474835883</v>
      </c>
      <c r="BU145" s="1227">
        <v>1.1543829044919323</v>
      </c>
      <c r="BV145" s="1227">
        <v>1.1138283681636283</v>
      </c>
      <c r="BW145" s="1227">
        <v>1.10126582278481</v>
      </c>
      <c r="BX145" s="1227">
        <v>1.101010101010101</v>
      </c>
      <c r="BY145" s="1227">
        <v>1.2367405978784956</v>
      </c>
      <c r="BZ145" s="1227">
        <v>1.1119757890185906</v>
      </c>
      <c r="CA145" s="1227">
        <v>1.1151461470327726</v>
      </c>
      <c r="CB145" s="1227">
        <v>1.1049097775912715</v>
      </c>
      <c r="CC145" s="1227">
        <v>1.088235294117647</v>
      </c>
      <c r="CD145" s="1227">
        <v>1.1006642820643839</v>
      </c>
      <c r="CE145" s="1228">
        <v>1.1040843214756257</v>
      </c>
      <c r="CF145" s="1229">
        <v>1.1249484536082477</v>
      </c>
      <c r="CG145" s="1229">
        <v>1.1167268351383874</v>
      </c>
      <c r="CH145" s="1229">
        <v>1.1176470588235294</v>
      </c>
      <c r="CI145" s="1229">
        <v>1.1493192797540623</v>
      </c>
      <c r="CJ145" s="1229">
        <v>1.1459990641085633</v>
      </c>
      <c r="CK145" s="1229">
        <v>1.123570800351803</v>
      </c>
      <c r="CL145" s="1229">
        <v>1.1215038972948188</v>
      </c>
      <c r="CM145" s="1229">
        <v>1.1491851232762222</v>
      </c>
      <c r="CN145" s="1229">
        <v>1.1261625556004853</v>
      </c>
      <c r="CO145" s="1229">
        <v>1.1113934773401102</v>
      </c>
      <c r="CP145" s="1229">
        <v>1.0982253404869995</v>
      </c>
      <c r="CQ145" s="1230">
        <v>1.1233853006681513</v>
      </c>
      <c r="CR145" s="1231">
        <v>1.1044289044289046</v>
      </c>
      <c r="CS145" s="1231">
        <v>1.1144794651384911</v>
      </c>
      <c r="CT145" s="1231">
        <v>1.1514236410698879</v>
      </c>
      <c r="CU145" s="1231">
        <v>1.1406966086159485</v>
      </c>
      <c r="CV145" s="1231">
        <v>1.1148468468468469</v>
      </c>
      <c r="CW145" s="1231">
        <v>1.1220000000000001</v>
      </c>
      <c r="CX145" s="1231">
        <v>1.1615657894736842</v>
      </c>
      <c r="CY145" s="1231">
        <v>1.1112678353037098</v>
      </c>
      <c r="CZ145" s="1231">
        <v>1.1177204724409451</v>
      </c>
      <c r="DA145" s="1231">
        <v>1.2577068062827224</v>
      </c>
      <c r="DB145" s="1232">
        <v>1.1883274990276158</v>
      </c>
      <c r="DC145" s="1233">
        <v>1.1113056954668734</v>
      </c>
      <c r="DD145" s="1233">
        <v>1.131940486169321</v>
      </c>
      <c r="DE145" s="1233">
        <v>1.0894117647058825</v>
      </c>
      <c r="DF145" s="1233">
        <v>1.0992095721537345</v>
      </c>
      <c r="DG145" s="1233">
        <v>1.1074960063897763</v>
      </c>
      <c r="DH145" s="1233">
        <v>1.1605603448275863</v>
      </c>
      <c r="DI145" s="1233">
        <v>1.0945774444764926</v>
      </c>
      <c r="DJ145" s="1233">
        <v>1.1048264150943399</v>
      </c>
      <c r="DK145" s="1233">
        <v>1.097</v>
      </c>
      <c r="DL145" s="1233">
        <v>1.0907889974665219</v>
      </c>
      <c r="DM145" s="1233">
        <v>1.1312740790807705</v>
      </c>
      <c r="DN145" s="1234">
        <v>1.2097849829351537</v>
      </c>
      <c r="DO145" s="1233">
        <v>1.126209721463681</v>
      </c>
      <c r="DP145" s="1233">
        <v>1.1703204005006258</v>
      </c>
      <c r="DQ145" s="1233">
        <v>1.136312292358804</v>
      </c>
      <c r="DR145" s="1233">
        <v>1.1544726840855106</v>
      </c>
      <c r="DS145" s="1233">
        <v>1.1370096096096096</v>
      </c>
      <c r="DT145" s="1233">
        <v>1.1938772663877266</v>
      </c>
      <c r="DU145" s="1233">
        <v>1.1474514420247204</v>
      </c>
      <c r="DV145" s="1233">
        <v>1.1521453488372093</v>
      </c>
      <c r="DW145" s="1233">
        <v>1.1440183171150544</v>
      </c>
      <c r="DX145" s="1233">
        <v>1.1321535893155259</v>
      </c>
      <c r="DY145" s="1233">
        <v>1.1577283372365341</v>
      </c>
      <c r="DZ145" s="1233">
        <v>1.1322105263157896</v>
      </c>
      <c r="EA145" s="1077"/>
      <c r="EB145" s="1235">
        <v>1.2318457759859123</v>
      </c>
      <c r="EC145" s="1236">
        <v>1.1011197674154496</v>
      </c>
      <c r="ED145" s="1236">
        <v>1.0808983766955744</v>
      </c>
      <c r="EE145" s="1236">
        <v>1.0830730288668675</v>
      </c>
      <c r="EF145" s="1236">
        <v>1.1085508354264499</v>
      </c>
      <c r="EG145" s="1236">
        <v>1.1187967887266699</v>
      </c>
      <c r="EH145" s="1236">
        <v>1.1240577772826854</v>
      </c>
      <c r="EI145" s="1236">
        <v>1.1238342706627749</v>
      </c>
      <c r="EJ145" s="1236">
        <f t="shared" si="18"/>
        <v>1.1423207641080759</v>
      </c>
      <c r="EK145" s="1237">
        <v>1.1186746029317256</v>
      </c>
      <c r="EL145" s="1236">
        <f t="shared" si="19"/>
        <v>1.1486591279375662</v>
      </c>
      <c r="EM145" s="1329">
        <v>1.1468733166479121</v>
      </c>
    </row>
    <row r="146" spans="1:143">
      <c r="A146" s="998"/>
      <c r="B146" s="1207" t="s">
        <v>736</v>
      </c>
      <c r="C146" s="1171"/>
      <c r="D146" s="1221">
        <v>1.6648914680280604</v>
      </c>
      <c r="E146" s="1221">
        <v>1.6313328399381013</v>
      </c>
      <c r="F146" s="1221">
        <v>1.6629647776144592</v>
      </c>
      <c r="G146" s="1221">
        <v>1.6059195531443613</v>
      </c>
      <c r="H146" s="1221">
        <v>1.4858937956865825</v>
      </c>
      <c r="I146" s="1221">
        <v>1.3287403298788498</v>
      </c>
      <c r="J146" s="1221">
        <v>1.4154589371980677</v>
      </c>
      <c r="K146" s="1222">
        <v>1.3362448158853839</v>
      </c>
      <c r="L146" s="1076">
        <v>1.4184389224684719</v>
      </c>
      <c r="M146" s="1076">
        <v>1.4800915626914273</v>
      </c>
      <c r="N146" s="1076">
        <v>1.404521739130435</v>
      </c>
      <c r="O146" s="1076">
        <v>1.3764491411969126</v>
      </c>
      <c r="P146" s="1076">
        <v>1.4324469674335225</v>
      </c>
      <c r="Q146" s="1076">
        <v>1.3238026543566066</v>
      </c>
      <c r="R146" s="1076">
        <v>1.5249488154431126</v>
      </c>
      <c r="S146" s="1076">
        <v>1.5305905130687314</v>
      </c>
      <c r="T146" s="1076">
        <v>1.562325731560565</v>
      </c>
      <c r="U146" s="1076">
        <v>1.5833235878844569</v>
      </c>
      <c r="V146" s="1223">
        <v>1.5773883429706634</v>
      </c>
      <c r="W146" s="1222">
        <v>1.5107325383304939</v>
      </c>
      <c r="X146" s="1076">
        <v>1.4316986443440254</v>
      </c>
      <c r="Y146" s="1076">
        <v>1.4163249306476899</v>
      </c>
      <c r="Z146" s="1076">
        <v>1.5023080281953718</v>
      </c>
      <c r="AA146" s="1076">
        <v>1.370201049405164</v>
      </c>
      <c r="AB146" s="1076">
        <v>1.4138416422287392</v>
      </c>
      <c r="AC146" s="1076">
        <v>1.3817608833732351</v>
      </c>
      <c r="AD146" s="1076">
        <v>1.339496877082974</v>
      </c>
      <c r="AE146" s="1076">
        <v>1.3173099630028084</v>
      </c>
      <c r="AF146" s="1076">
        <v>1.2845064931900683</v>
      </c>
      <c r="AG146" s="1076">
        <v>1.3213895962168067</v>
      </c>
      <c r="AH146" s="1223">
        <v>1.5050769825064843</v>
      </c>
      <c r="AI146" s="1224">
        <v>1.2944610565285486</v>
      </c>
      <c r="AJ146" s="1224">
        <v>1.3847973603934505</v>
      </c>
      <c r="AK146" s="1224">
        <v>1.2637667626384457</v>
      </c>
      <c r="AL146" s="1224">
        <v>1.3356734500429515</v>
      </c>
      <c r="AM146" s="1224">
        <v>1.2915826345398578</v>
      </c>
      <c r="AN146" s="1224">
        <v>1.3065655027275502</v>
      </c>
      <c r="AO146" s="1224">
        <v>1.3583019494904738</v>
      </c>
      <c r="AP146" s="1224">
        <v>1.439312884754967</v>
      </c>
      <c r="AQ146" s="1224">
        <v>1.3710951948619652</v>
      </c>
      <c r="AR146" s="1224">
        <v>1.3669610986750553</v>
      </c>
      <c r="AS146" s="1224">
        <v>1.2716660957550532</v>
      </c>
      <c r="AT146" s="1224">
        <v>1.2552956925742185</v>
      </c>
      <c r="AU146" s="1222">
        <v>1.2807806912991657</v>
      </c>
      <c r="AV146" s="1076">
        <v>1.3138604541710788</v>
      </c>
      <c r="AW146" s="1076">
        <v>1.3236936132201889</v>
      </c>
      <c r="AX146" s="1076">
        <v>1.3480277807231471</v>
      </c>
      <c r="AY146" s="1076">
        <v>1.3458655061069773</v>
      </c>
      <c r="AZ146" s="1076">
        <v>1.3717475104400898</v>
      </c>
      <c r="BA146" s="1076">
        <v>1.3794121905313452</v>
      </c>
      <c r="BB146" s="1076">
        <v>1.3512360975047544</v>
      </c>
      <c r="BC146" s="1076">
        <v>1.3659494635633473</v>
      </c>
      <c r="BD146" s="1076">
        <v>1.3793274942668472</v>
      </c>
      <c r="BE146" s="1076">
        <v>1.3396827185888587</v>
      </c>
      <c r="BF146" s="1076">
        <v>1.3346559206447619</v>
      </c>
      <c r="BG146" s="1225">
        <v>1.3770691414091554</v>
      </c>
      <c r="BH146" s="1225">
        <v>1.3895058464069567</v>
      </c>
      <c r="BI146" s="1225">
        <v>1.3362622799688852</v>
      </c>
      <c r="BJ146" s="1225">
        <v>1.3987240829346097</v>
      </c>
      <c r="BK146" s="1225">
        <v>1.4074041376063091</v>
      </c>
      <c r="BL146" s="1225">
        <v>1.3995744547701743</v>
      </c>
      <c r="BM146" s="1225">
        <v>1.4744823192099397</v>
      </c>
      <c r="BN146" s="1225">
        <v>1.3997101091716515</v>
      </c>
      <c r="BO146" s="1225">
        <v>1.3151267702147109</v>
      </c>
      <c r="BP146" s="1225">
        <v>1.3954502219403921</v>
      </c>
      <c r="BQ146" s="1225">
        <v>1.3986618480171911</v>
      </c>
      <c r="BR146" s="1225">
        <v>1.4726018056351093</v>
      </c>
      <c r="BS146" s="1226">
        <v>1.4468287249377541</v>
      </c>
      <c r="BT146" s="1227">
        <v>1.4082330805633168</v>
      </c>
      <c r="BU146" s="1227">
        <v>1.3513910932686013</v>
      </c>
      <c r="BV146" s="1227">
        <v>1.4171867776236708</v>
      </c>
      <c r="BW146" s="1227">
        <v>1.509835006752392</v>
      </c>
      <c r="BX146" s="1227">
        <v>1.4330579864234891</v>
      </c>
      <c r="BY146" s="1227">
        <v>1.4125893347993397</v>
      </c>
      <c r="BZ146" s="1227">
        <v>1.4711528483968037</v>
      </c>
      <c r="CA146" s="1227">
        <v>1.4448006513497709</v>
      </c>
      <c r="CB146" s="1227">
        <v>1.4735189702224269</v>
      </c>
      <c r="CC146" s="1227">
        <v>1.4280855199222553</v>
      </c>
      <c r="CD146" s="1227">
        <v>1.4342139454309213</v>
      </c>
      <c r="CE146" s="1228">
        <v>1.3988185607419878</v>
      </c>
      <c r="CF146" s="1229">
        <v>1.4155949641261669</v>
      </c>
      <c r="CG146" s="1229">
        <v>1.5138895865775879</v>
      </c>
      <c r="CH146" s="1229">
        <v>1.5055070051324735</v>
      </c>
      <c r="CI146" s="1229">
        <v>1.5644490930610226</v>
      </c>
      <c r="CJ146" s="1229">
        <v>1.5204344175717035</v>
      </c>
      <c r="CK146" s="1229">
        <v>1.456739046640114</v>
      </c>
      <c r="CL146" s="1229">
        <v>1.459224375305592</v>
      </c>
      <c r="CM146" s="1229">
        <v>1.5133321001030633</v>
      </c>
      <c r="CN146" s="1229">
        <v>1.5586848344319106</v>
      </c>
      <c r="CO146" s="1229">
        <v>1.5175548432334964</v>
      </c>
      <c r="CP146" s="1229">
        <v>1.517221180880975</v>
      </c>
      <c r="CQ146" s="1230">
        <v>1.6050480246184458</v>
      </c>
      <c r="CR146" s="1231">
        <v>1.6144616814827724</v>
      </c>
      <c r="CS146" s="1231">
        <v>1.6306116647127782</v>
      </c>
      <c r="CT146" s="1231">
        <v>1.5204271260434792</v>
      </c>
      <c r="CU146" s="1231">
        <v>1.4987853247397116</v>
      </c>
      <c r="CV146" s="1231">
        <v>1.4484139482564684</v>
      </c>
      <c r="CW146" s="1231">
        <v>1.4770000000000001</v>
      </c>
      <c r="CX146" s="1231">
        <v>1.4801647401966083</v>
      </c>
      <c r="CY146" s="1231">
        <v>1.5156674460898933</v>
      </c>
      <c r="CZ146" s="1231">
        <v>1.5202455053028074</v>
      </c>
      <c r="DA146" s="1231">
        <v>1.4732451249766587</v>
      </c>
      <c r="DB146" s="1232">
        <v>1.5511479137828752</v>
      </c>
      <c r="DC146" s="1233">
        <v>1.4468792279824314</v>
      </c>
      <c r="DD146" s="1233">
        <v>1.4185021450596602</v>
      </c>
      <c r="DE146" s="1233">
        <v>1.4866591750034261</v>
      </c>
      <c r="DF146" s="1233">
        <v>1.4422916248818078</v>
      </c>
      <c r="DG146" s="1233">
        <v>1.5629758738601831</v>
      </c>
      <c r="DH146" s="1233">
        <v>1.5020400971333809</v>
      </c>
      <c r="DI146" s="1233">
        <v>1.4073706224883129</v>
      </c>
      <c r="DJ146" s="1233">
        <v>1.4543471347707182</v>
      </c>
      <c r="DK146" s="1233">
        <v>1.502</v>
      </c>
      <c r="DL146" s="1233">
        <v>1.5189922628107555</v>
      </c>
      <c r="DM146" s="1233">
        <v>1.4894223395562256</v>
      </c>
      <c r="DN146" s="1234">
        <v>1.4617944256933089</v>
      </c>
      <c r="DO146" s="1233">
        <v>1.4445190604807001</v>
      </c>
      <c r="DP146" s="1233">
        <v>1.4461307386139213</v>
      </c>
      <c r="DQ146" s="1233">
        <v>1.448736864</v>
      </c>
      <c r="DR146" s="1233">
        <v>1.477749232855206</v>
      </c>
      <c r="DS146" s="1233">
        <v>1.5001761676952852</v>
      </c>
      <c r="DT146" s="1233">
        <v>1.5339349576345676</v>
      </c>
      <c r="DU146" s="1233">
        <v>1.4506856681903741</v>
      </c>
      <c r="DV146" s="1233">
        <v>1.42515016416105</v>
      </c>
      <c r="DW146" s="1233">
        <v>1.4386242117708876</v>
      </c>
      <c r="DX146" s="1233">
        <v>1.7147918944778568</v>
      </c>
      <c r="DY146" s="1233">
        <v>1.3889165377631316</v>
      </c>
      <c r="DZ146" s="1233">
        <v>1.3424945418691461</v>
      </c>
      <c r="EA146" s="1077"/>
      <c r="EB146" s="1235">
        <v>1.5409268849373241</v>
      </c>
      <c r="EC146" s="1236">
        <v>1.4617133623201182</v>
      </c>
      <c r="ED146" s="1236">
        <v>1.3932971097210152</v>
      </c>
      <c r="EE146" s="1236">
        <v>1.3260729578431354</v>
      </c>
      <c r="EF146" s="1236">
        <v>1.3450158055115222</v>
      </c>
      <c r="EG146" s="1236">
        <v>1.39690056795495</v>
      </c>
      <c r="EH146" s="1236">
        <v>1.4346422831711481</v>
      </c>
      <c r="EI146" s="1236">
        <v>1.4952092710320242</v>
      </c>
      <c r="EJ146" s="1236">
        <f t="shared" si="18"/>
        <v>1.5279348750168749</v>
      </c>
      <c r="EK146" s="1237">
        <v>1.4739734216876139</v>
      </c>
      <c r="EL146" s="1236">
        <f t="shared" si="19"/>
        <v>1.4676591699593438</v>
      </c>
      <c r="EM146" s="1329">
        <v>1.4481947725788487</v>
      </c>
    </row>
    <row r="147" spans="1:143">
      <c r="A147" s="998"/>
      <c r="B147" s="1238"/>
      <c r="C147" s="1144"/>
      <c r="D147" s="1221"/>
      <c r="E147" s="1221"/>
      <c r="F147" s="1220" t="s">
        <v>222</v>
      </c>
      <c r="G147" s="1221"/>
      <c r="H147" s="1221"/>
      <c r="I147" s="1221"/>
      <c r="J147" s="1221"/>
      <c r="K147" s="1222"/>
      <c r="L147" s="1076"/>
      <c r="M147" s="1076"/>
      <c r="N147" s="1076"/>
      <c r="O147" s="1076"/>
      <c r="P147" s="1076" t="s">
        <v>222</v>
      </c>
      <c r="Q147" s="1076"/>
      <c r="R147" s="1076"/>
      <c r="S147" s="1076"/>
      <c r="T147" s="1076"/>
      <c r="U147" s="1076"/>
      <c r="V147" s="1223"/>
      <c r="W147" s="1222"/>
      <c r="X147" s="1076"/>
      <c r="Y147" s="1076"/>
      <c r="Z147" s="1076"/>
      <c r="AA147" s="1076"/>
      <c r="AB147" s="1076"/>
      <c r="AC147" s="1076"/>
      <c r="AD147" s="1076" t="s">
        <v>222</v>
      </c>
      <c r="AE147" s="1076"/>
      <c r="AF147" s="1076"/>
      <c r="AG147" s="1076"/>
      <c r="AH147" s="1223"/>
      <c r="AI147" s="1224"/>
      <c r="AJ147" s="1224"/>
      <c r="AK147" s="1224"/>
      <c r="AL147" s="1224"/>
      <c r="AM147" s="1224"/>
      <c r="AN147" s="1224"/>
      <c r="AO147" s="1224"/>
      <c r="AP147" s="1076" t="s">
        <v>222</v>
      </c>
      <c r="AQ147" s="1224"/>
      <c r="AR147" s="1224"/>
      <c r="AS147" s="1224"/>
      <c r="AT147" s="1224"/>
      <c r="AU147" s="1222"/>
      <c r="AV147" s="1076"/>
      <c r="AW147" s="1076"/>
      <c r="AX147" s="1076"/>
      <c r="AY147" s="1076"/>
      <c r="AZ147" s="1076"/>
      <c r="BA147" s="1076"/>
      <c r="BB147" s="1076" t="s">
        <v>222</v>
      </c>
      <c r="BC147" s="1076"/>
      <c r="BD147" s="1076"/>
      <c r="BE147" s="1076"/>
      <c r="BF147" s="1076"/>
      <c r="BG147" s="1225"/>
      <c r="BH147" s="1225"/>
      <c r="BI147" s="1225"/>
      <c r="BJ147" s="1225"/>
      <c r="BK147" s="1225"/>
      <c r="BL147" s="1225"/>
      <c r="BM147" s="1225" t="str">
        <f>+BB147</f>
        <v>No residentes</v>
      </c>
      <c r="BN147" s="1225"/>
      <c r="BO147" s="1225"/>
      <c r="BP147" s="1225"/>
      <c r="BQ147" s="1225"/>
      <c r="BR147" s="1225"/>
      <c r="BS147" s="1226"/>
      <c r="BT147" s="1227"/>
      <c r="BU147" s="1227"/>
      <c r="BV147" s="1227"/>
      <c r="BW147" s="1227"/>
      <c r="BX147" s="1227"/>
      <c r="BY147" s="1227" t="str">
        <f>+BM147</f>
        <v>No residentes</v>
      </c>
      <c r="BZ147" s="1227"/>
      <c r="CA147" s="1227"/>
      <c r="CB147" s="1227"/>
      <c r="CC147" s="1227"/>
      <c r="CD147" s="1227"/>
      <c r="CE147" s="1228"/>
      <c r="CF147" s="1229"/>
      <c r="CG147" s="1229"/>
      <c r="CH147" s="1229"/>
      <c r="CI147" s="1229"/>
      <c r="CJ147" s="1229"/>
      <c r="CK147" s="1229" t="str">
        <f>+BY147</f>
        <v>No residentes</v>
      </c>
      <c r="CL147" s="1229"/>
      <c r="CM147" s="1229"/>
      <c r="CN147" s="1229"/>
      <c r="CO147" s="1229"/>
      <c r="CP147" s="1229"/>
      <c r="CQ147" s="1239"/>
      <c r="CR147" s="1240"/>
      <c r="CS147" s="1240"/>
      <c r="CT147" s="1240"/>
      <c r="CU147" s="1240"/>
      <c r="CV147" s="1240"/>
      <c r="CW147" s="1240" t="str">
        <f>+CK147</f>
        <v>No residentes</v>
      </c>
      <c r="CX147" s="1240"/>
      <c r="CY147" s="1240"/>
      <c r="CZ147" s="1240"/>
      <c r="DA147" s="1240"/>
      <c r="DB147" s="1241"/>
      <c r="DC147" s="1233"/>
      <c r="DD147" s="1233"/>
      <c r="DE147" s="1233"/>
      <c r="DF147" s="1233"/>
      <c r="DG147" s="1233"/>
      <c r="DH147" s="1233"/>
      <c r="DI147" s="1233"/>
      <c r="DJ147" s="1233"/>
      <c r="DK147" s="1233"/>
      <c r="DL147" s="1233"/>
      <c r="DM147" s="1233"/>
      <c r="DN147" s="1234"/>
      <c r="DO147" s="1233"/>
      <c r="DP147" s="1233"/>
      <c r="DQ147" s="1233"/>
      <c r="DR147" s="1233"/>
      <c r="DS147" s="1233"/>
      <c r="DT147" s="1233"/>
      <c r="DU147" s="1233"/>
      <c r="DV147" s="1233"/>
      <c r="DW147" s="1233"/>
      <c r="DX147" s="1233"/>
      <c r="DY147" s="1233"/>
      <c r="DZ147" s="1233"/>
      <c r="EA147" s="1077"/>
      <c r="EB147" s="1235"/>
      <c r="EC147" s="1236"/>
      <c r="ED147" s="1236"/>
      <c r="EE147" s="1236"/>
      <c r="EF147" s="1236"/>
      <c r="EG147" s="1236"/>
      <c r="EH147" s="1236"/>
      <c r="EI147" s="1236"/>
      <c r="EJ147" s="1236"/>
      <c r="EK147" s="1237"/>
      <c r="EL147" s="1236"/>
      <c r="EM147" s="1329"/>
    </row>
    <row r="148" spans="1:143">
      <c r="A148" s="998"/>
      <c r="B148" s="1114" t="s">
        <v>737</v>
      </c>
      <c r="C148" s="1115" t="s">
        <v>708</v>
      </c>
      <c r="D148" s="1221">
        <v>1.5422131147540983</v>
      </c>
      <c r="E148" s="1221">
        <v>2.7943262411347516</v>
      </c>
      <c r="F148" s="1221">
        <v>1.2162162162162162</v>
      </c>
      <c r="G148" s="1221">
        <v>1.7518796992481203</v>
      </c>
      <c r="H148" s="1221">
        <v>4.2159329140461219</v>
      </c>
      <c r="I148" s="1221">
        <v>1.5262096774193548</v>
      </c>
      <c r="J148" s="1221">
        <v>1.4265402843601895</v>
      </c>
      <c r="K148" s="1222">
        <v>1.9759450171821307</v>
      </c>
      <c r="L148" s="1076">
        <v>1.6912442396313367</v>
      </c>
      <c r="M148" s="1076">
        <v>1.4541284403669728</v>
      </c>
      <c r="N148" s="1076">
        <v>1.2974137931034482</v>
      </c>
      <c r="O148" s="1076">
        <v>1.8434343434343434</v>
      </c>
      <c r="P148" s="1076">
        <v>3.2031249999999996</v>
      </c>
      <c r="Q148" s="1076">
        <v>3.518987341772152</v>
      </c>
      <c r="R148" s="1076">
        <v>2.8840579710144927</v>
      </c>
      <c r="S148" s="1076">
        <v>2.2822085889570554</v>
      </c>
      <c r="T148" s="1076">
        <v>1.1161290322580646</v>
      </c>
      <c r="U148" s="1076">
        <v>1.6973684210526314</v>
      </c>
      <c r="V148" s="1223">
        <v>1.3453947368421053</v>
      </c>
      <c r="W148" s="1222">
        <v>1.6887755102040816</v>
      </c>
      <c r="X148" s="1076">
        <v>1.6835443037974684</v>
      </c>
      <c r="Y148" s="1076">
        <v>2.2242990654205603</v>
      </c>
      <c r="Z148" s="1076">
        <v>1.4215686274509807</v>
      </c>
      <c r="AA148" s="1076">
        <v>2.3373493975903616</v>
      </c>
      <c r="AB148" s="1076">
        <v>2.1063829787234041</v>
      </c>
      <c r="AC148" s="1076">
        <v>1.4695121951219512</v>
      </c>
      <c r="AD148" s="1076">
        <v>2.6488549618320607</v>
      </c>
      <c r="AE148" s="1076">
        <v>2.3958333333333335</v>
      </c>
      <c r="AF148" s="1076">
        <v>2.6187845303867405</v>
      </c>
      <c r="AG148" s="1076">
        <v>1.28992628992629</v>
      </c>
      <c r="AH148" s="1223">
        <v>1.68</v>
      </c>
      <c r="AI148" s="1224">
        <v>1.4681528662420382</v>
      </c>
      <c r="AJ148" s="1224">
        <v>2.5714285714285716</v>
      </c>
      <c r="AK148" s="1224">
        <v>1.4936305732484074</v>
      </c>
      <c r="AL148" s="1224">
        <v>2.0136986301369864</v>
      </c>
      <c r="AM148" s="1224">
        <v>2.2096774193548385</v>
      </c>
      <c r="AN148" s="1224">
        <v>1.7704918032786887</v>
      </c>
      <c r="AO148" s="1224">
        <v>2.1881720430107525</v>
      </c>
      <c r="AP148" s="1224">
        <v>1.5836680053547527</v>
      </c>
      <c r="AQ148" s="1224">
        <v>2.0465116279069764</v>
      </c>
      <c r="AR148" s="1224">
        <v>3.9872340425531911</v>
      </c>
      <c r="AS148" s="1224">
        <v>1.5735607675906182</v>
      </c>
      <c r="AT148" s="1224">
        <v>1.2995169082125599</v>
      </c>
      <c r="AU148" s="1222">
        <v>1.9573170731707321</v>
      </c>
      <c r="AV148" s="1076">
        <v>2.2996845425867507</v>
      </c>
      <c r="AW148" s="1076">
        <v>5.1399317406143341</v>
      </c>
      <c r="AX148" s="1076">
        <v>2.0659488559892325</v>
      </c>
      <c r="AY148" s="1076">
        <v>1.5875169606512891</v>
      </c>
      <c r="AZ148" s="1076">
        <v>1.6025157232704399</v>
      </c>
      <c r="BA148" s="1076">
        <v>1.7838235294117648</v>
      </c>
      <c r="BB148" s="1076">
        <v>1.8152958152958152</v>
      </c>
      <c r="BC148" s="1076">
        <v>1.6742815033161385</v>
      </c>
      <c r="BD148" s="1076">
        <v>2.1650485436893203</v>
      </c>
      <c r="BE148" s="1076">
        <v>2.2851063829787233</v>
      </c>
      <c r="BF148" s="1076">
        <v>1.6060606060606064</v>
      </c>
      <c r="BG148" s="1225">
        <v>1.60377358490566</v>
      </c>
      <c r="BH148" s="1225">
        <v>1.4248151191454397</v>
      </c>
      <c r="BI148" s="1225">
        <v>2.0657476139978792</v>
      </c>
      <c r="BJ148" s="1225">
        <v>1.7995780590717299</v>
      </c>
      <c r="BK148" s="1225">
        <v>1.4339339339339339</v>
      </c>
      <c r="BL148" s="1225">
        <v>1.4100652376514446</v>
      </c>
      <c r="BM148" s="1225">
        <v>1.4400785854616895</v>
      </c>
      <c r="BN148" s="1225">
        <v>1.6253101736972702</v>
      </c>
      <c r="BO148" s="1225">
        <v>1.7881705639614858</v>
      </c>
      <c r="BP148" s="1225">
        <v>1.3419642857142857</v>
      </c>
      <c r="BQ148" s="1225">
        <v>1.4413875598086126</v>
      </c>
      <c r="BR148" s="1225">
        <v>1.4067460317460316</v>
      </c>
      <c r="BS148" s="1226">
        <v>1.9358288770053473</v>
      </c>
      <c r="BT148" s="1227">
        <v>1.808648648648649</v>
      </c>
      <c r="BU148" s="1227">
        <v>1.689106487148103</v>
      </c>
      <c r="BV148" s="1227">
        <v>1.6426426426426426</v>
      </c>
      <c r="BW148" s="1227">
        <v>1.8168028004667445</v>
      </c>
      <c r="BX148" s="1227">
        <v>2.3448687350835318</v>
      </c>
      <c r="BY148" s="1227">
        <v>2.5470249520153545</v>
      </c>
      <c r="BZ148" s="1227">
        <v>1.7724252491694357</v>
      </c>
      <c r="CA148" s="1227">
        <v>1.6924137931034482</v>
      </c>
      <c r="CB148" s="1227">
        <v>1.5645355850422193</v>
      </c>
      <c r="CC148" s="1227">
        <v>1.2867231638418077</v>
      </c>
      <c r="CD148" s="1227">
        <v>1.7480158730158726</v>
      </c>
      <c r="CE148" s="1228">
        <v>1.4905660377358489</v>
      </c>
      <c r="CF148" s="1229">
        <v>1.6228482003129892</v>
      </c>
      <c r="CG148" s="1229">
        <v>2.2476489028213171</v>
      </c>
      <c r="CH148" s="1229">
        <v>1.5007451564828613</v>
      </c>
      <c r="CI148" s="1229">
        <v>1.4724292101341279</v>
      </c>
      <c r="CJ148" s="1229">
        <v>1.3909348441926344</v>
      </c>
      <c r="CK148" s="1229">
        <v>1.6307857911733044</v>
      </c>
      <c r="CL148" s="1229">
        <v>1.7064676616915424</v>
      </c>
      <c r="CM148" s="1229">
        <v>1.6078680203045685</v>
      </c>
      <c r="CN148" s="1229">
        <v>1.7070240295748615</v>
      </c>
      <c r="CO148" s="1229">
        <v>1.8333333333333333</v>
      </c>
      <c r="CP148" s="1229">
        <v>1.8007566204287517</v>
      </c>
      <c r="CQ148" s="1230">
        <v>2.1024774774774779</v>
      </c>
      <c r="CR148" s="1231">
        <v>2.0807860262008728</v>
      </c>
      <c r="CS148" s="1231">
        <v>1.9526315789473685</v>
      </c>
      <c r="CT148" s="1231">
        <v>2.0508875739644967</v>
      </c>
      <c r="CU148" s="1231">
        <v>2.2719665271966529</v>
      </c>
      <c r="CV148" s="1231">
        <v>2.3929999999999998</v>
      </c>
      <c r="CW148" s="1231">
        <v>1.869</v>
      </c>
      <c r="CX148" s="1231">
        <v>2.5809660297239918</v>
      </c>
      <c r="CY148" s="1231">
        <v>1.9707629586488058</v>
      </c>
      <c r="CZ148" s="1231">
        <v>2.1867219917012446</v>
      </c>
      <c r="DA148" s="1231">
        <v>2.2540329218106998</v>
      </c>
      <c r="DB148" s="1232">
        <v>2.4997252289758536</v>
      </c>
      <c r="DC148" s="1233">
        <v>1.9601241134751768</v>
      </c>
      <c r="DD148" s="1233">
        <v>1.5709550118389897</v>
      </c>
      <c r="DE148" s="1233">
        <v>2.2897153700189752</v>
      </c>
      <c r="DF148" s="1233">
        <v>1.9023286467486817</v>
      </c>
      <c r="DG148" s="1233">
        <v>2.9152599758162028</v>
      </c>
      <c r="DH148" s="1233">
        <v>2.838472775564409</v>
      </c>
      <c r="DI148" s="1233">
        <v>2.8505632411067192</v>
      </c>
      <c r="DJ148" s="1233">
        <v>1.3175999999999999</v>
      </c>
      <c r="DK148" s="1233">
        <v>1.8172031662269128</v>
      </c>
      <c r="DL148" s="1233">
        <v>3.1505010224948871</v>
      </c>
      <c r="DM148" s="1233">
        <v>2.6486418269230771</v>
      </c>
      <c r="DN148" s="1234">
        <v>2.4880835734870317</v>
      </c>
      <c r="DO148" s="1233">
        <v>2.1771981735159813</v>
      </c>
      <c r="DP148" s="1233">
        <v>2.0601244444444444</v>
      </c>
      <c r="DQ148" s="1233">
        <v>1.7706560693641618</v>
      </c>
      <c r="DR148" s="1233">
        <v>2.1543667068757539</v>
      </c>
      <c r="DS148" s="1233">
        <v>1.793464471403813</v>
      </c>
      <c r="DT148" s="1233">
        <v>2.0266174496644296</v>
      </c>
      <c r="DU148" s="1233">
        <v>1.863142112125163</v>
      </c>
      <c r="DV148" s="1233">
        <v>1.501925254813137</v>
      </c>
      <c r="DW148" s="1233">
        <v>1.7414949201741656</v>
      </c>
      <c r="DX148" s="1233">
        <v>2.3806083244397014</v>
      </c>
      <c r="DY148" s="1233">
        <v>1.98434331797235</v>
      </c>
      <c r="DZ148" s="1233">
        <v>1.7344165435745935</v>
      </c>
      <c r="EA148" s="1077"/>
      <c r="EB148" s="1235">
        <v>1.8675862068965516</v>
      </c>
      <c r="EC148" s="1236">
        <v>2.0423651325815304</v>
      </c>
      <c r="ED148" s="1236">
        <v>1.7453959484346224</v>
      </c>
      <c r="EE148" s="1236">
        <v>1.8677301429046178</v>
      </c>
      <c r="EF148" s="1236">
        <v>1.973420321372477</v>
      </c>
      <c r="EG148" s="1236">
        <v>1.5533141210374641</v>
      </c>
      <c r="EH148" s="1236">
        <v>1.8108695652173903</v>
      </c>
      <c r="EI148" s="1236">
        <v>1.674063219593888</v>
      </c>
      <c r="EJ148" s="1236">
        <f t="shared" ref="EJ148:EJ155" si="20">AVERAGE(CQ148:DB148)</f>
        <v>2.184413192887289</v>
      </c>
      <c r="EK148" s="1237">
        <v>2.2511032148900161</v>
      </c>
      <c r="EL148" s="1236">
        <f t="shared" ref="EL148:EL155" si="21">AVERAGE(DO148:DZ148)</f>
        <v>1.9323631490306414</v>
      </c>
      <c r="EM148" s="1329">
        <v>1.9012494146928702</v>
      </c>
    </row>
    <row r="149" spans="1:143">
      <c r="A149" s="998"/>
      <c r="B149" s="1114" t="s">
        <v>709</v>
      </c>
      <c r="C149" s="1115" t="s">
        <v>710</v>
      </c>
      <c r="D149" s="1221">
        <v>1.4968440036068531</v>
      </c>
      <c r="E149" s="1221">
        <v>1.4798183652875883</v>
      </c>
      <c r="F149" s="1221">
        <v>1.4509582863585118</v>
      </c>
      <c r="G149" s="1221">
        <v>1.3203319502074689</v>
      </c>
      <c r="H149" s="1221">
        <v>1.3824000000000001</v>
      </c>
      <c r="I149" s="1221">
        <v>1.0482115085536547</v>
      </c>
      <c r="J149" s="1221">
        <v>1.5267295597484276</v>
      </c>
      <c r="K149" s="1222">
        <v>2.8136482939632543</v>
      </c>
      <c r="L149" s="1076">
        <v>1.8162808065720688</v>
      </c>
      <c r="M149" s="1076">
        <v>1.2103524229074887</v>
      </c>
      <c r="N149" s="1076">
        <v>1.6601178781925345</v>
      </c>
      <c r="O149" s="1076">
        <v>1.6671709531013617</v>
      </c>
      <c r="P149" s="1076">
        <v>1.7220253164556969</v>
      </c>
      <c r="Q149" s="1076">
        <v>1.63758389261745</v>
      </c>
      <c r="R149" s="1076">
        <v>1.490242931103146</v>
      </c>
      <c r="S149" s="1076">
        <v>1.3291375291375291</v>
      </c>
      <c r="T149" s="1076">
        <v>1.4948496085702514</v>
      </c>
      <c r="U149" s="1076">
        <v>1.4937775993576876</v>
      </c>
      <c r="V149" s="1223">
        <v>1.4485727231536021</v>
      </c>
      <c r="W149" s="1222">
        <v>1.2683544303797469</v>
      </c>
      <c r="X149" s="1076">
        <v>1.767379679144385</v>
      </c>
      <c r="Y149" s="1076">
        <v>1.3522966708807416</v>
      </c>
      <c r="Z149" s="1076">
        <v>1.5320833333333332</v>
      </c>
      <c r="AA149" s="1076">
        <v>1.2049261083743843</v>
      </c>
      <c r="AB149" s="1076">
        <v>1.5936106983655274</v>
      </c>
      <c r="AC149" s="1076">
        <v>1.4188532555879496</v>
      </c>
      <c r="AD149" s="1076">
        <v>1.4753483386923902</v>
      </c>
      <c r="AE149" s="1076">
        <v>1.3688524590163935</v>
      </c>
      <c r="AF149" s="1076">
        <v>1.2192151556156972</v>
      </c>
      <c r="AG149" s="1076">
        <v>1.3491397398237517</v>
      </c>
      <c r="AH149" s="1223">
        <v>1.3542542866386282</v>
      </c>
      <c r="AI149" s="1224">
        <v>1.4298975672215106</v>
      </c>
      <c r="AJ149" s="1224">
        <v>1.5706486833654465</v>
      </c>
      <c r="AK149" s="1224">
        <v>1.286079182630907</v>
      </c>
      <c r="AL149" s="1224">
        <v>1.1350770333213902</v>
      </c>
      <c r="AM149" s="1224">
        <v>1.1107373142696944</v>
      </c>
      <c r="AN149" s="1224">
        <v>1.1587510993843446</v>
      </c>
      <c r="AO149" s="1224">
        <v>1.5224230254350737</v>
      </c>
      <c r="AP149" s="1224">
        <v>1.4057704112952731</v>
      </c>
      <c r="AQ149" s="1224">
        <v>1.3744186046511631</v>
      </c>
      <c r="AR149" s="1224">
        <v>1.2484619025082822</v>
      </c>
      <c r="AS149" s="1224">
        <v>1.2951541850220261</v>
      </c>
      <c r="AT149" s="1224">
        <v>1.4049180327868853</v>
      </c>
      <c r="AU149" s="1222">
        <v>1.3657171922685651</v>
      </c>
      <c r="AV149" s="1076">
        <v>1.4294631710362045</v>
      </c>
      <c r="AW149" s="1076">
        <v>1.3593925759280088</v>
      </c>
      <c r="AX149" s="1076">
        <v>1.2411863458310017</v>
      </c>
      <c r="AY149" s="1076">
        <v>1.4020681265206811</v>
      </c>
      <c r="AZ149" s="1076">
        <v>1.4652206432311141</v>
      </c>
      <c r="BA149" s="1076">
        <v>1.3971428571428572</v>
      </c>
      <c r="BB149" s="1076">
        <v>1.325371549893843</v>
      </c>
      <c r="BC149" s="1076">
        <v>1.462105969148223</v>
      </c>
      <c r="BD149" s="1076">
        <v>1.3787553648068671</v>
      </c>
      <c r="BE149" s="1076">
        <v>1.2554602184087365</v>
      </c>
      <c r="BF149" s="1076">
        <v>1.6512630930375849</v>
      </c>
      <c r="BG149" s="1225">
        <v>1.4967085577498505</v>
      </c>
      <c r="BH149" s="1225">
        <v>1.5913642052565706</v>
      </c>
      <c r="BI149" s="1225">
        <v>1.3946980854197348</v>
      </c>
      <c r="BJ149" s="1225">
        <v>1.0368821292775665</v>
      </c>
      <c r="BK149" s="1225">
        <v>1.2716727716727716</v>
      </c>
      <c r="BL149" s="1225">
        <v>1.4095362508164597</v>
      </c>
      <c r="BM149" s="1225">
        <v>1.3767867352773013</v>
      </c>
      <c r="BN149" s="1225">
        <v>1.3569525839104952</v>
      </c>
      <c r="BO149" s="1225">
        <v>1.4022535211267606</v>
      </c>
      <c r="BP149" s="1225">
        <v>1.2833759590792837</v>
      </c>
      <c r="BQ149" s="1225">
        <v>1.4405986903648269</v>
      </c>
      <c r="BR149" s="1225">
        <v>1.7351804123711341</v>
      </c>
      <c r="BS149" s="1226">
        <v>1.7409144196951936</v>
      </c>
      <c r="BT149" s="1227">
        <v>1.529933481152993</v>
      </c>
      <c r="BU149" s="1227">
        <v>1.665</v>
      </c>
      <c r="BV149" s="1227">
        <v>1.3108252947481243</v>
      </c>
      <c r="BW149" s="1227">
        <v>1.6479674796747965</v>
      </c>
      <c r="BX149" s="1227">
        <v>1.5123500352858152</v>
      </c>
      <c r="BY149" s="1227">
        <v>1.3360800470865217</v>
      </c>
      <c r="BZ149" s="1227">
        <v>1.4673157162726009</v>
      </c>
      <c r="CA149" s="1227">
        <v>1.1972942502818489</v>
      </c>
      <c r="CB149" s="1227">
        <v>1.4164507772020731</v>
      </c>
      <c r="CC149" s="1227">
        <v>1.3811821471652594</v>
      </c>
      <c r="CD149" s="1227">
        <v>1.2143658810325477</v>
      </c>
      <c r="CE149" s="1228">
        <v>1.2189743589743587</v>
      </c>
      <c r="CF149" s="1229">
        <v>1.3933649289099528</v>
      </c>
      <c r="CG149" s="1229">
        <v>1.3663845223700122</v>
      </c>
      <c r="CH149" s="1229">
        <v>1.5576923076923077</v>
      </c>
      <c r="CI149" s="1229">
        <v>1.6190851735015772</v>
      </c>
      <c r="CJ149" s="1229">
        <v>1.6682808716707025</v>
      </c>
      <c r="CK149" s="1229">
        <v>1.7121918720852767</v>
      </c>
      <c r="CL149" s="1229">
        <v>1.6522016592214419</v>
      </c>
      <c r="CM149" s="1229">
        <v>1.937800963081862</v>
      </c>
      <c r="CN149" s="1229">
        <v>1.6307498424700695</v>
      </c>
      <c r="CO149" s="1229">
        <v>1.540388227927364</v>
      </c>
      <c r="CP149" s="1229">
        <v>1.8550607287449392</v>
      </c>
      <c r="CQ149" s="1230">
        <v>1.6378103119032466</v>
      </c>
      <c r="CR149" s="1231">
        <v>1.4660574412532639</v>
      </c>
      <c r="CS149" s="1231">
        <v>1.6065869311551926</v>
      </c>
      <c r="CT149" s="1231">
        <v>1.5145939086294415</v>
      </c>
      <c r="CU149" s="1231">
        <v>1.572528123149793</v>
      </c>
      <c r="CV149" s="1231">
        <v>1.569</v>
      </c>
      <c r="CW149" s="1231">
        <v>1.7490000000000001</v>
      </c>
      <c r="CX149" s="1231">
        <v>1.5116296670030274</v>
      </c>
      <c r="CY149" s="1231">
        <v>1.7147336923997607</v>
      </c>
      <c r="CZ149" s="1231">
        <v>1.8101919258769026</v>
      </c>
      <c r="DA149" s="1231">
        <v>1.6107259425998877</v>
      </c>
      <c r="DB149" s="1232">
        <v>1.5774102564102563</v>
      </c>
      <c r="DC149" s="1233">
        <v>1.9639004149377595</v>
      </c>
      <c r="DD149" s="1233">
        <v>1.4397068965517241</v>
      </c>
      <c r="DE149" s="1233">
        <v>2.2365910753474765</v>
      </c>
      <c r="DF149" s="1233">
        <v>1.9956177156177153</v>
      </c>
      <c r="DG149" s="1233">
        <v>2.0491674290942359</v>
      </c>
      <c r="DH149" s="1233">
        <v>1.4907483870967737</v>
      </c>
      <c r="DI149" s="1233">
        <v>1.6727013698630135</v>
      </c>
      <c r="DJ149" s="1233">
        <v>2.4187513227513224</v>
      </c>
      <c r="DK149" s="1233">
        <v>2.2477157360406088</v>
      </c>
      <c r="DL149" s="1233">
        <v>2.2223690773067335</v>
      </c>
      <c r="DM149" s="1233">
        <v>2.3904290429042905</v>
      </c>
      <c r="DN149" s="1234">
        <v>2.1201486199575372</v>
      </c>
      <c r="DO149" s="1233">
        <v>1.8135318734793187</v>
      </c>
      <c r="DP149" s="1233">
        <v>1.7948165938864629</v>
      </c>
      <c r="DQ149" s="1233">
        <v>1.9529438660027161</v>
      </c>
      <c r="DR149" s="1233">
        <v>1.6941562919838782</v>
      </c>
      <c r="DS149" s="1233">
        <v>1.9274544989775051</v>
      </c>
      <c r="DT149" s="1233">
        <v>1.5932325581395348</v>
      </c>
      <c r="DU149" s="1233">
        <v>1.6253811503811502</v>
      </c>
      <c r="DV149" s="1233">
        <v>1.6837530072173215</v>
      </c>
      <c r="DW149" s="1233">
        <v>1.5996595570139458</v>
      </c>
      <c r="DX149" s="1233">
        <v>1.6496918429003022</v>
      </c>
      <c r="DY149" s="1233">
        <v>1.3352906462083207</v>
      </c>
      <c r="DZ149" s="1233">
        <v>1.8860786559755633</v>
      </c>
      <c r="EA149" s="1077"/>
      <c r="EB149" s="1235">
        <v>1.4107454355157576</v>
      </c>
      <c r="EC149" s="1236">
        <v>1.5732535098444285</v>
      </c>
      <c r="ED149" s="1236">
        <v>1.4027189467658845</v>
      </c>
      <c r="EE149" s="1236">
        <v>1.326992079073861</v>
      </c>
      <c r="EF149" s="1236">
        <v>1.3839830906528892</v>
      </c>
      <c r="EG149" s="1236">
        <v>1.3800298062593146</v>
      </c>
      <c r="EH149" s="1236">
        <v>1.4356350779450375</v>
      </c>
      <c r="EI149" s="1236">
        <v>1.5989293475380295</v>
      </c>
      <c r="EJ149" s="1236">
        <f t="shared" si="20"/>
        <v>1.6116890166983977</v>
      </c>
      <c r="EK149" s="1237">
        <v>1.9798841489169137</v>
      </c>
      <c r="EL149" s="1236">
        <f t="shared" si="21"/>
        <v>1.7129992118471682</v>
      </c>
      <c r="EM149" s="1329">
        <v>1.6867976507967162</v>
      </c>
    </row>
    <row r="150" spans="1:143">
      <c r="A150" s="998"/>
      <c r="B150" s="1114" t="s">
        <v>711</v>
      </c>
      <c r="C150" s="1115" t="s">
        <v>712</v>
      </c>
      <c r="D150" s="1221">
        <v>2.0901798530777675</v>
      </c>
      <c r="E150" s="1221">
        <v>1.9046746104491292</v>
      </c>
      <c r="F150" s="1221">
        <v>1.8104285540852252</v>
      </c>
      <c r="G150" s="1221">
        <v>1.785054347826087</v>
      </c>
      <c r="H150" s="1221">
        <v>1.4484297610624286</v>
      </c>
      <c r="I150" s="1221">
        <v>1.3934559084232385</v>
      </c>
      <c r="J150" s="1221">
        <v>1.7857194741047433</v>
      </c>
      <c r="K150" s="1222">
        <v>1.826540284360189</v>
      </c>
      <c r="L150" s="1076">
        <v>1.9488390092879253</v>
      </c>
      <c r="M150" s="1076">
        <v>1.8231350734559972</v>
      </c>
      <c r="N150" s="1076">
        <v>1.9096935769004131</v>
      </c>
      <c r="O150" s="1076">
        <v>1.6209382151029752</v>
      </c>
      <c r="P150" s="1076">
        <v>1.6597598984185629</v>
      </c>
      <c r="Q150" s="1076">
        <v>1.6251295092775733</v>
      </c>
      <c r="R150" s="1076">
        <v>1.6892576711031912</v>
      </c>
      <c r="S150" s="1076">
        <v>1.5805840839979342</v>
      </c>
      <c r="T150" s="1076">
        <v>1.6149038716169692</v>
      </c>
      <c r="U150" s="1076">
        <v>1.6106217483129863</v>
      </c>
      <c r="V150" s="1223">
        <v>1.6660990597467973</v>
      </c>
      <c r="W150" s="1222">
        <v>1.554782388663968</v>
      </c>
      <c r="X150" s="1076">
        <v>1.6137248840803706</v>
      </c>
      <c r="Y150" s="1076">
        <v>1.4900868523510036</v>
      </c>
      <c r="Z150" s="1076">
        <v>1.6646970931812008</v>
      </c>
      <c r="AA150" s="1076">
        <v>1.7467037963173451</v>
      </c>
      <c r="AB150" s="1076">
        <v>1.8167985765997912</v>
      </c>
      <c r="AC150" s="1076">
        <v>1.6730001024275318</v>
      </c>
      <c r="AD150" s="1076">
        <v>1.5698743283449534</v>
      </c>
      <c r="AE150" s="1076">
        <v>1.6986474820143878</v>
      </c>
      <c r="AF150" s="1076">
        <v>1.6689286330438786</v>
      </c>
      <c r="AG150" s="1076">
        <v>1.5933992722800177</v>
      </c>
      <c r="AH150" s="1223">
        <v>1.6845637583892619</v>
      </c>
      <c r="AI150" s="1224">
        <v>1.6433237030523811</v>
      </c>
      <c r="AJ150" s="1224">
        <v>1.7922060318536079</v>
      </c>
      <c r="AK150" s="1224">
        <v>1.7256016575466187</v>
      </c>
      <c r="AL150" s="1224">
        <v>1.5970458668048713</v>
      </c>
      <c r="AM150" s="1224">
        <v>1.5905140758873924</v>
      </c>
      <c r="AN150" s="1224">
        <v>1.6779506502977999</v>
      </c>
      <c r="AO150" s="1224">
        <v>1.6820738316801309</v>
      </c>
      <c r="AP150" s="1224">
        <v>1.6910384988676803</v>
      </c>
      <c r="AQ150" s="1224">
        <v>1.4706986143187066</v>
      </c>
      <c r="AR150" s="1224">
        <v>1.4362870863758954</v>
      </c>
      <c r="AS150" s="1224">
        <v>1.4447696995041517</v>
      </c>
      <c r="AT150" s="1224">
        <v>1.3796851327317039</v>
      </c>
      <c r="AU150" s="1222">
        <v>1.3927878504047633</v>
      </c>
      <c r="AV150" s="1076">
        <v>1.5416637514867415</v>
      </c>
      <c r="AW150" s="1076">
        <v>1.4007962445778122</v>
      </c>
      <c r="AX150" s="1076">
        <v>1.4373633764923497</v>
      </c>
      <c r="AY150" s="1076">
        <v>1.4352911740789387</v>
      </c>
      <c r="AZ150" s="1076">
        <v>1.7281215161649945</v>
      </c>
      <c r="BA150" s="1076">
        <v>1.5262843488649946</v>
      </c>
      <c r="BB150" s="1076">
        <v>1.6322029225255035</v>
      </c>
      <c r="BC150" s="1076">
        <v>1.6506060837081651</v>
      </c>
      <c r="BD150" s="1076">
        <v>1.6481986899563323</v>
      </c>
      <c r="BE150" s="1076">
        <v>1.6087853577371052</v>
      </c>
      <c r="BF150" s="1076">
        <v>1.5900324877306979</v>
      </c>
      <c r="BG150" s="1225">
        <v>1.6489983630836393</v>
      </c>
      <c r="BH150" s="1225">
        <v>1.6141479099678462</v>
      </c>
      <c r="BI150" s="1225">
        <v>1.6641733116928934</v>
      </c>
      <c r="BJ150" s="1225">
        <v>1.4401567091087168</v>
      </c>
      <c r="BK150" s="1225">
        <v>1.5340887865014621</v>
      </c>
      <c r="BL150" s="1225">
        <v>1.6230036855036856</v>
      </c>
      <c r="BM150" s="1225">
        <v>1.6058708678381473</v>
      </c>
      <c r="BN150" s="1225">
        <v>1.6671933352484916</v>
      </c>
      <c r="BO150" s="1225">
        <v>1.6893226902710825</v>
      </c>
      <c r="BP150" s="1225">
        <v>1.5087872070930974</v>
      </c>
      <c r="BQ150" s="1225">
        <v>1.2592230778071487</v>
      </c>
      <c r="BR150" s="1225">
        <v>1.329949954183407</v>
      </c>
      <c r="BS150" s="1226">
        <v>1.4670300053901895</v>
      </c>
      <c r="BT150" s="1227">
        <v>1.4364496452134947</v>
      </c>
      <c r="BU150" s="1227">
        <v>1.4922521075873147</v>
      </c>
      <c r="BV150" s="1227">
        <v>1.361799638523109</v>
      </c>
      <c r="BW150" s="1227">
        <v>1.7390772575932596</v>
      </c>
      <c r="BX150" s="1227">
        <v>1.6324277519212036</v>
      </c>
      <c r="BY150" s="1227">
        <v>1.545048785551173</v>
      </c>
      <c r="BZ150" s="1227">
        <v>1.7163315736268674</v>
      </c>
      <c r="CA150" s="1227">
        <v>1.4832934056235025</v>
      </c>
      <c r="CB150" s="1227">
        <v>1.5077383642114774</v>
      </c>
      <c r="CC150" s="1227">
        <v>1.5196243417838338</v>
      </c>
      <c r="CD150" s="1227">
        <v>1.3710331405092717</v>
      </c>
      <c r="CE150" s="1228">
        <v>1.4675370679621478</v>
      </c>
      <c r="CF150" s="1229">
        <v>1.5098214755911312</v>
      </c>
      <c r="CG150" s="1229">
        <v>1.6426825542315922</v>
      </c>
      <c r="CH150" s="1229">
        <v>1.386222500361046</v>
      </c>
      <c r="CI150" s="1229">
        <v>1.5657400859489747</v>
      </c>
      <c r="CJ150" s="1229">
        <v>1.4811373162971571</v>
      </c>
      <c r="CK150" s="1229">
        <v>1.4937487790584105</v>
      </c>
      <c r="CL150" s="1229">
        <v>1.3902487861040198</v>
      </c>
      <c r="CM150" s="1229">
        <v>1.4315446218769481</v>
      </c>
      <c r="CN150" s="1229">
        <v>1.6062122159683134</v>
      </c>
      <c r="CO150" s="1229">
        <v>1.6167738136133873</v>
      </c>
      <c r="CP150" s="1229">
        <v>1.689372006106227</v>
      </c>
      <c r="CQ150" s="1230">
        <v>1.6518221050107884</v>
      </c>
      <c r="CR150" s="1231">
        <v>1.5461390299422166</v>
      </c>
      <c r="CS150" s="1231">
        <v>1.5123903046042311</v>
      </c>
      <c r="CT150" s="1231">
        <v>1.449773755656109</v>
      </c>
      <c r="CU150" s="1231">
        <v>1.6857484492937753</v>
      </c>
      <c r="CV150" s="1231">
        <v>1.6020000000000001</v>
      </c>
      <c r="CW150" s="1231">
        <v>1.6779999999999999</v>
      </c>
      <c r="CX150" s="1231">
        <v>1.6004121574948191</v>
      </c>
      <c r="CY150" s="1231">
        <v>1.6958076834066191</v>
      </c>
      <c r="CZ150" s="1231">
        <v>1.6870305926349141</v>
      </c>
      <c r="DA150" s="1231">
        <v>1.7909150805270864</v>
      </c>
      <c r="DB150" s="1232">
        <v>1.6674036443953619</v>
      </c>
      <c r="DC150" s="1233">
        <v>1.4781779706418088</v>
      </c>
      <c r="DD150" s="1233">
        <v>1.6493098016336052</v>
      </c>
      <c r="DE150" s="1233">
        <v>1.6190976085895561</v>
      </c>
      <c r="DF150" s="1233">
        <v>1.6762520877407863</v>
      </c>
      <c r="DG150" s="1233">
        <v>1.7011907446180277</v>
      </c>
      <c r="DH150" s="1233">
        <v>1.6669011742699782</v>
      </c>
      <c r="DI150" s="1233">
        <v>1.7367826489181273</v>
      </c>
      <c r="DJ150" s="1233">
        <v>1.671504134317995</v>
      </c>
      <c r="DK150" s="1233">
        <v>1.695650134909418</v>
      </c>
      <c r="DL150" s="1233">
        <v>1.6102035790510592</v>
      </c>
      <c r="DM150" s="1233">
        <v>1.5760163215958893</v>
      </c>
      <c r="DN150" s="1234">
        <v>1.6288239344488054</v>
      </c>
      <c r="DO150" s="1233">
        <v>1.6078140766116471</v>
      </c>
      <c r="DP150" s="1233">
        <v>1.6542257932613673</v>
      </c>
      <c r="DQ150" s="1233">
        <v>1.5442460054444316</v>
      </c>
      <c r="DR150" s="1233">
        <v>1.5419175257731961</v>
      </c>
      <c r="DS150" s="1233">
        <v>1.610813240284269</v>
      </c>
      <c r="DT150" s="1233">
        <v>1.5748224613315398</v>
      </c>
      <c r="DU150" s="1233">
        <v>1.5476993190151915</v>
      </c>
      <c r="DV150" s="1233">
        <v>1.4785928683613521</v>
      </c>
      <c r="DW150" s="1233">
        <v>1.5555177020708082</v>
      </c>
      <c r="DX150" s="1233">
        <v>1.6527671006406288</v>
      </c>
      <c r="DY150" s="1233">
        <v>1.6171086919736026</v>
      </c>
      <c r="DZ150" s="1233">
        <v>1.6659657701711494</v>
      </c>
      <c r="EA150" s="1077"/>
      <c r="EB150" s="1235">
        <v>1.7120169882207743</v>
      </c>
      <c r="EC150" s="1236">
        <v>1.69956930206785</v>
      </c>
      <c r="ED150" s="1236">
        <v>1.6458444835232053</v>
      </c>
      <c r="EE150" s="1236">
        <v>1.6002154351128721</v>
      </c>
      <c r="EF150" s="1236">
        <v>1.5467183214093818</v>
      </c>
      <c r="EG150" s="1236">
        <v>1.5382501859717321</v>
      </c>
      <c r="EH150" s="1236">
        <v>1.5234509562549949</v>
      </c>
      <c r="EI150" s="1236">
        <v>1.5214385383600382</v>
      </c>
      <c r="EJ150" s="1236">
        <f t="shared" si="20"/>
        <v>1.6306202335804931</v>
      </c>
      <c r="EK150" s="1237">
        <v>1.641349260818757</v>
      </c>
      <c r="EL150" s="1236">
        <f t="shared" si="21"/>
        <v>1.5876242129115985</v>
      </c>
      <c r="EM150" s="1329">
        <v>1.5778590710109286</v>
      </c>
    </row>
    <row r="151" spans="1:143">
      <c r="A151" s="998"/>
      <c r="B151" s="1114" t="s">
        <v>713</v>
      </c>
      <c r="C151" s="1115" t="s">
        <v>714</v>
      </c>
      <c r="D151" s="1221">
        <v>3.2923728813559321</v>
      </c>
      <c r="E151" s="1221">
        <v>1.7452316076294279</v>
      </c>
      <c r="F151" s="1221">
        <v>3.3866666666666667</v>
      </c>
      <c r="G151" s="1221">
        <v>2.4931880108991824</v>
      </c>
      <c r="H151" s="1221">
        <v>2.2605459057071959</v>
      </c>
      <c r="I151" s="1221">
        <v>1.6550387596899225</v>
      </c>
      <c r="J151" s="1221">
        <v>1.5202086049543677</v>
      </c>
      <c r="K151" s="1222">
        <v>1.7012987012987013</v>
      </c>
      <c r="L151" s="1076">
        <v>3.1870503597122304</v>
      </c>
      <c r="M151" s="1076">
        <v>2.7638190954773871</v>
      </c>
      <c r="N151" s="1076">
        <v>2.1556016597510372</v>
      </c>
      <c r="O151" s="1076">
        <v>1.6103896103896105</v>
      </c>
      <c r="P151" s="1076">
        <v>2.0097276264591444</v>
      </c>
      <c r="Q151" s="1076">
        <v>1.911190053285968</v>
      </c>
      <c r="R151" s="1076">
        <v>2.0669056152927117</v>
      </c>
      <c r="S151" s="1076">
        <v>2.875428571428571</v>
      </c>
      <c r="T151" s="1076">
        <v>4.8207547169811322</v>
      </c>
      <c r="U151" s="1076">
        <v>2.1030927835051547</v>
      </c>
      <c r="V151" s="1223">
        <v>1.8677685950413228</v>
      </c>
      <c r="W151" s="1222">
        <v>1.5063520871143379</v>
      </c>
      <c r="X151" s="1076">
        <v>2.0543806646525677</v>
      </c>
      <c r="Y151" s="1076">
        <v>2.2185238784370478</v>
      </c>
      <c r="Z151" s="1076">
        <v>2.0037523452157604</v>
      </c>
      <c r="AA151" s="1076">
        <v>2.197704081632653</v>
      </c>
      <c r="AB151" s="1076">
        <v>2.7032967032967035</v>
      </c>
      <c r="AC151" s="1076">
        <v>2.7638603696098558</v>
      </c>
      <c r="AD151" s="1076">
        <v>2.7157894736842105</v>
      </c>
      <c r="AE151" s="1076">
        <v>1.5966183574879227</v>
      </c>
      <c r="AF151" s="1076">
        <v>2.2505494505494514</v>
      </c>
      <c r="AG151" s="1076">
        <v>1.9396984924623115</v>
      </c>
      <c r="AH151" s="1223">
        <v>1.7494908350305496</v>
      </c>
      <c r="AI151" s="1224">
        <v>1.4548440065681443</v>
      </c>
      <c r="AJ151" s="1224">
        <v>1.6744966442953015</v>
      </c>
      <c r="AK151" s="1224">
        <v>2.6754716981132076</v>
      </c>
      <c r="AL151" s="1224">
        <v>1.5988700564971747</v>
      </c>
      <c r="AM151" s="1224">
        <v>2.8524590163934422</v>
      </c>
      <c r="AN151" s="1224">
        <v>1.422096317280453</v>
      </c>
      <c r="AO151" s="1224">
        <v>1.6690140845070418</v>
      </c>
      <c r="AP151" s="1224">
        <v>5.7211538461538458</v>
      </c>
      <c r="AQ151" s="1224">
        <v>4.2323232323232309</v>
      </c>
      <c r="AR151" s="1224">
        <v>2.3152173913043477</v>
      </c>
      <c r="AS151" s="1224">
        <v>1.8814102564102557</v>
      </c>
      <c r="AT151" s="1224">
        <v>3.3877551020408165</v>
      </c>
      <c r="AU151" s="1222">
        <v>2.1044776119402986</v>
      </c>
      <c r="AV151" s="1076">
        <v>1.9390243902439024</v>
      </c>
      <c r="AW151" s="1076">
        <v>2.2716535433070866</v>
      </c>
      <c r="AX151" s="1076">
        <v>2.1092896174863389</v>
      </c>
      <c r="AY151" s="1076">
        <v>1.6178861788617886</v>
      </c>
      <c r="AZ151" s="1076">
        <v>3.1119402985074629</v>
      </c>
      <c r="BA151" s="1076">
        <v>2.5972850678733028</v>
      </c>
      <c r="BB151" s="1076">
        <v>2.8797814207650272</v>
      </c>
      <c r="BC151" s="1076">
        <v>1.5694444444444444</v>
      </c>
      <c r="BD151" s="1076">
        <v>1.4024390243902438</v>
      </c>
      <c r="BE151" s="1076">
        <v>2.6689189189189189</v>
      </c>
      <c r="BF151" s="1076">
        <v>1.2733812949640284</v>
      </c>
      <c r="BG151" s="1225">
        <v>1.2594235033259427</v>
      </c>
      <c r="BH151" s="1225">
        <v>1.5454545454545454</v>
      </c>
      <c r="BI151" s="1225">
        <v>1.8783783783783783</v>
      </c>
      <c r="BJ151" s="1225">
        <v>1.9452736318407959</v>
      </c>
      <c r="BK151" s="1225">
        <v>2.797752808988764</v>
      </c>
      <c r="BL151" s="1225">
        <v>1.5</v>
      </c>
      <c r="BM151" s="1225">
        <v>3.7833333333333332</v>
      </c>
      <c r="BN151" s="1225">
        <v>3.9006211180124222</v>
      </c>
      <c r="BO151" s="1225">
        <v>1.6741573033707866</v>
      </c>
      <c r="BP151" s="1225">
        <v>2.2018779342723005</v>
      </c>
      <c r="BQ151" s="1225">
        <v>1.6878980891719746</v>
      </c>
      <c r="BR151" s="1225">
        <v>1.8164556962025316</v>
      </c>
      <c r="BS151" s="1226">
        <v>2.5633187772925758</v>
      </c>
      <c r="BT151" s="1227">
        <v>2.5189189189189189</v>
      </c>
      <c r="BU151" s="1227">
        <v>1.9321428571428567</v>
      </c>
      <c r="BV151" s="1227">
        <v>1.963235294117647</v>
      </c>
      <c r="BW151" s="1227">
        <v>1.826568265682657</v>
      </c>
      <c r="BX151" s="1227">
        <v>2.4</v>
      </c>
      <c r="BY151" s="1227">
        <v>1.2160148975791434</v>
      </c>
      <c r="BZ151" s="1227">
        <v>1.3970223325062032</v>
      </c>
      <c r="CA151" s="1227">
        <v>1.3720930232558139</v>
      </c>
      <c r="CB151" s="1227">
        <v>1.4489795918367347</v>
      </c>
      <c r="CC151" s="1227">
        <v>1.5871369294605808</v>
      </c>
      <c r="CD151" s="1227">
        <v>1.1433447098976108</v>
      </c>
      <c r="CE151" s="1228">
        <v>1.284431137724551</v>
      </c>
      <c r="CF151" s="1229">
        <v>1.2470238095238095</v>
      </c>
      <c r="CG151" s="1229">
        <v>1.1901639344262296</v>
      </c>
      <c r="CH151" s="1229">
        <v>1.214780600461894</v>
      </c>
      <c r="CI151" s="1229">
        <v>1.2017937219730941</v>
      </c>
      <c r="CJ151" s="1229">
        <v>1.3326180257510729</v>
      </c>
      <c r="CK151" s="1229">
        <v>1.3269598470363289</v>
      </c>
      <c r="CL151" s="1229">
        <v>3.4900398406374498</v>
      </c>
      <c r="CM151" s="1229">
        <v>3.8185328185328187</v>
      </c>
      <c r="CN151" s="1229">
        <v>1.7643020594965673</v>
      </c>
      <c r="CO151" s="1229">
        <v>1.3625914315569487</v>
      </c>
      <c r="CP151" s="1229">
        <v>1.1917241379310344</v>
      </c>
      <c r="CQ151" s="1230">
        <v>1.711354309165527</v>
      </c>
      <c r="CR151" s="1231">
        <v>1.9898989898989898</v>
      </c>
      <c r="CS151" s="1231">
        <v>2.0021837349397593</v>
      </c>
      <c r="CT151" s="1231">
        <v>1.7361344537815127</v>
      </c>
      <c r="CU151" s="1231">
        <v>1.8814935064935066</v>
      </c>
      <c r="CV151" s="1231">
        <v>1.718</v>
      </c>
      <c r="CW151" s="1231">
        <v>1.532</v>
      </c>
      <c r="CX151" s="1231">
        <v>1.5718319559228651</v>
      </c>
      <c r="CY151" s="1231">
        <v>1.828854748603352</v>
      </c>
      <c r="CZ151" s="1231">
        <v>2.3777169811320751</v>
      </c>
      <c r="DA151" s="1231">
        <v>2.0769372128637058</v>
      </c>
      <c r="DB151" s="1232">
        <v>2.5833898305084744</v>
      </c>
      <c r="DC151" s="1233">
        <v>1.6190253671562085</v>
      </c>
      <c r="DD151" s="1233">
        <v>1.2827227722772279</v>
      </c>
      <c r="DE151" s="1233">
        <v>1.2880567685589519</v>
      </c>
      <c r="DF151" s="1233">
        <v>1.6995763799743262</v>
      </c>
      <c r="DG151" s="1233">
        <v>1.2923905109489051</v>
      </c>
      <c r="DH151" s="1233">
        <v>2.4956488549618321</v>
      </c>
      <c r="DI151" s="1233">
        <v>1.9233035714285713</v>
      </c>
      <c r="DJ151" s="1233">
        <v>1.5698529411764706</v>
      </c>
      <c r="DK151" s="1233">
        <v>1.7918867924528301</v>
      </c>
      <c r="DL151" s="1233">
        <v>3.0984507042253524</v>
      </c>
      <c r="DM151" s="1233">
        <v>2.1659885386819484</v>
      </c>
      <c r="DN151" s="1234">
        <v>1.6491641791044773</v>
      </c>
      <c r="DO151" s="1233">
        <v>1.4872615384615382</v>
      </c>
      <c r="DP151" s="1233">
        <v>2.2214620253164554</v>
      </c>
      <c r="DQ151" s="1233">
        <v>2.2209350649350648</v>
      </c>
      <c r="DR151" s="1233">
        <v>2.1998333333333333</v>
      </c>
      <c r="DS151" s="1233">
        <v>1.919516129032258</v>
      </c>
      <c r="DT151" s="1233">
        <v>2.14315873015873</v>
      </c>
      <c r="DU151" s="1233">
        <v>1.8337735849056602</v>
      </c>
      <c r="DV151" s="1233">
        <v>2.6747826086956521</v>
      </c>
      <c r="DW151" s="1233">
        <v>1.8903125000000001</v>
      </c>
      <c r="DX151" s="1233">
        <v>1.5524242424242425</v>
      </c>
      <c r="DY151" s="1233">
        <v>2.3505882352941176</v>
      </c>
      <c r="DZ151" s="1233">
        <v>1.4477477477477476</v>
      </c>
      <c r="EA151" s="1077"/>
      <c r="EB151" s="1235">
        <v>2.11124190700412</v>
      </c>
      <c r="EC151" s="1236">
        <v>2.3319225134299182</v>
      </c>
      <c r="ED151" s="1236">
        <v>2.105035971223022</v>
      </c>
      <c r="EE151" s="1236">
        <v>2.1015314804310834</v>
      </c>
      <c r="EF151" s="1236">
        <v>1.9559948979591828</v>
      </c>
      <c r="EG151" s="1236">
        <v>1.9504950495049505</v>
      </c>
      <c r="EH151" s="1236">
        <v>1.6592486240727442</v>
      </c>
      <c r="EI151" s="1236">
        <v>1.5154924701402108</v>
      </c>
      <c r="EJ151" s="1236">
        <f t="shared" si="20"/>
        <v>1.9174829769424804</v>
      </c>
      <c r="EK151" s="1237">
        <v>1.6889383412939643</v>
      </c>
      <c r="EL151" s="1236">
        <f t="shared" si="21"/>
        <v>1.9951496450253998</v>
      </c>
      <c r="EM151" s="1329">
        <v>1.890123176426739</v>
      </c>
    </row>
    <row r="152" spans="1:143">
      <c r="A152" s="998"/>
      <c r="B152" s="1114" t="s">
        <v>715</v>
      </c>
      <c r="C152" s="1115" t="s">
        <v>716</v>
      </c>
      <c r="D152" s="1221">
        <v>2.5123947614593076</v>
      </c>
      <c r="E152" s="1221">
        <v>2.4557714285714285</v>
      </c>
      <c r="F152" s="1221">
        <v>2.4854368932038833</v>
      </c>
      <c r="G152" s="1221">
        <v>2.5117294053464265</v>
      </c>
      <c r="H152" s="1221">
        <v>1.5413703943115709</v>
      </c>
      <c r="I152" s="1221">
        <v>1.7450529222273354</v>
      </c>
      <c r="J152" s="1221">
        <v>1.1525218967079434</v>
      </c>
      <c r="K152" s="1222">
        <v>1.0477905859750241</v>
      </c>
      <c r="L152" s="1076">
        <v>1.0675909878682843</v>
      </c>
      <c r="M152" s="1076">
        <v>1.5267385330796872</v>
      </c>
      <c r="N152" s="1076">
        <v>1.3502837189000436</v>
      </c>
      <c r="O152" s="1076">
        <v>1.2364716234051913</v>
      </c>
      <c r="P152" s="1076">
        <v>1.013382637788343</v>
      </c>
      <c r="Q152" s="1076">
        <v>1.0144862937374637</v>
      </c>
      <c r="R152" s="1076">
        <v>2.2338078291814947</v>
      </c>
      <c r="S152" s="1076">
        <v>1.3054048187540699</v>
      </c>
      <c r="T152" s="1076">
        <v>1.8374999999999999</v>
      </c>
      <c r="U152" s="1076">
        <v>1.6247885962792945</v>
      </c>
      <c r="V152" s="1223">
        <v>1.7088395475492251</v>
      </c>
      <c r="W152" s="1222">
        <v>2.3287128712871286</v>
      </c>
      <c r="X152" s="1076">
        <v>2.0594841930116474</v>
      </c>
      <c r="Y152" s="1076">
        <v>1.0056127221702527</v>
      </c>
      <c r="Z152" s="1076">
        <v>1.0013738959764475</v>
      </c>
      <c r="AA152" s="1076">
        <v>1.798440545808967</v>
      </c>
      <c r="AB152" s="1076">
        <v>1.2994461318563517</v>
      </c>
      <c r="AC152" s="1076">
        <v>1.3158175039943192</v>
      </c>
      <c r="AD152" s="1076">
        <v>1.3027375201288245</v>
      </c>
      <c r="AE152" s="1076">
        <v>1.0016535758577925</v>
      </c>
      <c r="AF152" s="1076">
        <v>1.8021844660194175</v>
      </c>
      <c r="AG152" s="1076">
        <v>1.8064899089829838</v>
      </c>
      <c r="AH152" s="1223">
        <v>4.0631229235880397</v>
      </c>
      <c r="AI152" s="1224">
        <v>2.4509722796855606</v>
      </c>
      <c r="AJ152" s="1224">
        <v>2.3137485311398356</v>
      </c>
      <c r="AK152" s="1224">
        <v>1.6875800256081945</v>
      </c>
      <c r="AL152" s="1224">
        <v>1.3258235919234858</v>
      </c>
      <c r="AM152" s="1224">
        <v>1.683409975238769</v>
      </c>
      <c r="AN152" s="1224">
        <v>1.6902255639097745</v>
      </c>
      <c r="AO152" s="1224">
        <v>1.6295888399412628</v>
      </c>
      <c r="AP152" s="1224">
        <v>1.2326706072004299</v>
      </c>
      <c r="AQ152" s="1224">
        <v>1.181136429189501</v>
      </c>
      <c r="AR152" s="1224">
        <v>1.0128440366972478</v>
      </c>
      <c r="AS152" s="1224">
        <v>1.0092440427280198</v>
      </c>
      <c r="AT152" s="1224">
        <v>2.2871212121212121</v>
      </c>
      <c r="AU152" s="1222">
        <v>2.4346604215456673</v>
      </c>
      <c r="AV152" s="1076">
        <v>2.4663695299837927</v>
      </c>
      <c r="AW152" s="1076">
        <v>2.4045151739452257</v>
      </c>
      <c r="AX152" s="1076">
        <v>1.9054726368159205</v>
      </c>
      <c r="AY152" s="1076">
        <v>1.651327002678354</v>
      </c>
      <c r="AZ152" s="1076">
        <v>1.5471367841960488</v>
      </c>
      <c r="BA152" s="1076">
        <v>1.0487516869095814</v>
      </c>
      <c r="BB152" s="1076">
        <v>1.0606855543896467</v>
      </c>
      <c r="BC152" s="1076">
        <v>1.022501308215594</v>
      </c>
      <c r="BD152" s="1076">
        <v>1.1798636601992658</v>
      </c>
      <c r="BE152" s="1076">
        <v>1.1351351351351351</v>
      </c>
      <c r="BF152" s="1076">
        <v>1.2564102564102564</v>
      </c>
      <c r="BG152" s="1225">
        <v>1.7309000927930718</v>
      </c>
      <c r="BH152" s="1225">
        <v>1.7182263469966486</v>
      </c>
      <c r="BI152" s="1225">
        <v>1.597892176732874</v>
      </c>
      <c r="BJ152" s="1225">
        <v>1.8530066815144763</v>
      </c>
      <c r="BK152" s="1225">
        <v>1.6265311441230128</v>
      </c>
      <c r="BL152" s="1225">
        <v>1.6873814041745729</v>
      </c>
      <c r="BM152" s="1225">
        <v>1.6717494333402019</v>
      </c>
      <c r="BN152" s="1225">
        <v>1.6881467544684856</v>
      </c>
      <c r="BO152" s="1225">
        <v>1.5740020470829068</v>
      </c>
      <c r="BP152" s="1225">
        <v>1.5688143347312238</v>
      </c>
      <c r="BQ152" s="1225">
        <v>1.8774452038651896</v>
      </c>
      <c r="BR152" s="1225">
        <v>1.6785334750265677</v>
      </c>
      <c r="BS152" s="1226">
        <v>2.2151105245793463</v>
      </c>
      <c r="BT152" s="1227">
        <v>1.644334338647135</v>
      </c>
      <c r="BU152" s="1227">
        <v>1.5115134815981106</v>
      </c>
      <c r="BV152" s="1227">
        <v>1.6877176689110749</v>
      </c>
      <c r="BW152" s="1227">
        <v>2.1758270382912221</v>
      </c>
      <c r="BX152" s="1227">
        <v>2.0045735193231193</v>
      </c>
      <c r="BY152" s="1227">
        <v>1.6660530191458023</v>
      </c>
      <c r="BZ152" s="1227">
        <v>1.6522702104097453</v>
      </c>
      <c r="CA152" s="1227">
        <v>1.6533621706645694</v>
      </c>
      <c r="CB152" s="1227">
        <v>1.2715853076800765</v>
      </c>
      <c r="CC152" s="1227">
        <v>1.5889558989822843</v>
      </c>
      <c r="CD152" s="1227">
        <v>1.5809841107124549</v>
      </c>
      <c r="CE152" s="1228">
        <v>1.4512195121951219</v>
      </c>
      <c r="CF152" s="1229">
        <v>2.010393466963623</v>
      </c>
      <c r="CG152" s="1229">
        <v>1.5508741258741259</v>
      </c>
      <c r="CH152" s="1229">
        <v>2.3188049209138839</v>
      </c>
      <c r="CI152" s="1229">
        <v>2.3179901616303584</v>
      </c>
      <c r="CJ152" s="1229">
        <v>1.7380575050939551</v>
      </c>
      <c r="CK152" s="1229">
        <v>2.3507645259938839</v>
      </c>
      <c r="CL152" s="1229">
        <v>2.5095684803001874</v>
      </c>
      <c r="CM152" s="1229">
        <v>2.328501014786895</v>
      </c>
      <c r="CN152" s="1229">
        <v>2.3125386040765901</v>
      </c>
      <c r="CO152" s="1229">
        <v>1.7442215438290449</v>
      </c>
      <c r="CP152" s="1229">
        <v>1.7107199159222282</v>
      </c>
      <c r="CQ152" s="1230">
        <v>2.1069326357096143</v>
      </c>
      <c r="CR152" s="1231">
        <v>2.1938527084601338</v>
      </c>
      <c r="CS152" s="1231">
        <v>2.1156594182434341</v>
      </c>
      <c r="CT152" s="1231">
        <v>2.1047591410330817</v>
      </c>
      <c r="CU152" s="1231">
        <v>2.374124809741248</v>
      </c>
      <c r="CV152" s="1231">
        <v>1.538</v>
      </c>
      <c r="CW152" s="1231">
        <v>1.6240000000000001</v>
      </c>
      <c r="CX152" s="1231">
        <v>1.5862301832406835</v>
      </c>
      <c r="CY152" s="1231">
        <v>1.5522489724016442</v>
      </c>
      <c r="CZ152" s="1231">
        <v>1.5166003861003861</v>
      </c>
      <c r="DA152" s="1231">
        <v>1.9375144369586139</v>
      </c>
      <c r="DB152" s="1232">
        <v>1.6678179696616104</v>
      </c>
      <c r="DC152" s="1233">
        <v>1.2864552973611658</v>
      </c>
      <c r="DD152" s="1233">
        <v>1.2416509433962264</v>
      </c>
      <c r="DE152" s="1233">
        <v>1.6917141564902758</v>
      </c>
      <c r="DF152" s="1233">
        <v>1.7096074823673719</v>
      </c>
      <c r="DG152" s="1233">
        <v>1.6616514690982775</v>
      </c>
      <c r="DH152" s="1233">
        <v>2.0234615384615386</v>
      </c>
      <c r="DI152" s="1233">
        <v>2.0486001339584727</v>
      </c>
      <c r="DJ152" s="1233">
        <v>1.7055121042830539</v>
      </c>
      <c r="DK152" s="1233">
        <v>1.5890923566878983</v>
      </c>
      <c r="DL152" s="1233">
        <v>1.474154184142201</v>
      </c>
      <c r="DM152" s="1233">
        <v>1.815987190812721</v>
      </c>
      <c r="DN152" s="1234">
        <v>1.9562882882882886</v>
      </c>
      <c r="DO152" s="1233">
        <v>1.8012174032390886</v>
      </c>
      <c r="DP152" s="1233">
        <v>1.5007632459564972</v>
      </c>
      <c r="DQ152" s="1233">
        <v>1.9285782122905029</v>
      </c>
      <c r="DR152" s="1233">
        <v>1.4277167699380371</v>
      </c>
      <c r="DS152" s="1233">
        <v>1.528739890885751</v>
      </c>
      <c r="DT152" s="1233">
        <v>1.5052116117850953</v>
      </c>
      <c r="DU152" s="1233">
        <v>1.5784034679636287</v>
      </c>
      <c r="DV152" s="1233">
        <v>1.7794108793807786</v>
      </c>
      <c r="DW152" s="1233">
        <v>1.5429599830616134</v>
      </c>
      <c r="DX152" s="1233">
        <v>1.5954797559622851</v>
      </c>
      <c r="DY152" s="1233">
        <v>1.3457283737024222</v>
      </c>
      <c r="DZ152" s="1233">
        <v>1.4897791634190698</v>
      </c>
      <c r="EA152" s="1077"/>
      <c r="EB152" s="1235">
        <v>1.9786832800134704</v>
      </c>
      <c r="EC152" s="1236">
        <v>1.3594654514102718</v>
      </c>
      <c r="ED152" s="1236">
        <v>1.4486613453968118</v>
      </c>
      <c r="EE152" s="1236">
        <v>1.4736609349392571</v>
      </c>
      <c r="EF152" s="1236">
        <v>1.4217464202432117</v>
      </c>
      <c r="EG152" s="1236">
        <v>1.6815879373306641</v>
      </c>
      <c r="EH152" s="1236">
        <v>1.6827672556695943</v>
      </c>
      <c r="EI152" s="1236">
        <v>1.9568160065630549</v>
      </c>
      <c r="EJ152" s="1236">
        <f t="shared" si="20"/>
        <v>1.8598117217958707</v>
      </c>
      <c r="EK152" s="1237">
        <v>1.6411802767086234</v>
      </c>
      <c r="EL152" s="1236">
        <f t="shared" si="21"/>
        <v>1.5853323964653974</v>
      </c>
      <c r="EM152" s="1329">
        <v>1.5869478733744433</v>
      </c>
    </row>
    <row r="153" spans="1:143">
      <c r="A153" s="998"/>
      <c r="B153" s="1114" t="s">
        <v>717</v>
      </c>
      <c r="C153" s="1115" t="s">
        <v>718</v>
      </c>
      <c r="D153" s="1221">
        <v>1.6389690721649484</v>
      </c>
      <c r="E153" s="1221">
        <v>1.9854707190511489</v>
      </c>
      <c r="F153" s="1221">
        <v>1.8483300589390963</v>
      </c>
      <c r="G153" s="1221">
        <v>1.4209030283152946</v>
      </c>
      <c r="H153" s="1221">
        <v>1.4614206720544449</v>
      </c>
      <c r="I153" s="1221">
        <v>1.5666570271833429</v>
      </c>
      <c r="J153" s="1221">
        <v>1.6390395042602635</v>
      </c>
      <c r="K153" s="1222">
        <v>1.7356656948493687</v>
      </c>
      <c r="L153" s="1076">
        <v>1.9120263591433271</v>
      </c>
      <c r="M153" s="1076">
        <v>2.2381702009445319</v>
      </c>
      <c r="N153" s="1076">
        <v>1.814676113360324</v>
      </c>
      <c r="O153" s="1076">
        <v>1.5548966923005656</v>
      </c>
      <c r="P153" s="1076">
        <v>1.8371979258389584</v>
      </c>
      <c r="Q153" s="1076">
        <v>2.0830635370295423</v>
      </c>
      <c r="R153" s="1076">
        <v>2.4135476216157912</v>
      </c>
      <c r="S153" s="1076">
        <v>1.8014216922724153</v>
      </c>
      <c r="T153" s="1076">
        <v>2.1524656293735074</v>
      </c>
      <c r="U153" s="1076">
        <v>2.2666798458040911</v>
      </c>
      <c r="V153" s="1223">
        <v>1.8661672629695885</v>
      </c>
      <c r="W153" s="1222">
        <v>1.8786229740920384</v>
      </c>
      <c r="X153" s="1076">
        <v>1.6645785876993167</v>
      </c>
      <c r="Y153" s="1076">
        <v>1.5951597942490938</v>
      </c>
      <c r="Z153" s="1076">
        <v>2.1927724578203378</v>
      </c>
      <c r="AA153" s="1076">
        <v>1.7676277476448758</v>
      </c>
      <c r="AB153" s="1076">
        <v>1.6083619793748498</v>
      </c>
      <c r="AC153" s="1076">
        <v>1.8010255471110701</v>
      </c>
      <c r="AD153" s="1076">
        <v>1.7159991583081999</v>
      </c>
      <c r="AE153" s="1076">
        <v>1.6966047985513808</v>
      </c>
      <c r="AF153" s="1076">
        <v>1.7162933310620898</v>
      </c>
      <c r="AG153" s="1076">
        <v>1.7029797203309178</v>
      </c>
      <c r="AH153" s="1223">
        <v>2.3205320994794678</v>
      </c>
      <c r="AI153" s="1224">
        <v>1.5880500605571253</v>
      </c>
      <c r="AJ153" s="1224">
        <v>1.8330868922327561</v>
      </c>
      <c r="AK153" s="1224">
        <v>1.5909621777019132</v>
      </c>
      <c r="AL153" s="1224">
        <v>1.8594358550690429</v>
      </c>
      <c r="AM153" s="1224">
        <v>1.7866944779888028</v>
      </c>
      <c r="AN153" s="1224">
        <v>1.6766275346851651</v>
      </c>
      <c r="AO153" s="1224">
        <v>1.8378872338481218</v>
      </c>
      <c r="AP153" s="1224">
        <v>1.8569007047907928</v>
      </c>
      <c r="AQ153" s="1224">
        <v>2.1642099818981118</v>
      </c>
      <c r="AR153" s="1224">
        <v>1.6846986089644511</v>
      </c>
      <c r="AS153" s="1224">
        <v>1.6878993223620524</v>
      </c>
      <c r="AT153" s="1224">
        <v>1.4408891882788819</v>
      </c>
      <c r="AU153" s="1222">
        <v>1.7857792946530147</v>
      </c>
      <c r="AV153" s="1076">
        <v>1.5242681415085342</v>
      </c>
      <c r="AW153" s="1076">
        <v>1.4408812521265733</v>
      </c>
      <c r="AX153" s="1076">
        <v>1.4370691856012252</v>
      </c>
      <c r="AY153" s="1076">
        <v>1.5577229672699988</v>
      </c>
      <c r="AZ153" s="1076">
        <v>1.5748279252704029</v>
      </c>
      <c r="BA153" s="1076">
        <v>2.1833196673304442</v>
      </c>
      <c r="BB153" s="1076">
        <v>1.7263735275604721</v>
      </c>
      <c r="BC153" s="1076">
        <v>1.6624113475177302</v>
      </c>
      <c r="BD153" s="1076">
        <v>1.6190476190476195</v>
      </c>
      <c r="BE153" s="1076">
        <v>1.914879523060363</v>
      </c>
      <c r="BF153" s="1076">
        <v>1.3841393333922729</v>
      </c>
      <c r="BG153" s="1225">
        <v>1.3535072170169671</v>
      </c>
      <c r="BH153" s="1225">
        <v>1.4738624650272425</v>
      </c>
      <c r="BI153" s="1225">
        <v>1.4499578834520255</v>
      </c>
      <c r="BJ153" s="1225">
        <v>1.6982975430450766</v>
      </c>
      <c r="BK153" s="1225">
        <v>1.6287740628166163</v>
      </c>
      <c r="BL153" s="1225">
        <v>1.6126032077441401</v>
      </c>
      <c r="BM153" s="1225">
        <v>1.641280148423006</v>
      </c>
      <c r="BN153" s="1225">
        <v>1.7519245573518092</v>
      </c>
      <c r="BO153" s="1225">
        <v>1.7161688104602955</v>
      </c>
      <c r="BP153" s="1225">
        <v>1.7165545590433482</v>
      </c>
      <c r="BQ153" s="1225">
        <v>1.6411205924971823</v>
      </c>
      <c r="BR153" s="1225">
        <v>1.7725452117975489</v>
      </c>
      <c r="BS153" s="1226">
        <v>2.0670368901229672</v>
      </c>
      <c r="BT153" s="1227">
        <v>1.72143424486554</v>
      </c>
      <c r="BU153" s="1227">
        <v>1.6826781778104332</v>
      </c>
      <c r="BV153" s="1227">
        <v>2.0731013350842638</v>
      </c>
      <c r="BW153" s="1227">
        <v>2.2812746312352212</v>
      </c>
      <c r="BX153" s="1227">
        <v>2.0497998242359143</v>
      </c>
      <c r="BY153" s="1227">
        <v>1.8126437839330083</v>
      </c>
      <c r="BZ153" s="1227">
        <v>1.7765557435608195</v>
      </c>
      <c r="CA153" s="1227">
        <v>1.8617957048894527</v>
      </c>
      <c r="CB153" s="1227">
        <v>2.1029671494171671</v>
      </c>
      <c r="CC153" s="1227">
        <v>1.7393627815734287</v>
      </c>
      <c r="CD153" s="1227">
        <v>1.7876621386988047</v>
      </c>
      <c r="CE153" s="1228">
        <v>1.9303014818599902</v>
      </c>
      <c r="CF153" s="1229">
        <v>1.8211395405869373</v>
      </c>
      <c r="CG153" s="1229">
        <v>2.0181879993200749</v>
      </c>
      <c r="CH153" s="1229">
        <v>2.0301774614899557</v>
      </c>
      <c r="CI153" s="1229">
        <v>2.2206976013407353</v>
      </c>
      <c r="CJ153" s="1229">
        <v>1.7343259557344062</v>
      </c>
      <c r="CK153" s="1229">
        <v>1.8009832036050792</v>
      </c>
      <c r="CL153" s="1229">
        <v>1.8205739514348789</v>
      </c>
      <c r="CM153" s="1229">
        <v>2.0367451744289</v>
      </c>
      <c r="CN153" s="1229">
        <v>2.2270787092368103</v>
      </c>
      <c r="CO153" s="1229">
        <v>2.0728593089138938</v>
      </c>
      <c r="CP153" s="1229">
        <v>1.9357624262847515</v>
      </c>
      <c r="CQ153" s="1230">
        <v>2.1112266112266114</v>
      </c>
      <c r="CR153" s="1231">
        <v>2.0299453172467667</v>
      </c>
      <c r="CS153" s="1231">
        <v>1.9365117484450589</v>
      </c>
      <c r="CT153" s="1231">
        <v>1.8434519875365873</v>
      </c>
      <c r="CU153" s="1231">
        <v>2.1719639714256131</v>
      </c>
      <c r="CV153" s="1231">
        <v>1.387</v>
      </c>
      <c r="CW153" s="1231">
        <v>1.484</v>
      </c>
      <c r="CX153" s="1231">
        <v>1.5764831377697541</v>
      </c>
      <c r="CY153" s="1231">
        <v>1.5932061622842393</v>
      </c>
      <c r="CZ153" s="1231">
        <v>1.5645705933475551</v>
      </c>
      <c r="DA153" s="1231">
        <v>1.4472723899059869</v>
      </c>
      <c r="DB153" s="1232">
        <v>1.6034231227651967</v>
      </c>
      <c r="DC153" s="1233">
        <v>1.7907236518603507</v>
      </c>
      <c r="DD153" s="1233">
        <v>1.9010388317291738</v>
      </c>
      <c r="DE153" s="1233">
        <v>1.7727240317614648</v>
      </c>
      <c r="DF153" s="1233">
        <v>1.7026832680470061</v>
      </c>
      <c r="DG153" s="1233">
        <v>1.5370146170956469</v>
      </c>
      <c r="DH153" s="1233">
        <v>1.5786376501185648</v>
      </c>
      <c r="DI153" s="1233">
        <v>1.6200650418660285</v>
      </c>
      <c r="DJ153" s="1233">
        <v>1.5517769392033538</v>
      </c>
      <c r="DK153" s="1233">
        <v>1.8279671178126984</v>
      </c>
      <c r="DL153" s="1233">
        <v>1.9031959367063875</v>
      </c>
      <c r="DM153" s="1233">
        <v>1.7731095406360424</v>
      </c>
      <c r="DN153" s="1234">
        <v>1.6787293710328912</v>
      </c>
      <c r="DO153" s="1233">
        <v>1.9348595067621321</v>
      </c>
      <c r="DP153" s="1233">
        <v>1.6751495406360426</v>
      </c>
      <c r="DQ153" s="1233">
        <v>1.5366106676342526</v>
      </c>
      <c r="DR153" s="1233">
        <v>1.8289349258649092</v>
      </c>
      <c r="DS153" s="1233">
        <v>1.9672061433447094</v>
      </c>
      <c r="DT153" s="1233">
        <v>1.6851171248568153</v>
      </c>
      <c r="DU153" s="1233">
        <v>1.6747364927651665</v>
      </c>
      <c r="DV153" s="1233">
        <v>1.9598893557422969</v>
      </c>
      <c r="DW153" s="1233">
        <v>1.572136752136752</v>
      </c>
      <c r="DX153" s="1233">
        <v>1.9482175743225465</v>
      </c>
      <c r="DY153" s="1233">
        <v>1.8435264105642257</v>
      </c>
      <c r="DZ153" s="1233">
        <v>1.6620466926070041</v>
      </c>
      <c r="EA153" s="1077"/>
      <c r="EB153" s="1235">
        <v>1.6477960194034655</v>
      </c>
      <c r="EC153" s="1236">
        <v>1.9711266750333984</v>
      </c>
      <c r="ED153" s="1236">
        <v>1.780288324078672</v>
      </c>
      <c r="EE153" s="1236">
        <v>1.7408539782673615</v>
      </c>
      <c r="EF153" s="1236">
        <v>1.6381863189778425</v>
      </c>
      <c r="EG153" s="1236">
        <v>1.6086661533653015</v>
      </c>
      <c r="EH153" s="1236">
        <v>1.8992401191595096</v>
      </c>
      <c r="EI153" s="1236">
        <v>1.9660468756922813</v>
      </c>
      <c r="EJ153" s="1236">
        <f t="shared" si="20"/>
        <v>1.7290879201627807</v>
      </c>
      <c r="EK153" s="1237">
        <v>1.7102654282980083</v>
      </c>
      <c r="EL153" s="1236">
        <f t="shared" si="21"/>
        <v>1.7740359322697377</v>
      </c>
      <c r="EM153" s="1329">
        <v>1.7770722055003596</v>
      </c>
    </row>
    <row r="154" spans="1:143">
      <c r="A154" s="998"/>
      <c r="B154" s="1114" t="s">
        <v>719</v>
      </c>
      <c r="C154" s="1115" t="s">
        <v>720</v>
      </c>
      <c r="D154" s="1221">
        <v>1.598360655737705</v>
      </c>
      <c r="E154" s="1221">
        <v>1.3220338983050848</v>
      </c>
      <c r="F154" s="1221">
        <v>1.013986013986014</v>
      </c>
      <c r="G154" s="1221">
        <v>1.0360360360360361</v>
      </c>
      <c r="H154" s="1221">
        <v>1.1263440860215055</v>
      </c>
      <c r="I154" s="1221">
        <v>1.2568807339449541</v>
      </c>
      <c r="J154" s="1221">
        <v>2.3454545454545452</v>
      </c>
      <c r="K154" s="1222">
        <v>1.0199004975124377</v>
      </c>
      <c r="L154" s="1076">
        <v>1.4921630094043887</v>
      </c>
      <c r="M154" s="1076">
        <v>1.1095890410958904</v>
      </c>
      <c r="N154" s="1076">
        <v>1.0833333333333333</v>
      </c>
      <c r="O154" s="1076">
        <v>1.255555555555556</v>
      </c>
      <c r="P154" s="1076">
        <v>1.1413043478260869</v>
      </c>
      <c r="Q154" s="1076">
        <v>1.0129449838187703</v>
      </c>
      <c r="R154" s="1076">
        <v>1.0112866817155755</v>
      </c>
      <c r="S154" s="1076">
        <v>1.1132075471698113</v>
      </c>
      <c r="T154" s="1076">
        <v>1.0444444444444445</v>
      </c>
      <c r="U154" s="1076">
        <v>1.0194174757281553</v>
      </c>
      <c r="V154" s="1223">
        <v>1.0490797546012267</v>
      </c>
      <c r="W154" s="1222">
        <v>1.015748031496063</v>
      </c>
      <c r="X154" s="1076">
        <v>1.0243902439024388</v>
      </c>
      <c r="Y154" s="1076">
        <v>1.0568181818181819</v>
      </c>
      <c r="Z154" s="1076">
        <v>1.0636363636363637</v>
      </c>
      <c r="AA154" s="1076">
        <v>1.0310880829015545</v>
      </c>
      <c r="AB154" s="1076">
        <v>1.0178571428571428</v>
      </c>
      <c r="AC154" s="1076">
        <v>1.2369477911646587</v>
      </c>
      <c r="AD154" s="1076">
        <v>1.0192307692307689</v>
      </c>
      <c r="AE154" s="1076">
        <v>1.0222222222222221</v>
      </c>
      <c r="AF154" s="1076">
        <v>1.0144404332129964</v>
      </c>
      <c r="AG154" s="1076">
        <v>1.013392857142857</v>
      </c>
      <c r="AH154" s="1223">
        <v>1.0406504065040649</v>
      </c>
      <c r="AI154" s="1224">
        <v>1.0251572327044025</v>
      </c>
      <c r="AJ154" s="1224">
        <v>1.032258064516129</v>
      </c>
      <c r="AK154" s="1224">
        <v>1.019047619047619</v>
      </c>
      <c r="AL154" s="1224">
        <v>1.0135746606334841</v>
      </c>
      <c r="AM154" s="1224">
        <v>1.0459770114942528</v>
      </c>
      <c r="AN154" s="1224">
        <v>1.0177514792899409</v>
      </c>
      <c r="AO154" s="1224">
        <v>1.0413223140495869</v>
      </c>
      <c r="AP154" s="1224">
        <v>1.07</v>
      </c>
      <c r="AQ154" s="1224">
        <v>1.0625</v>
      </c>
      <c r="AR154" s="1224">
        <v>1</v>
      </c>
      <c r="AS154" s="1224">
        <v>1.0810810810810811</v>
      </c>
      <c r="AT154" s="1224">
        <v>1.193548387096774</v>
      </c>
      <c r="AU154" s="1222">
        <v>1.0242424242424242</v>
      </c>
      <c r="AV154" s="1076">
        <v>1.1131221719457012</v>
      </c>
      <c r="AW154" s="1076">
        <v>1.023972602739726</v>
      </c>
      <c r="AX154" s="1076">
        <v>1.7103825136612025</v>
      </c>
      <c r="AY154" s="1076">
        <v>1.0634920634920635</v>
      </c>
      <c r="AZ154" s="1076">
        <v>1.0445859872611463</v>
      </c>
      <c r="BA154" s="1076">
        <v>1.0303030303030303</v>
      </c>
      <c r="BB154" s="1076">
        <v>1.0193236714975846</v>
      </c>
      <c r="BC154" s="1076">
        <v>1.0094339622641511</v>
      </c>
      <c r="BD154" s="1076">
        <v>1.0126582278481013</v>
      </c>
      <c r="BE154" s="1076">
        <v>1.0217391304347827</v>
      </c>
      <c r="BF154" s="1076">
        <v>1.0180995475113124</v>
      </c>
      <c r="BG154" s="1225">
        <v>1.0344827586206895</v>
      </c>
      <c r="BH154" s="1225">
        <v>1.0326086956521738</v>
      </c>
      <c r="BI154" s="1225">
        <v>1.0306513409961686</v>
      </c>
      <c r="BJ154" s="1225">
        <v>1.0177304964539007</v>
      </c>
      <c r="BK154" s="1225">
        <v>1.0200000000000002</v>
      </c>
      <c r="BL154" s="1225">
        <v>1.0210526315789472</v>
      </c>
      <c r="BM154" s="1225">
        <v>1.0099502487562189</v>
      </c>
      <c r="BN154" s="1225">
        <v>1.0133333333333332</v>
      </c>
      <c r="BO154" s="1225">
        <v>1.0171428571428571</v>
      </c>
      <c r="BP154" s="1225">
        <v>1.0952380952380953</v>
      </c>
      <c r="BQ154" s="1225">
        <v>1.466666666666667</v>
      </c>
      <c r="BR154" s="1225">
        <v>2.285714285714286</v>
      </c>
      <c r="BS154" s="1226">
        <v>1.125</v>
      </c>
      <c r="BT154" s="1227">
        <v>1.1538461538461537</v>
      </c>
      <c r="BU154" s="1227">
        <v>1.1951219512195121</v>
      </c>
      <c r="BV154" s="1227">
        <v>1.0298507462686568</v>
      </c>
      <c r="BW154" s="1227">
        <v>1.2250000000000001</v>
      </c>
      <c r="BX154" s="1227">
        <v>1.1076923076923078</v>
      </c>
      <c r="BY154" s="1227">
        <v>1.1666666666666667</v>
      </c>
      <c r="BZ154" s="1227">
        <v>1.1935483870967742</v>
      </c>
      <c r="CA154" s="1227">
        <v>1.0804597701149428</v>
      </c>
      <c r="CB154" s="1227">
        <v>1.2222222222222223</v>
      </c>
      <c r="CC154" s="1227">
        <v>1.04</v>
      </c>
      <c r="CD154" s="1227">
        <v>1.0598290598290598</v>
      </c>
      <c r="CE154" s="1228">
        <v>1.0573770491803278</v>
      </c>
      <c r="CF154" s="1229">
        <v>1.3111111111111111</v>
      </c>
      <c r="CG154" s="1229">
        <v>1.1851851851851853</v>
      </c>
      <c r="CH154" s="1229">
        <v>1.4166666666666667</v>
      </c>
      <c r="CI154" s="1229">
        <v>1.1034482758620692</v>
      </c>
      <c r="CJ154" s="1229">
        <v>1.4285714285714286</v>
      </c>
      <c r="CK154" s="1229">
        <v>1.050156739811912</v>
      </c>
      <c r="CL154" s="1229">
        <v>1.8381294964028776</v>
      </c>
      <c r="CM154" s="1229">
        <v>1.3238095238095238</v>
      </c>
      <c r="CN154" s="1229">
        <v>2.3846153846153846</v>
      </c>
      <c r="CO154" s="1229">
        <v>2.474358974358974</v>
      </c>
      <c r="CP154" s="1229">
        <v>1.0526315789473686</v>
      </c>
      <c r="CQ154" s="1230">
        <v>1.0683760683760684</v>
      </c>
      <c r="CR154" s="1231">
        <v>1.9316239316239312</v>
      </c>
      <c r="CS154" s="1231">
        <v>1.2590585241730279</v>
      </c>
      <c r="CT154" s="1231">
        <v>1.0188679245283019</v>
      </c>
      <c r="CU154" s="1231">
        <v>2.7024793388429753</v>
      </c>
      <c r="CV154" s="1231">
        <v>1.7450000000000001</v>
      </c>
      <c r="CW154" s="1231">
        <v>1.5089999999999999</v>
      </c>
      <c r="CX154" s="1231">
        <v>2.373939393939394</v>
      </c>
      <c r="CY154" s="1231">
        <v>1.9117460317460317</v>
      </c>
      <c r="CZ154" s="1231">
        <v>2.7246376811594204</v>
      </c>
      <c r="DA154" s="1231">
        <v>1.3261443494776828</v>
      </c>
      <c r="DB154" s="1232">
        <v>1.9412499999999999</v>
      </c>
      <c r="DC154" s="1233">
        <v>1.458735632183908</v>
      </c>
      <c r="DD154" s="1233">
        <v>1.5816981132075472</v>
      </c>
      <c r="DE154" s="1233">
        <v>1.1686007827788649</v>
      </c>
      <c r="DF154" s="1233">
        <v>1.1558956916099774</v>
      </c>
      <c r="DG154" s="1233">
        <v>1.1041585040071238</v>
      </c>
      <c r="DH154" s="1233">
        <v>1.0148326359832636</v>
      </c>
      <c r="DI154" s="1233">
        <v>1.0980166051660516</v>
      </c>
      <c r="DJ154" s="1233">
        <v>1.1513631406761178</v>
      </c>
      <c r="DK154" s="1233">
        <v>1.1136868686868686</v>
      </c>
      <c r="DL154" s="1233">
        <v>1.0273226544622425</v>
      </c>
      <c r="DM154" s="1233">
        <v>2.1850000000000001</v>
      </c>
      <c r="DN154" s="1234">
        <v>1.2206079027355625</v>
      </c>
      <c r="DO154" s="1233">
        <v>2</v>
      </c>
      <c r="DP154" s="1233">
        <v>0</v>
      </c>
      <c r="DQ154" s="1233">
        <v>2</v>
      </c>
      <c r="DR154" s="1233">
        <v>2</v>
      </c>
      <c r="DS154" s="1233">
        <v>1.3333333333333333</v>
      </c>
      <c r="DT154" s="1233">
        <v>0</v>
      </c>
      <c r="DU154" s="1233">
        <v>2</v>
      </c>
      <c r="DV154" s="1233">
        <v>2</v>
      </c>
      <c r="DW154" s="1233">
        <v>2</v>
      </c>
      <c r="DX154" s="1233">
        <v>2</v>
      </c>
      <c r="DY154" s="1233">
        <v>2</v>
      </c>
      <c r="DZ154" s="1233">
        <v>2</v>
      </c>
      <c r="EA154" s="1077"/>
      <c r="EB154" s="1235">
        <v>1.3631578947368421</v>
      </c>
      <c r="EC154" s="1236">
        <v>1.111381125961928</v>
      </c>
      <c r="ED154" s="1236">
        <v>1.044776119402985</v>
      </c>
      <c r="EE154" s="1236">
        <v>1.0379746835443042</v>
      </c>
      <c r="EF154" s="1236">
        <v>1.0839552238805974</v>
      </c>
      <c r="EG154" s="1236">
        <v>1.0306954436450839</v>
      </c>
      <c r="EH154" s="1236">
        <v>1.1085383502170767</v>
      </c>
      <c r="EI154" s="1236">
        <v>1.5344202898550732</v>
      </c>
      <c r="EJ154" s="1236">
        <f t="shared" si="20"/>
        <v>1.7926769369889028</v>
      </c>
      <c r="EK154" s="1237">
        <v>1.1398687269246546</v>
      </c>
      <c r="EL154" s="1236">
        <f t="shared" si="21"/>
        <v>1.6111111111111109</v>
      </c>
      <c r="EM154" s="1329">
        <v>1.7777777777777777</v>
      </c>
    </row>
    <row r="155" spans="1:143">
      <c r="A155" s="998"/>
      <c r="B155" s="1207" t="s">
        <v>738</v>
      </c>
      <c r="C155" s="1144"/>
      <c r="D155" s="1221">
        <v>1.9440893493911053</v>
      </c>
      <c r="E155" s="1221">
        <v>1.9829651610067041</v>
      </c>
      <c r="F155" s="1221">
        <v>1.8685350520365576</v>
      </c>
      <c r="G155" s="1221">
        <v>1.6299926886728586</v>
      </c>
      <c r="H155" s="1221">
        <v>1.5044051728579524</v>
      </c>
      <c r="I155" s="1221">
        <v>1.5045869367862774</v>
      </c>
      <c r="J155" s="1221">
        <v>1.6509792128707288</v>
      </c>
      <c r="K155" s="1222">
        <v>1.7092991913746631</v>
      </c>
      <c r="L155" s="1076">
        <v>1.8181884295116553</v>
      </c>
      <c r="M155" s="1076">
        <v>1.8873191541980963</v>
      </c>
      <c r="N155" s="1076">
        <v>1.7802061717651778</v>
      </c>
      <c r="O155" s="1076">
        <v>1.5563104911395216</v>
      </c>
      <c r="P155" s="1076">
        <v>1.6346434974486281</v>
      </c>
      <c r="Q155" s="1076">
        <v>1.686040278734972</v>
      </c>
      <c r="R155" s="1076">
        <v>1.9226013483675324</v>
      </c>
      <c r="S155" s="1076">
        <v>1.6384950926935666</v>
      </c>
      <c r="T155" s="1076">
        <v>1.820747398550143</v>
      </c>
      <c r="U155" s="1076">
        <v>1.7903221501588071</v>
      </c>
      <c r="V155" s="1223">
        <v>1.7135896432763087</v>
      </c>
      <c r="W155" s="1222">
        <v>1.6609256527258376</v>
      </c>
      <c r="X155" s="1076">
        <v>1.681283555224528</v>
      </c>
      <c r="Y155" s="1076">
        <v>1.472206097796942</v>
      </c>
      <c r="Z155" s="1076">
        <v>1.7020360097926803</v>
      </c>
      <c r="AA155" s="1076">
        <v>1.7226031065881084</v>
      </c>
      <c r="AB155" s="1076">
        <v>1.6581898384353739</v>
      </c>
      <c r="AC155" s="1076">
        <v>1.6420819544481218</v>
      </c>
      <c r="AD155" s="1076">
        <v>1.5926638477801267</v>
      </c>
      <c r="AE155" s="1076">
        <v>1.5746174142480223</v>
      </c>
      <c r="AF155" s="1076">
        <v>1.6636125285444456</v>
      </c>
      <c r="AG155" s="1076">
        <v>1.6222678450714809</v>
      </c>
      <c r="AH155" s="1223">
        <v>1.9111738965647933</v>
      </c>
      <c r="AI155" s="1224">
        <v>1.6528485542513585</v>
      </c>
      <c r="AJ155" s="1224">
        <v>1.8115777166872051</v>
      </c>
      <c r="AK155" s="1224">
        <v>1.6532747956704219</v>
      </c>
      <c r="AL155" s="1224">
        <v>1.5833151343088017</v>
      </c>
      <c r="AM155" s="1224">
        <v>1.6079254079254084</v>
      </c>
      <c r="AN155" s="1224">
        <v>1.6370314616889969</v>
      </c>
      <c r="AO155" s="1224">
        <v>1.7115778688524597</v>
      </c>
      <c r="AP155" s="1224">
        <v>1.6900740494217477</v>
      </c>
      <c r="AQ155" s="1224">
        <v>1.648235121450063</v>
      </c>
      <c r="AR155" s="1224">
        <v>1.4655059912207853</v>
      </c>
      <c r="AS155" s="1224">
        <v>1.4521027702023828</v>
      </c>
      <c r="AT155" s="1224">
        <v>1.4506067741351212</v>
      </c>
      <c r="AU155" s="1222">
        <v>1.5972574732092504</v>
      </c>
      <c r="AV155" s="1076">
        <v>1.6199235232067515</v>
      </c>
      <c r="AW155" s="1076">
        <v>1.5281087777253417</v>
      </c>
      <c r="AX155" s="1076">
        <v>1.4947895520368122</v>
      </c>
      <c r="AY155" s="1076">
        <v>1.5036341971998812</v>
      </c>
      <c r="AZ155" s="1076">
        <v>1.6422892967942087</v>
      </c>
      <c r="BA155" s="1076">
        <v>1.6115687889843473</v>
      </c>
      <c r="BB155" s="1076">
        <v>1.5572943987876671</v>
      </c>
      <c r="BC155" s="1076">
        <v>1.5275066824143717</v>
      </c>
      <c r="BD155" s="1076">
        <v>1.5526884042323472</v>
      </c>
      <c r="BE155" s="1076">
        <v>1.631810217760103</v>
      </c>
      <c r="BF155" s="1076">
        <v>1.4671528553784625</v>
      </c>
      <c r="BG155" s="1225">
        <v>1.5255358987603307</v>
      </c>
      <c r="BH155" s="1225">
        <v>1.5517774343122099</v>
      </c>
      <c r="BI155" s="1225">
        <v>1.5724116269773281</v>
      </c>
      <c r="BJ155" s="1225">
        <v>1.5426649852879359</v>
      </c>
      <c r="BK155" s="1225">
        <v>1.5606144393241164</v>
      </c>
      <c r="BL155" s="1225">
        <v>1.6052963838259573</v>
      </c>
      <c r="BM155" s="1225">
        <v>1.6140167987132892</v>
      </c>
      <c r="BN155" s="1225">
        <v>1.6850839207257327</v>
      </c>
      <c r="BO155" s="1225">
        <v>1.6602094416005881</v>
      </c>
      <c r="BP155" s="1225">
        <v>1.5727625971421404</v>
      </c>
      <c r="BQ155" s="1225">
        <v>1.4735979362050895</v>
      </c>
      <c r="BR155" s="1225">
        <v>1.5287567006743905</v>
      </c>
      <c r="BS155" s="1226">
        <v>1.7292486165744376</v>
      </c>
      <c r="BT155" s="1227">
        <v>1.5657919400187432</v>
      </c>
      <c r="BU155" s="1227">
        <v>1.5784084259801046</v>
      </c>
      <c r="BV155" s="1227">
        <v>1.6176119215291747</v>
      </c>
      <c r="BW155" s="1227">
        <v>1.9552538964303665</v>
      </c>
      <c r="BX155" s="1227">
        <v>1.8146404349531982</v>
      </c>
      <c r="BY155" s="1227">
        <v>1.6372354842072343</v>
      </c>
      <c r="BZ155" s="1227">
        <v>1.7114982386613833</v>
      </c>
      <c r="CA155" s="1227">
        <v>1.6249147781504816</v>
      </c>
      <c r="CB155" s="1227">
        <v>1.6419216261525567</v>
      </c>
      <c r="CC155" s="1227">
        <v>1.5969656037435478</v>
      </c>
      <c r="CD155" s="1227">
        <v>1.5059336123373275</v>
      </c>
      <c r="CE155" s="1228">
        <v>1.5724806411436607</v>
      </c>
      <c r="CF155" s="1229">
        <v>1.6460330101886693</v>
      </c>
      <c r="CG155" s="1229">
        <v>1.7309065488228097</v>
      </c>
      <c r="CH155" s="1229">
        <v>1.6562542076208433</v>
      </c>
      <c r="CI155" s="1229">
        <v>1.8134980415787891</v>
      </c>
      <c r="CJ155" s="1229">
        <v>1.5929864022083637</v>
      </c>
      <c r="CK155" s="1229">
        <v>1.6665731841011646</v>
      </c>
      <c r="CL155" s="1229">
        <v>1.6394194453436921</v>
      </c>
      <c r="CM155" s="1229">
        <v>1.7335361216730047</v>
      </c>
      <c r="CN155" s="1229">
        <v>1.8710410263263404</v>
      </c>
      <c r="CO155" s="1229">
        <v>1.7692961165048564</v>
      </c>
      <c r="CP155" s="1229">
        <v>1.7542228288687927</v>
      </c>
      <c r="CQ155" s="1230">
        <v>1.8405215953962462</v>
      </c>
      <c r="CR155" s="1231">
        <v>1.7853248523398435</v>
      </c>
      <c r="CS155" s="1231">
        <v>1.72146394697133</v>
      </c>
      <c r="CT155" s="1231">
        <v>1.6553287981859408</v>
      </c>
      <c r="CU155" s="1231">
        <v>1.9378987376136829</v>
      </c>
      <c r="CV155" s="1231">
        <v>1.5389999999999999</v>
      </c>
      <c r="CW155" s="1231">
        <v>1.6160000000000001</v>
      </c>
      <c r="CX155" s="1231">
        <v>1.6120206995938695</v>
      </c>
      <c r="CY155" s="1231">
        <v>1.6604600087132568</v>
      </c>
      <c r="CZ155" s="1231">
        <v>1.6571600049498825</v>
      </c>
      <c r="DA155" s="1231">
        <v>1.6743074505159106</v>
      </c>
      <c r="DB155" s="1232">
        <v>1.6733635614179718</v>
      </c>
      <c r="DC155" s="1233">
        <v>1.5846396991564189</v>
      </c>
      <c r="DD155" s="1233">
        <v>1.6372915708371667</v>
      </c>
      <c r="DE155" s="1233">
        <v>1.6957854452678904</v>
      </c>
      <c r="DF155" s="1233">
        <v>1.7001115481876934</v>
      </c>
      <c r="DG155" s="1233">
        <v>1.656476234711256</v>
      </c>
      <c r="DH155" s="1233">
        <v>1.6703924429767298</v>
      </c>
      <c r="DI155" s="1233">
        <v>1.730012261034932</v>
      </c>
      <c r="DJ155" s="1233">
        <v>1.6285268381489315</v>
      </c>
      <c r="DK155" s="1233">
        <v>1.7359864493791788</v>
      </c>
      <c r="DL155" s="1233">
        <v>1.7426949659863942</v>
      </c>
      <c r="DM155" s="1233">
        <v>1.7219411141016232</v>
      </c>
      <c r="DN155" s="1234">
        <v>1.7103681657089773</v>
      </c>
      <c r="DO155" s="1233">
        <v>1.7368134333446992</v>
      </c>
      <c r="DP155" s="1233">
        <v>1.6685034874413998</v>
      </c>
      <c r="DQ155" s="1233">
        <v>1.6203335010851452</v>
      </c>
      <c r="DR155" s="1233">
        <v>1.6147473916593582</v>
      </c>
      <c r="DS155" s="1233">
        <v>1.687324063077329</v>
      </c>
      <c r="DT155" s="1233">
        <v>1.5961332054309321</v>
      </c>
      <c r="DU155" s="1233">
        <v>1.5928896177980609</v>
      </c>
      <c r="DV155" s="1233">
        <v>1.645961057796155</v>
      </c>
      <c r="DW155" s="1233">
        <v>1.5651548258586343</v>
      </c>
      <c r="DX155" s="1233">
        <v>1.7103157579112465</v>
      </c>
      <c r="DY155" s="1233">
        <v>1.5972875845452703</v>
      </c>
      <c r="DZ155" s="1233">
        <v>1.6624542754943643</v>
      </c>
      <c r="EA155" s="1077"/>
      <c r="EB155" s="1235">
        <v>1.7172183989556304</v>
      </c>
      <c r="EC155" s="1236">
        <v>1.7427143370428155</v>
      </c>
      <c r="ED155" s="1236">
        <v>1.6515008530052653</v>
      </c>
      <c r="EE155" s="1236">
        <v>1.6159061067413323</v>
      </c>
      <c r="EF155" s="1236">
        <v>1.5607321806857515</v>
      </c>
      <c r="EG155" s="1236">
        <v>1.5729784722437954</v>
      </c>
      <c r="EH155" s="1236">
        <v>1.6613540645012395</v>
      </c>
      <c r="EI155" s="1236">
        <v>1.7031971545479252</v>
      </c>
      <c r="EJ155" s="1236">
        <f t="shared" si="20"/>
        <v>1.6977374713081612</v>
      </c>
      <c r="EK155" s="1237">
        <v>1.6838529289780368</v>
      </c>
      <c r="EL155" s="1236">
        <f t="shared" si="21"/>
        <v>1.6414931834535498</v>
      </c>
      <c r="EM155" s="1329">
        <v>1.632044981273346</v>
      </c>
    </row>
    <row r="156" spans="1:143">
      <c r="A156" s="998"/>
      <c r="B156" s="1238"/>
      <c r="C156" s="1144"/>
      <c r="D156" s="1208"/>
      <c r="E156" s="1208"/>
      <c r="F156" s="1220" t="s">
        <v>224</v>
      </c>
      <c r="G156" s="1208"/>
      <c r="H156" s="1208"/>
      <c r="I156" s="1208"/>
      <c r="J156" s="1208"/>
      <c r="K156" s="1145"/>
      <c r="L156" s="1146"/>
      <c r="M156" s="1146"/>
      <c r="N156" s="1099"/>
      <c r="O156" s="1099"/>
      <c r="P156" s="1099" t="s">
        <v>224</v>
      </c>
      <c r="Q156" s="1099"/>
      <c r="R156" s="1099"/>
      <c r="S156" s="1099"/>
      <c r="T156" s="1099"/>
      <c r="U156" s="1099"/>
      <c r="V156" s="1100"/>
      <c r="W156" s="1098"/>
      <c r="X156" s="1099"/>
      <c r="Y156" s="1099"/>
      <c r="Z156" s="1099"/>
      <c r="AA156" s="1099"/>
      <c r="AB156" s="1099"/>
      <c r="AC156" s="1099"/>
      <c r="AD156" s="1099" t="s">
        <v>224</v>
      </c>
      <c r="AE156" s="1099"/>
      <c r="AF156" s="1099"/>
      <c r="AG156" s="1099"/>
      <c r="AH156" s="1100"/>
      <c r="AI156" s="1219"/>
      <c r="AJ156" s="1219"/>
      <c r="AK156" s="1219"/>
      <c r="AL156" s="1219"/>
      <c r="AM156" s="1219"/>
      <c r="AN156" s="1219"/>
      <c r="AO156" s="1219"/>
      <c r="AP156" s="1099" t="s">
        <v>224</v>
      </c>
      <c r="AQ156" s="1219"/>
      <c r="AR156" s="1219"/>
      <c r="AS156" s="1219"/>
      <c r="AT156" s="1219"/>
      <c r="AU156" s="1098"/>
      <c r="AV156" s="1099"/>
      <c r="AW156" s="1099"/>
      <c r="AX156" s="1099"/>
      <c r="AY156" s="1099"/>
      <c r="AZ156" s="1099"/>
      <c r="BA156" s="1099"/>
      <c r="BB156" s="1099" t="s">
        <v>224</v>
      </c>
      <c r="BC156" s="1099"/>
      <c r="BD156" s="1099"/>
      <c r="BE156" s="1099"/>
      <c r="BF156" s="1099"/>
      <c r="BG156" s="1105"/>
      <c r="BH156" s="1105"/>
      <c r="BI156" s="1105"/>
      <c r="BJ156" s="1105"/>
      <c r="BK156" s="1105"/>
      <c r="BL156" s="1105"/>
      <c r="BM156" s="1105" t="str">
        <f>+BB156</f>
        <v>Total estancia media</v>
      </c>
      <c r="BN156" s="1105"/>
      <c r="BO156" s="1105"/>
      <c r="BP156" s="1105"/>
      <c r="BQ156" s="1105"/>
      <c r="BR156" s="1105"/>
      <c r="BS156" s="1106"/>
      <c r="BT156" s="1107"/>
      <c r="BU156" s="1107"/>
      <c r="BV156" s="1107"/>
      <c r="BW156" s="1107"/>
      <c r="BX156" s="1107"/>
      <c r="BY156" s="1107" t="str">
        <f>+BM156</f>
        <v>Total estancia media</v>
      </c>
      <c r="BZ156" s="1107"/>
      <c r="CA156" s="1107"/>
      <c r="CB156" s="1107"/>
      <c r="CC156" s="1107"/>
      <c r="CD156" s="1107"/>
      <c r="CE156" s="1087"/>
      <c r="CF156" s="1088"/>
      <c r="CG156" s="1088"/>
      <c r="CH156" s="1088"/>
      <c r="CI156" s="1088"/>
      <c r="CJ156" s="1088"/>
      <c r="CK156" s="1088" t="str">
        <f>+BY156</f>
        <v>Total estancia media</v>
      </c>
      <c r="CL156" s="1088"/>
      <c r="CM156" s="1088"/>
      <c r="CN156" s="1088"/>
      <c r="CO156" s="1088"/>
      <c r="CP156" s="1088"/>
      <c r="CQ156" s="1089"/>
      <c r="CR156" s="1050"/>
      <c r="CS156" s="1050"/>
      <c r="CT156" s="1050"/>
      <c r="CU156" s="1050"/>
      <c r="CV156" s="1050"/>
      <c r="CW156" s="1050" t="str">
        <f>+CK156</f>
        <v>Total estancia media</v>
      </c>
      <c r="CX156" s="1050"/>
      <c r="CY156" s="1050"/>
      <c r="CZ156" s="1050"/>
      <c r="DA156" s="1050"/>
      <c r="DB156" s="1090"/>
      <c r="DC156" s="1091"/>
      <c r="DD156" s="1091"/>
      <c r="DE156" s="1091"/>
      <c r="DF156" s="1091"/>
      <c r="DG156" s="1091"/>
      <c r="DH156" s="1091"/>
      <c r="DI156" s="1091"/>
      <c r="DJ156" s="1091"/>
      <c r="DK156" s="1091"/>
      <c r="DL156" s="1091"/>
      <c r="DM156" s="1091"/>
      <c r="DN156" s="1092"/>
      <c r="DO156" s="1091"/>
      <c r="DP156" s="1091"/>
      <c r="DQ156" s="1091"/>
      <c r="DR156" s="1091"/>
      <c r="DS156" s="1091"/>
      <c r="DT156" s="1091"/>
      <c r="DU156" s="1091"/>
      <c r="DV156" s="1091"/>
      <c r="DW156" s="1091"/>
      <c r="DX156" s="1091"/>
      <c r="DY156" s="1091"/>
      <c r="DZ156" s="1091"/>
      <c r="EA156" s="1077"/>
      <c r="EB156" s="1170"/>
      <c r="EC156" s="1161"/>
      <c r="ED156" s="1161"/>
      <c r="EE156" s="1161"/>
      <c r="EF156" s="1161"/>
      <c r="EG156" s="1161"/>
      <c r="EH156" s="1161"/>
      <c r="EI156" s="1161"/>
      <c r="EJ156" s="1161"/>
      <c r="EK156" s="1191"/>
      <c r="EL156" s="1161"/>
      <c r="EM156" s="1326"/>
    </row>
    <row r="157" spans="1:143">
      <c r="A157" s="998"/>
      <c r="B157" s="1114" t="s">
        <v>737</v>
      </c>
      <c r="C157" s="1115" t="s">
        <v>708</v>
      </c>
      <c r="D157" s="1221">
        <v>1.4896542335965151</v>
      </c>
      <c r="E157" s="1221">
        <v>1.8607298292601273</v>
      </c>
      <c r="F157" s="1221">
        <v>1.4970117140808032</v>
      </c>
      <c r="G157" s="1221">
        <v>1.6648486501227162</v>
      </c>
      <c r="H157" s="1221">
        <v>1.8258101851851851</v>
      </c>
      <c r="I157" s="1221">
        <v>1.3196266397578205</v>
      </c>
      <c r="J157" s="1221">
        <v>1.4583509513742072</v>
      </c>
      <c r="K157" s="1222">
        <v>1.4110612855007476</v>
      </c>
      <c r="L157" s="1076">
        <v>1.4526800670016753</v>
      </c>
      <c r="M157" s="1076">
        <v>1.4993450353680902</v>
      </c>
      <c r="N157" s="1076">
        <v>1.3647122108660574</v>
      </c>
      <c r="O157" s="1076">
        <v>1.5279503105590064</v>
      </c>
      <c r="P157" s="1076">
        <v>1.6058184143222507</v>
      </c>
      <c r="Q157" s="1076">
        <v>1.6496836496836493</v>
      </c>
      <c r="R157" s="1076">
        <v>1.3497109826589595</v>
      </c>
      <c r="S157" s="1076">
        <v>1.345288926843154</v>
      </c>
      <c r="T157" s="1076">
        <v>1.205956729418376</v>
      </c>
      <c r="U157" s="1076">
        <v>1.2648200880144964</v>
      </c>
      <c r="V157" s="1223">
        <v>1.6286594761171032</v>
      </c>
      <c r="W157" s="1222">
        <v>1.4448790896159316</v>
      </c>
      <c r="X157" s="1076">
        <v>1.1681944998007177</v>
      </c>
      <c r="Y157" s="1076">
        <v>1.400969787392764</v>
      </c>
      <c r="Z157" s="1076">
        <v>1.2508324084350722</v>
      </c>
      <c r="AA157" s="1076">
        <v>1.1799152753550961</v>
      </c>
      <c r="AB157" s="1076">
        <v>1.2016574585635356</v>
      </c>
      <c r="AC157" s="1076">
        <v>1.1914266273531413</v>
      </c>
      <c r="AD157" s="1076">
        <v>1.2366377341251711</v>
      </c>
      <c r="AE157" s="1076">
        <v>1.3118952760387024</v>
      </c>
      <c r="AF157" s="1076">
        <v>1.1526071526071524</v>
      </c>
      <c r="AG157" s="1076">
        <v>1.2324040219378427</v>
      </c>
      <c r="AH157" s="1223">
        <v>1.1847914963205233</v>
      </c>
      <c r="AI157" s="1224">
        <v>1.2011967090501119</v>
      </c>
      <c r="AJ157" s="1224">
        <v>1.098609041231992</v>
      </c>
      <c r="AK157" s="1224">
        <v>1.1906965416463708</v>
      </c>
      <c r="AL157" s="1224">
        <v>1.2957887700534756</v>
      </c>
      <c r="AM157" s="1224">
        <v>1.2874806800618237</v>
      </c>
      <c r="AN157" s="1224">
        <v>1.2285336856010569</v>
      </c>
      <c r="AO157" s="1224">
        <v>1.2112765957446809</v>
      </c>
      <c r="AP157" s="1224">
        <v>1.3850806451612903</v>
      </c>
      <c r="AQ157" s="1224">
        <v>1.2952714535901926</v>
      </c>
      <c r="AR157" s="1224">
        <v>1.4436337103246992</v>
      </c>
      <c r="AS157" s="1224">
        <v>1.2323175845680736</v>
      </c>
      <c r="AT157" s="1224">
        <v>1.1005344871468568</v>
      </c>
      <c r="AU157" s="1222">
        <v>1.1636498884205306</v>
      </c>
      <c r="AV157" s="1076">
        <v>1.4079375406636305</v>
      </c>
      <c r="AW157" s="1076">
        <v>1.5150531286894922</v>
      </c>
      <c r="AX157" s="1076">
        <v>1.3382842509603072</v>
      </c>
      <c r="AY157" s="1076">
        <v>1.3392275476966033</v>
      </c>
      <c r="AZ157" s="1076">
        <v>1.3030075187969925</v>
      </c>
      <c r="BA157" s="1076">
        <v>1.2589328251548357</v>
      </c>
      <c r="BB157" s="1076">
        <v>1.3610161211529066</v>
      </c>
      <c r="BC157" s="1076">
        <v>1.3904634239754883</v>
      </c>
      <c r="BD157" s="1076">
        <v>1.3705505761843793</v>
      </c>
      <c r="BE157" s="1076">
        <v>1.3567516075256016</v>
      </c>
      <c r="BF157" s="1076">
        <v>1.2085335383432636</v>
      </c>
      <c r="BG157" s="1225">
        <v>1.215099396917579</v>
      </c>
      <c r="BH157" s="1225">
        <v>1.277005608388198</v>
      </c>
      <c r="BI157" s="1225">
        <v>1.3034343434343432</v>
      </c>
      <c r="BJ157" s="1225">
        <v>1.2294501397949673</v>
      </c>
      <c r="BK157" s="1225">
        <v>1.2585347850156854</v>
      </c>
      <c r="BL157" s="1225">
        <v>1.3880845003560411</v>
      </c>
      <c r="BM157" s="1225">
        <v>1.3541173375427518</v>
      </c>
      <c r="BN157" s="1225">
        <v>1.2441108545034636</v>
      </c>
      <c r="BO157" s="1225">
        <v>1.2208711433756805</v>
      </c>
      <c r="BP157" s="1225">
        <v>1.1827893175074184</v>
      </c>
      <c r="BQ157" s="1225">
        <v>1.2637108636268126</v>
      </c>
      <c r="BR157" s="1225">
        <v>1.3300910596026492</v>
      </c>
      <c r="BS157" s="1226">
        <v>1.4138988247317326</v>
      </c>
      <c r="BT157" s="1227">
        <v>1.5628502802241799</v>
      </c>
      <c r="BU157" s="1227">
        <v>1.3694788501986446</v>
      </c>
      <c r="BV157" s="1227">
        <v>1.2487954445904512</v>
      </c>
      <c r="BW157" s="1227">
        <v>1.5720858895705518</v>
      </c>
      <c r="BX157" s="1227">
        <v>1.4965053067564069</v>
      </c>
      <c r="BY157" s="1227">
        <v>1.4023904382470123</v>
      </c>
      <c r="BZ157" s="1227">
        <v>1.2810670136629796</v>
      </c>
      <c r="CA157" s="1227">
        <v>1.3401906673356747</v>
      </c>
      <c r="CB157" s="1227">
        <v>1.277098089718824</v>
      </c>
      <c r="CC157" s="1227">
        <v>1.2891617273497036</v>
      </c>
      <c r="CD157" s="1227">
        <v>1.4353527406241804</v>
      </c>
      <c r="CE157" s="1228">
        <v>1.3459885386819488</v>
      </c>
      <c r="CF157" s="1229">
        <v>1.4138675623800381</v>
      </c>
      <c r="CG157" s="1229">
        <v>1.455885588558856</v>
      </c>
      <c r="CH157" s="1229">
        <v>1.4557272504292371</v>
      </c>
      <c r="CI157" s="1229">
        <v>1.2650797319158771</v>
      </c>
      <c r="CJ157" s="1229">
        <v>1.5229202037351441</v>
      </c>
      <c r="CK157" s="1229">
        <v>1.5294725956566699</v>
      </c>
      <c r="CL157" s="1229">
        <v>1.4785766158315179</v>
      </c>
      <c r="CM157" s="1229">
        <v>1.3228646205091601</v>
      </c>
      <c r="CN157" s="1229">
        <v>1.4751976994967648</v>
      </c>
      <c r="CO157" s="1229">
        <v>1.4249530956848027</v>
      </c>
      <c r="CP157" s="1229">
        <v>1.4079681274900397</v>
      </c>
      <c r="CQ157" s="1230">
        <v>1.4852941176470587</v>
      </c>
      <c r="CR157" s="1231">
        <v>1.6228843861740165</v>
      </c>
      <c r="CS157" s="1231">
        <v>1.640879059350504</v>
      </c>
      <c r="CT157" s="1231">
        <v>1.411913016073117</v>
      </c>
      <c r="CU157" s="1231">
        <v>1.3718390804597702</v>
      </c>
      <c r="CV157" s="1231">
        <v>1.3725293803418803</v>
      </c>
      <c r="CW157" s="1231">
        <v>1.4159999999999999</v>
      </c>
      <c r="CX157" s="1231">
        <v>1.4812376117959876</v>
      </c>
      <c r="CY157" s="1231">
        <v>1.6689839162624458</v>
      </c>
      <c r="CZ157" s="1231">
        <v>1.5079006154547527</v>
      </c>
      <c r="DA157" s="1231">
        <v>1.4621262886597939</v>
      </c>
      <c r="DB157" s="1232">
        <v>1.7590201884253029</v>
      </c>
      <c r="DC157" s="1233">
        <v>1.6226453726453725</v>
      </c>
      <c r="DD157" s="1233">
        <v>1.4364308403118682</v>
      </c>
      <c r="DE157" s="1233">
        <v>1.5522242550967069</v>
      </c>
      <c r="DF157" s="1233">
        <v>1.4940426981603452</v>
      </c>
      <c r="DG157" s="1233">
        <v>1.7402279276919046</v>
      </c>
      <c r="DH157" s="1233">
        <v>1.5246928635953028</v>
      </c>
      <c r="DI157" s="1233">
        <v>1.6365830508474577</v>
      </c>
      <c r="DJ157" s="1233">
        <v>1.2794863523573201</v>
      </c>
      <c r="DK157" s="1233">
        <v>1.559644190097039</v>
      </c>
      <c r="DL157" s="1233">
        <v>1.8330101781170483</v>
      </c>
      <c r="DM157" s="1233">
        <v>1.5363102064220184</v>
      </c>
      <c r="DN157" s="1234">
        <v>1.4170763755817137</v>
      </c>
      <c r="DO157" s="1233">
        <v>1.4167858373205742</v>
      </c>
      <c r="DP157" s="1233">
        <v>1.4096048874909266</v>
      </c>
      <c r="DQ157" s="1233">
        <v>1.3381792917974002</v>
      </c>
      <c r="DR157" s="1233">
        <v>1.4285775059824517</v>
      </c>
      <c r="DS157" s="1233">
        <v>1.4039676220806794</v>
      </c>
      <c r="DT157" s="1233">
        <v>1.5302816134620145</v>
      </c>
      <c r="DU157" s="1233">
        <v>1.4677582748244737</v>
      </c>
      <c r="DV157" s="1233">
        <v>1.3829086651053863</v>
      </c>
      <c r="DW157" s="1233">
        <v>1.4962369895916732</v>
      </c>
      <c r="DX157" s="1233">
        <v>1.7058360009849789</v>
      </c>
      <c r="DY157" s="1233">
        <v>1.4850452944136892</v>
      </c>
      <c r="DZ157" s="1233">
        <v>1.2661813057773601</v>
      </c>
      <c r="EA157" s="1077"/>
      <c r="EB157" s="1235">
        <v>1.5681493135011442</v>
      </c>
      <c r="EC157" s="1236">
        <v>1.4290815930440186</v>
      </c>
      <c r="ED157" s="1236">
        <v>1.2386379270809447</v>
      </c>
      <c r="EE157" s="1236">
        <v>1.2425513870600571</v>
      </c>
      <c r="EF157" s="1236">
        <v>1.3288493001272499</v>
      </c>
      <c r="EG157" s="1236">
        <v>1.2686404280785752</v>
      </c>
      <c r="EH157" s="1236">
        <v>1.3805574659169051</v>
      </c>
      <c r="EI157" s="1236">
        <v>1.4226387506853768</v>
      </c>
      <c r="EJ157" s="1236">
        <f t="shared" ref="EJ157:EJ164" si="22">AVERAGE(CQ157:DB157)</f>
        <v>1.5167173050537193</v>
      </c>
      <c r="EK157" s="1237">
        <v>1.5533855127797218</v>
      </c>
      <c r="EL157" s="1236">
        <f t="shared" ref="EL157:EL164" si="23">AVERAGE(DO157:DZ157)</f>
        <v>1.4442802740693006</v>
      </c>
      <c r="EM157" s="1329">
        <v>1.4525651953028158</v>
      </c>
    </row>
    <row r="158" spans="1:143">
      <c r="A158" s="998"/>
      <c r="B158" s="1114" t="s">
        <v>709</v>
      </c>
      <c r="C158" s="1115" t="s">
        <v>710</v>
      </c>
      <c r="D158" s="1221">
        <v>1.57826982492276</v>
      </c>
      <c r="E158" s="1221">
        <v>1.5234811165845648</v>
      </c>
      <c r="F158" s="1221">
        <v>1.3545180722891565</v>
      </c>
      <c r="G158" s="1221">
        <v>1.5829213483146067</v>
      </c>
      <c r="H158" s="1221">
        <v>1.4822090437361009</v>
      </c>
      <c r="I158" s="1221">
        <v>1.1410081743869209</v>
      </c>
      <c r="J158" s="1221">
        <v>1.6999276934201013</v>
      </c>
      <c r="K158" s="1222">
        <v>1.8557800224466889</v>
      </c>
      <c r="L158" s="1076">
        <v>1.5937248592115849</v>
      </c>
      <c r="M158" s="1076">
        <v>1.3641241855116906</v>
      </c>
      <c r="N158" s="1076">
        <v>1.8435228730226592</v>
      </c>
      <c r="O158" s="1076">
        <v>1.5848404255319148</v>
      </c>
      <c r="P158" s="1076">
        <v>1.5219298245614035</v>
      </c>
      <c r="Q158" s="1076">
        <v>1.5022358859698155</v>
      </c>
      <c r="R158" s="1076">
        <v>1.4271478588742255</v>
      </c>
      <c r="S158" s="1076">
        <v>1.2925045703839124</v>
      </c>
      <c r="T158" s="1076">
        <v>1.4624247185126997</v>
      </c>
      <c r="U158" s="1076">
        <v>1.4260869565217391</v>
      </c>
      <c r="V158" s="1223">
        <v>1.5659486574210684</v>
      </c>
      <c r="W158" s="1222">
        <v>1.4013774104683197</v>
      </c>
      <c r="X158" s="1076">
        <v>1.6765983860955931</v>
      </c>
      <c r="Y158" s="1076">
        <v>1.4056186868686869</v>
      </c>
      <c r="Z158" s="1076">
        <v>1.4412918804708723</v>
      </c>
      <c r="AA158" s="1076">
        <v>1.2008313847752665</v>
      </c>
      <c r="AB158" s="1076">
        <v>1.5498434237995824</v>
      </c>
      <c r="AC158" s="1076">
        <v>1.4019980019980021</v>
      </c>
      <c r="AD158" s="1076">
        <v>1.556173084557364</v>
      </c>
      <c r="AE158" s="1076">
        <v>1.4282752902155886</v>
      </c>
      <c r="AF158" s="1076">
        <v>1.2592780884595831</v>
      </c>
      <c r="AG158" s="1076">
        <v>1.4398255813953489</v>
      </c>
      <c r="AH158" s="1223">
        <v>1.4704610951008645</v>
      </c>
      <c r="AI158" s="1224">
        <v>1.3611691022964507</v>
      </c>
      <c r="AJ158" s="1224">
        <v>1.5869883040935671</v>
      </c>
      <c r="AK158" s="1224">
        <v>1.2502057613168727</v>
      </c>
      <c r="AL158" s="1224">
        <v>1.1591575579845377</v>
      </c>
      <c r="AM158" s="1224">
        <v>1.1444035006909259</v>
      </c>
      <c r="AN158" s="1224">
        <v>1.2333333333333332</v>
      </c>
      <c r="AO158" s="1224">
        <v>1.4960106382978724</v>
      </c>
      <c r="AP158" s="1224">
        <v>1.338649155722327</v>
      </c>
      <c r="AQ158" s="1224">
        <v>1.3309759547383309</v>
      </c>
      <c r="AR158" s="1224">
        <v>1.2597765363128495</v>
      </c>
      <c r="AS158" s="1224">
        <v>1.3070524412296565</v>
      </c>
      <c r="AT158" s="1224">
        <v>1.4459881903438696</v>
      </c>
      <c r="AU158" s="1222">
        <v>1.3986135181975736</v>
      </c>
      <c r="AV158" s="1076">
        <v>1.353535353535354</v>
      </c>
      <c r="AW158" s="1076">
        <v>1.3662444113263785</v>
      </c>
      <c r="AX158" s="1076">
        <v>1.1831649831649831</v>
      </c>
      <c r="AY158" s="1076">
        <v>1.3372549019607842</v>
      </c>
      <c r="AZ158" s="1076">
        <v>1.3625758282781151</v>
      </c>
      <c r="BA158" s="1076">
        <v>1.3373245251857968</v>
      </c>
      <c r="BB158" s="1076">
        <v>1.2967690466693258</v>
      </c>
      <c r="BC158" s="1076">
        <v>1.3526912181303117</v>
      </c>
      <c r="BD158" s="1076">
        <v>1.3115886415963161</v>
      </c>
      <c r="BE158" s="1076">
        <v>1.2144097222222223</v>
      </c>
      <c r="BF158" s="1076">
        <v>1.4440139480821388</v>
      </c>
      <c r="BG158" s="1225">
        <v>1.4290088021431304</v>
      </c>
      <c r="BH158" s="1225">
        <v>1.501218521527214</v>
      </c>
      <c r="BI158" s="1225">
        <v>1.3177788147456835</v>
      </c>
      <c r="BJ158" s="1225">
        <v>1.0471067170689152</v>
      </c>
      <c r="BK158" s="1225">
        <v>1.2128772635814888</v>
      </c>
      <c r="BL158" s="1225">
        <v>1.2867160109076745</v>
      </c>
      <c r="BM158" s="1225">
        <v>1.3045685279187818</v>
      </c>
      <c r="BN158" s="1225">
        <v>1.2886916248552682</v>
      </c>
      <c r="BO158" s="1225">
        <v>1.329180064308682</v>
      </c>
      <c r="BP158" s="1225">
        <v>1.2548456568557065</v>
      </c>
      <c r="BQ158" s="1225">
        <v>1.3532369578881205</v>
      </c>
      <c r="BR158" s="1225">
        <v>1.5272654370489174</v>
      </c>
      <c r="BS158" s="1226">
        <v>1.549705304518664</v>
      </c>
      <c r="BT158" s="1227">
        <v>1.3726480036714095</v>
      </c>
      <c r="BU158" s="1227">
        <v>1.4226618705035967</v>
      </c>
      <c r="BV158" s="1227">
        <v>1.2897526501766783</v>
      </c>
      <c r="BW158" s="1227">
        <v>1.4747612551159615</v>
      </c>
      <c r="BX158" s="1227">
        <v>1.4198614318706697</v>
      </c>
      <c r="BY158" s="1227">
        <v>1.2679984922728984</v>
      </c>
      <c r="BZ158" s="1227">
        <v>1.3584582441113491</v>
      </c>
      <c r="CA158" s="1227">
        <v>1.250838613492359</v>
      </c>
      <c r="CB158" s="1227">
        <v>1.3591465823785061</v>
      </c>
      <c r="CC158" s="1227">
        <v>1.3021243115656962</v>
      </c>
      <c r="CD158" s="1227">
        <v>1.1886864085041762</v>
      </c>
      <c r="CE158" s="1228">
        <v>1.2001493651979089</v>
      </c>
      <c r="CF158" s="1229">
        <v>1.3309449171518137</v>
      </c>
      <c r="CG158" s="1229">
        <v>1.298377522754254</v>
      </c>
      <c r="CH158" s="1229">
        <v>1.3608247422680413</v>
      </c>
      <c r="CI158" s="1229">
        <v>1.4096332302253647</v>
      </c>
      <c r="CJ158" s="1229">
        <v>1.4359828653022371</v>
      </c>
      <c r="CK158" s="1229">
        <v>1.5111209964412817</v>
      </c>
      <c r="CL158" s="1229">
        <v>1.4846650524616629</v>
      </c>
      <c r="CM158" s="1229">
        <v>1.797774244833068</v>
      </c>
      <c r="CN158" s="1229">
        <v>1.5372093023255815</v>
      </c>
      <c r="CO158" s="1229">
        <v>1.4005967922417006</v>
      </c>
      <c r="CP158" s="1229">
        <v>1.6623735050597976</v>
      </c>
      <c r="CQ158" s="1230">
        <v>1.4259259259259258</v>
      </c>
      <c r="CR158" s="1231">
        <v>1.3709273182957393</v>
      </c>
      <c r="CS158" s="1231">
        <v>1.4622467481277097</v>
      </c>
      <c r="CT158" s="1231">
        <v>1.4259855189058734</v>
      </c>
      <c r="CU158" s="1231">
        <v>1.5004295532646048</v>
      </c>
      <c r="CV158" s="1231">
        <v>1.5472533849129593</v>
      </c>
      <c r="CW158" s="1231">
        <v>1.663</v>
      </c>
      <c r="CX158" s="1231">
        <v>1.4840444274224436</v>
      </c>
      <c r="CY158" s="1231">
        <v>1.6651924882629108</v>
      </c>
      <c r="CZ158" s="1231">
        <v>1.6847535979066723</v>
      </c>
      <c r="DA158" s="1231">
        <v>1.4689864355689528</v>
      </c>
      <c r="DB158" s="1232">
        <v>1.5617258064516129</v>
      </c>
      <c r="DC158" s="1233">
        <v>1.7952790578597027</v>
      </c>
      <c r="DD158" s="1233">
        <v>1.374554126918291</v>
      </c>
      <c r="DE158" s="1233">
        <v>1.8307086614173229</v>
      </c>
      <c r="DF158" s="1233">
        <v>1.7059617271835132</v>
      </c>
      <c r="DG158" s="1233">
        <v>1.6276338432122373</v>
      </c>
      <c r="DH158" s="1233">
        <v>1.4120097839380354</v>
      </c>
      <c r="DI158" s="1233">
        <v>1.5245807210031348</v>
      </c>
      <c r="DJ158" s="1233">
        <v>2.1205269761606025</v>
      </c>
      <c r="DK158" s="1233">
        <v>1.9887202380952382</v>
      </c>
      <c r="DL158" s="1233">
        <v>1.9085224061364556</v>
      </c>
      <c r="DM158" s="1233">
        <v>2.1131651785714283</v>
      </c>
      <c r="DN158" s="1234">
        <v>1.9956130790190738</v>
      </c>
      <c r="DO158" s="1233">
        <v>1.6881778774289984</v>
      </c>
      <c r="DP158" s="1233">
        <v>1.6339628185907049</v>
      </c>
      <c r="DQ158" s="1233">
        <v>1.6864347826086956</v>
      </c>
      <c r="DR158" s="1233">
        <v>1.6152145907473308</v>
      </c>
      <c r="DS158" s="1233">
        <v>1.8001415830546263</v>
      </c>
      <c r="DT158" s="1233">
        <v>1.5182142261739375</v>
      </c>
      <c r="DU158" s="1233">
        <v>1.5190841949778435</v>
      </c>
      <c r="DV158" s="1233">
        <v>1.5045236842105265</v>
      </c>
      <c r="DW158" s="1233">
        <v>1.464619059592658</v>
      </c>
      <c r="DX158" s="1233">
        <v>1.5895554035567718</v>
      </c>
      <c r="DY158" s="1233">
        <v>1.3673342803030302</v>
      </c>
      <c r="DZ158" s="1233">
        <v>1.7875107542299968</v>
      </c>
      <c r="EA158" s="1077"/>
      <c r="EB158" s="1235">
        <v>1.476773832473105</v>
      </c>
      <c r="EC158" s="1236">
        <v>1.5148632895294609</v>
      </c>
      <c r="ED158" s="1236">
        <v>1.4351842088614279</v>
      </c>
      <c r="EE158" s="1236">
        <v>1.326562387716482</v>
      </c>
      <c r="EF158" s="1236">
        <v>1.3249248298781457</v>
      </c>
      <c r="EG158" s="1236">
        <v>1.3130678067335191</v>
      </c>
      <c r="EH158" s="1236">
        <v>1.349559620596205</v>
      </c>
      <c r="EI158" s="1236">
        <v>1.4576369071884774</v>
      </c>
      <c r="EJ158" s="1236">
        <f t="shared" si="22"/>
        <v>1.5217059337537837</v>
      </c>
      <c r="EK158" s="1237">
        <v>1.7569862414506121</v>
      </c>
      <c r="EL158" s="1236">
        <f t="shared" si="23"/>
        <v>1.5978977712895936</v>
      </c>
      <c r="EM158" s="1329">
        <v>1.5793737469619895</v>
      </c>
    </row>
    <row r="159" spans="1:143">
      <c r="A159" s="998"/>
      <c r="B159" s="1114" t="s">
        <v>711</v>
      </c>
      <c r="C159" s="1115" t="s">
        <v>712</v>
      </c>
      <c r="D159" s="1221">
        <v>1.9712250551190005</v>
      </c>
      <c r="E159" s="1221">
        <v>1.8382820547270367</v>
      </c>
      <c r="F159" s="1221">
        <v>1.8552938848208984</v>
      </c>
      <c r="G159" s="1221">
        <v>1.8053952430919902</v>
      </c>
      <c r="H159" s="1221">
        <v>1.514035342884154</v>
      </c>
      <c r="I159" s="1221">
        <v>1.3845326160053799</v>
      </c>
      <c r="J159" s="1221">
        <v>1.7286511627906977</v>
      </c>
      <c r="K159" s="1222">
        <v>1.6582017010935601</v>
      </c>
      <c r="L159" s="1076">
        <v>1.8308300791028336</v>
      </c>
      <c r="M159" s="1076">
        <v>1.7252217342633258</v>
      </c>
      <c r="N159" s="1076">
        <v>1.6932685339131173</v>
      </c>
      <c r="O159" s="1076">
        <v>1.5466120625465378</v>
      </c>
      <c r="P159" s="1076">
        <v>1.6540667857007179</v>
      </c>
      <c r="Q159" s="1076">
        <v>1.545454545454545</v>
      </c>
      <c r="R159" s="1076">
        <v>1.7035500878734615</v>
      </c>
      <c r="S159" s="1076">
        <v>1.5963822039265356</v>
      </c>
      <c r="T159" s="1076">
        <v>1.6267766084409245</v>
      </c>
      <c r="U159" s="1076">
        <v>1.6567890782093342</v>
      </c>
      <c r="V159" s="1223">
        <v>1.7213865876799188</v>
      </c>
      <c r="W159" s="1222">
        <v>1.6293729509897497</v>
      </c>
      <c r="X159" s="1076">
        <v>1.5165423845032997</v>
      </c>
      <c r="Y159" s="1076">
        <v>1.5337779180806568</v>
      </c>
      <c r="Z159" s="1076">
        <v>1.6981733835894464</v>
      </c>
      <c r="AA159" s="1076">
        <v>1.5882334132693849</v>
      </c>
      <c r="AB159" s="1076">
        <v>1.598308340562647</v>
      </c>
      <c r="AC159" s="1076">
        <v>1.4944372877386116</v>
      </c>
      <c r="AD159" s="1076">
        <v>1.4334278423589457</v>
      </c>
      <c r="AE159" s="1076">
        <v>1.5192797746781115</v>
      </c>
      <c r="AF159" s="1076">
        <v>1.4822677322677318</v>
      </c>
      <c r="AG159" s="1076">
        <v>1.4678394555342873</v>
      </c>
      <c r="AH159" s="1223">
        <v>1.6295316841294816</v>
      </c>
      <c r="AI159" s="1224">
        <v>1.493606898602438</v>
      </c>
      <c r="AJ159" s="1224">
        <v>1.639145385001739</v>
      </c>
      <c r="AK159" s="1224">
        <v>1.562869383032615</v>
      </c>
      <c r="AL159" s="1224">
        <v>1.5228967373513256</v>
      </c>
      <c r="AM159" s="1224">
        <v>1.4554155152658887</v>
      </c>
      <c r="AN159" s="1224">
        <v>1.5316828254847648</v>
      </c>
      <c r="AO159" s="1224">
        <v>1.5496328105551411</v>
      </c>
      <c r="AP159" s="1224">
        <v>1.6236821848120748</v>
      </c>
      <c r="AQ159" s="1224">
        <v>1.3646571633351918</v>
      </c>
      <c r="AR159" s="1224">
        <v>1.4686014414967032</v>
      </c>
      <c r="AS159" s="1224">
        <v>1.3331645569620252</v>
      </c>
      <c r="AT159" s="1224">
        <v>1.3026388125343595</v>
      </c>
      <c r="AU159" s="1222">
        <v>1.3053113965892864</v>
      </c>
      <c r="AV159" s="1076">
        <v>1.4296223057148512</v>
      </c>
      <c r="AW159" s="1076">
        <v>1.3365811965811967</v>
      </c>
      <c r="AX159" s="1076">
        <v>1.4137164691203992</v>
      </c>
      <c r="AY159" s="1076">
        <v>1.3884315906562845</v>
      </c>
      <c r="AZ159" s="1076">
        <v>1.5736556629189267</v>
      </c>
      <c r="BA159" s="1076">
        <v>1.4669484178586907</v>
      </c>
      <c r="BB159" s="1076">
        <v>1.4938331589176257</v>
      </c>
      <c r="BC159" s="1076">
        <v>1.4870061099796337</v>
      </c>
      <c r="BD159" s="1076">
        <v>1.5651319691577696</v>
      </c>
      <c r="BE159" s="1076">
        <v>1.5042623195991924</v>
      </c>
      <c r="BF159" s="1076">
        <v>1.5729140032387281</v>
      </c>
      <c r="BG159" s="1225">
        <v>1.5958858659588584</v>
      </c>
      <c r="BH159" s="1225">
        <v>1.5460621387283238</v>
      </c>
      <c r="BI159" s="1225">
        <v>1.5399079977402956</v>
      </c>
      <c r="BJ159" s="1225">
        <v>1.4435945014579461</v>
      </c>
      <c r="BK159" s="1225">
        <v>1.4916528801323508</v>
      </c>
      <c r="BL159" s="1225">
        <v>1.538278340694553</v>
      </c>
      <c r="BM159" s="1225">
        <v>1.5307097904883293</v>
      </c>
      <c r="BN159" s="1225">
        <v>1.5448033126293996</v>
      </c>
      <c r="BO159" s="1225">
        <v>1.5245205303127807</v>
      </c>
      <c r="BP159" s="1225">
        <v>1.4715876256886391</v>
      </c>
      <c r="BQ159" s="1225">
        <v>1.350054322520565</v>
      </c>
      <c r="BR159" s="1225">
        <v>1.4445704162976092</v>
      </c>
      <c r="BS159" s="1226">
        <v>1.4560000000000004</v>
      </c>
      <c r="BT159" s="1227">
        <v>1.4357762599224666</v>
      </c>
      <c r="BU159" s="1227">
        <v>1.3984612050281751</v>
      </c>
      <c r="BV159" s="1227">
        <v>1.363081873970962</v>
      </c>
      <c r="BW159" s="1227">
        <v>1.595735754062094</v>
      </c>
      <c r="BX159" s="1227">
        <v>1.5116701244813275</v>
      </c>
      <c r="BY159" s="1227">
        <v>1.414986709673566</v>
      </c>
      <c r="BZ159" s="1227">
        <v>1.5646030057188456</v>
      </c>
      <c r="CA159" s="1227">
        <v>1.416274075100457</v>
      </c>
      <c r="CB159" s="1227">
        <v>1.4483937989451814</v>
      </c>
      <c r="CC159" s="1227">
        <v>1.4420380680327627</v>
      </c>
      <c r="CD159" s="1227">
        <v>1.379503686013914</v>
      </c>
      <c r="CE159" s="1228">
        <v>1.4447901496094269</v>
      </c>
      <c r="CF159" s="1229">
        <v>1.4484610347085793</v>
      </c>
      <c r="CG159" s="1229">
        <v>1.5555780874301113</v>
      </c>
      <c r="CH159" s="1229">
        <v>1.3903816430864346</v>
      </c>
      <c r="CI159" s="1229">
        <v>1.5529344460896486</v>
      </c>
      <c r="CJ159" s="1229">
        <v>1.4681193014989959</v>
      </c>
      <c r="CK159" s="1229">
        <v>1.4459978311204904</v>
      </c>
      <c r="CL159" s="1229">
        <v>1.3762240676250861</v>
      </c>
      <c r="CM159" s="1229">
        <v>1.4255897544325975</v>
      </c>
      <c r="CN159" s="1229">
        <v>1.5395681168624966</v>
      </c>
      <c r="CO159" s="1229">
        <v>1.5432160215494526</v>
      </c>
      <c r="CP159" s="1229">
        <v>1.6330102315562733</v>
      </c>
      <c r="CQ159" s="1230">
        <v>1.6307375693653299</v>
      </c>
      <c r="CR159" s="1231">
        <v>1.5484513797412771</v>
      </c>
      <c r="CS159" s="1231">
        <v>1.5020735317523479</v>
      </c>
      <c r="CT159" s="1231">
        <v>1.4918639807045553</v>
      </c>
      <c r="CU159" s="1231">
        <v>1.5727437172943988</v>
      </c>
      <c r="CV159" s="1231">
        <v>1.5470939397855019</v>
      </c>
      <c r="CW159" s="1231">
        <v>1.627</v>
      </c>
      <c r="CX159" s="1231">
        <v>1.5924908968784248</v>
      </c>
      <c r="CY159" s="1231">
        <v>1.6500156374882722</v>
      </c>
      <c r="CZ159" s="1231">
        <v>1.6869480322395711</v>
      </c>
      <c r="DA159" s="1231">
        <v>1.701306039750434</v>
      </c>
      <c r="DB159" s="1232">
        <v>1.6494586302117071</v>
      </c>
      <c r="DC159" s="1233">
        <v>1.4647664240920222</v>
      </c>
      <c r="DD159" s="1233">
        <v>1.5307575534808497</v>
      </c>
      <c r="DE159" s="1233">
        <v>1.5461139802482557</v>
      </c>
      <c r="DF159" s="1233">
        <v>1.5561473068781293</v>
      </c>
      <c r="DG159" s="1233">
        <v>1.6464416480039814</v>
      </c>
      <c r="DH159" s="1233">
        <v>1.6004062922868745</v>
      </c>
      <c r="DI159" s="1233">
        <v>1.6038033088819028</v>
      </c>
      <c r="DJ159" s="1233">
        <v>1.6053286869020127</v>
      </c>
      <c r="DK159" s="1233">
        <v>1.6144032309918019</v>
      </c>
      <c r="DL159" s="1233">
        <v>1.5920987832617248</v>
      </c>
      <c r="DM159" s="1233">
        <v>1.5095115304697349</v>
      </c>
      <c r="DN159" s="1234">
        <v>1.5559443694772124</v>
      </c>
      <c r="DO159" s="1233">
        <v>1.5567265723270443</v>
      </c>
      <c r="DP159" s="1233">
        <v>1.5503818911865084</v>
      </c>
      <c r="DQ159" s="1233">
        <v>1.5337317896028217</v>
      </c>
      <c r="DR159" s="1233">
        <v>1.4932160809735013</v>
      </c>
      <c r="DS159" s="1233">
        <v>1.5590540716878025</v>
      </c>
      <c r="DT159" s="1233">
        <v>1.5388955948413272</v>
      </c>
      <c r="DU159" s="1233">
        <v>1.5105191108701543</v>
      </c>
      <c r="DV159" s="1233">
        <v>1.4432691665739399</v>
      </c>
      <c r="DW159" s="1233">
        <v>1.50058204111071</v>
      </c>
      <c r="DX159" s="1233">
        <v>1.6260956752838851</v>
      </c>
      <c r="DY159" s="1233">
        <v>1.5452028101312627</v>
      </c>
      <c r="DZ159" s="1233">
        <v>1.5672761735763834</v>
      </c>
      <c r="EA159" s="1077"/>
      <c r="EB159" s="1235">
        <v>1.7020317920633685</v>
      </c>
      <c r="EC159" s="1236">
        <v>1.6561901660696845</v>
      </c>
      <c r="ED159" s="1236">
        <v>1.5433144823501204</v>
      </c>
      <c r="EE159" s="1236">
        <v>1.4875786847677916</v>
      </c>
      <c r="EF159" s="1236">
        <v>1.4599392055180753</v>
      </c>
      <c r="EG159" s="1236">
        <v>1.495538235255494</v>
      </c>
      <c r="EH159" s="1236">
        <v>1.451956284649639</v>
      </c>
      <c r="EI159" s="1236">
        <v>1.4838298916482615</v>
      </c>
      <c r="EJ159" s="1236">
        <f t="shared" si="22"/>
        <v>1.6000152796009852</v>
      </c>
      <c r="EK159" s="1237">
        <v>1.5675754646136726</v>
      </c>
      <c r="EL159" s="1236">
        <f t="shared" si="23"/>
        <v>1.5354125815137785</v>
      </c>
      <c r="EM159" s="1329">
        <v>1.5257435680211282</v>
      </c>
    </row>
    <row r="160" spans="1:143">
      <c r="A160" s="998"/>
      <c r="B160" s="1114" t="s">
        <v>713</v>
      </c>
      <c r="C160" s="1115" t="s">
        <v>714</v>
      </c>
      <c r="D160" s="1221">
        <v>1.8380520951302379</v>
      </c>
      <c r="E160" s="1221">
        <v>1.5380143112701252</v>
      </c>
      <c r="F160" s="1221">
        <v>1.5945425361155698</v>
      </c>
      <c r="G160" s="1221">
        <v>1.8595762359783963</v>
      </c>
      <c r="H160" s="1221">
        <v>1.7625676720804331</v>
      </c>
      <c r="I160" s="1221">
        <v>1.861853325753269</v>
      </c>
      <c r="J160" s="1221">
        <v>2.0306748466257667</v>
      </c>
      <c r="K160" s="1222">
        <v>1.3585286984640259</v>
      </c>
      <c r="L160" s="1076">
        <v>1.5183842568617298</v>
      </c>
      <c r="M160" s="1076">
        <v>1.3424978063761335</v>
      </c>
      <c r="N160" s="1076">
        <v>1.7470538720538724</v>
      </c>
      <c r="O160" s="1076">
        <v>1.6310440406529108</v>
      </c>
      <c r="P160" s="1076">
        <v>1.8645833333333333</v>
      </c>
      <c r="Q160" s="1076">
        <v>1.355108359133127</v>
      </c>
      <c r="R160" s="1076">
        <v>1.4643281807372175</v>
      </c>
      <c r="S160" s="1076">
        <v>1.9352242238405519</v>
      </c>
      <c r="T160" s="1076">
        <v>2.431699687174139</v>
      </c>
      <c r="U160" s="1076">
        <v>1.6293103448275863</v>
      </c>
      <c r="V160" s="1223">
        <v>1.4786570743405276</v>
      </c>
      <c r="W160" s="1222">
        <v>1.4470172684458398</v>
      </c>
      <c r="X160" s="1076">
        <v>1.6409090909090909</v>
      </c>
      <c r="Y160" s="1076">
        <v>1.4806746310611383</v>
      </c>
      <c r="Z160" s="1076">
        <v>1.650106028476219</v>
      </c>
      <c r="AA160" s="1076">
        <v>1.7352112676056342</v>
      </c>
      <c r="AB160" s="1076">
        <v>1.6272648835202761</v>
      </c>
      <c r="AC160" s="1076">
        <v>1.6748545572074987</v>
      </c>
      <c r="AD160" s="1076">
        <v>1.7437013996889577</v>
      </c>
      <c r="AE160" s="1076">
        <v>1.3844282238442822</v>
      </c>
      <c r="AF160" s="1076">
        <v>1.5082020997375327</v>
      </c>
      <c r="AG160" s="1076">
        <v>1.4454454454454451</v>
      </c>
      <c r="AH160" s="1223">
        <v>1.5939968404423381</v>
      </c>
      <c r="AI160" s="1224">
        <v>1.3937823834196892</v>
      </c>
      <c r="AJ160" s="1224">
        <v>1.5</v>
      </c>
      <c r="AK160" s="1224">
        <v>1.2822299651567945</v>
      </c>
      <c r="AL160" s="1224">
        <v>1.3264395782643958</v>
      </c>
      <c r="AM160" s="1224">
        <v>1.3833087149187593</v>
      </c>
      <c r="AN160" s="1224">
        <v>1.3086150490730641</v>
      </c>
      <c r="AO160" s="1224">
        <v>1.2958538299367532</v>
      </c>
      <c r="AP160" s="1224">
        <v>1.3430782459157353</v>
      </c>
      <c r="AQ160" s="1224">
        <v>1.6411056620597417</v>
      </c>
      <c r="AR160" s="1224">
        <v>1.2736359850062473</v>
      </c>
      <c r="AS160" s="1224">
        <v>1.2875168995042814</v>
      </c>
      <c r="AT160" s="1224">
        <v>1.3152085036794767</v>
      </c>
      <c r="AU160" s="1222">
        <v>1.2288461538461539</v>
      </c>
      <c r="AV160" s="1076">
        <v>1.3238192320761131</v>
      </c>
      <c r="AW160" s="1076">
        <v>1.4771192798199551</v>
      </c>
      <c r="AX160" s="1076">
        <v>1.3312453942520266</v>
      </c>
      <c r="AY160" s="1076">
        <v>1.3475792988313857</v>
      </c>
      <c r="AZ160" s="1076">
        <v>1.363737075332349</v>
      </c>
      <c r="BA160" s="1076">
        <v>1.3093651350403368</v>
      </c>
      <c r="BB160" s="1076">
        <v>1.3395061728395059</v>
      </c>
      <c r="BC160" s="1076">
        <v>1.4772524531668154</v>
      </c>
      <c r="BD160" s="1076">
        <v>1.2603859993457638</v>
      </c>
      <c r="BE160" s="1076">
        <v>1.3207017543859647</v>
      </c>
      <c r="BF160" s="1076">
        <v>1.2771371769383697</v>
      </c>
      <c r="BG160" s="1225">
        <v>1.2891016871865024</v>
      </c>
      <c r="BH160" s="1225">
        <v>1.3594914511179306</v>
      </c>
      <c r="BI160" s="1225">
        <v>1.7131382673551352</v>
      </c>
      <c r="BJ160" s="1225">
        <v>1.4783281733746132</v>
      </c>
      <c r="BK160" s="1225">
        <v>1.9078651685393258</v>
      </c>
      <c r="BL160" s="1225">
        <v>1.3828250401284115</v>
      </c>
      <c r="BM160" s="1225">
        <v>1.6487473903966596</v>
      </c>
      <c r="BN160" s="1225">
        <v>1.6681159420289859</v>
      </c>
      <c r="BO160" s="1225">
        <v>1.485757884028484</v>
      </c>
      <c r="BP160" s="1225">
        <v>1.5401046207497819</v>
      </c>
      <c r="BQ160" s="1225">
        <v>1.3057912209516784</v>
      </c>
      <c r="BR160" s="1225">
        <v>1.3794128576737275</v>
      </c>
      <c r="BS160" s="1226">
        <v>1.4293239683933274</v>
      </c>
      <c r="BT160" s="1227">
        <v>1.3691991786447641</v>
      </c>
      <c r="BU160" s="1227">
        <v>1.4403708386009273</v>
      </c>
      <c r="BV160" s="1227">
        <v>1.3879069767441861</v>
      </c>
      <c r="BW160" s="1227">
        <v>1.5355329949238579</v>
      </c>
      <c r="BX160" s="1227">
        <v>1.5071884984025559</v>
      </c>
      <c r="BY160" s="1227">
        <v>1.2387848816672555</v>
      </c>
      <c r="BZ160" s="1227">
        <v>1.3908690428514217</v>
      </c>
      <c r="CA160" s="1227">
        <v>1.4073033707865168</v>
      </c>
      <c r="CB160" s="1227">
        <v>1.4775212636695019</v>
      </c>
      <c r="CC160" s="1227">
        <v>1.6145004420866489</v>
      </c>
      <c r="CD160" s="1227">
        <v>1.3763644992880872</v>
      </c>
      <c r="CE160" s="1228">
        <v>1.3959731543624159</v>
      </c>
      <c r="CF160" s="1229">
        <v>1.3073732718894009</v>
      </c>
      <c r="CG160" s="1229">
        <v>1.5549763033175357</v>
      </c>
      <c r="CH160" s="1229">
        <v>1.3538328280640972</v>
      </c>
      <c r="CI160" s="1229">
        <v>1.3965710026090197</v>
      </c>
      <c r="CJ160" s="1229">
        <v>1.4017857142857142</v>
      </c>
      <c r="CK160" s="1229">
        <v>1.4285108188375053</v>
      </c>
      <c r="CL160" s="1229">
        <v>1.7795031055900621</v>
      </c>
      <c r="CM160" s="1229">
        <v>1.783110290724504</v>
      </c>
      <c r="CN160" s="1229">
        <v>1.7944643772424398</v>
      </c>
      <c r="CO160" s="1229">
        <v>1.553227875160325</v>
      </c>
      <c r="CP160" s="1229">
        <v>1.3506366307541626</v>
      </c>
      <c r="CQ160" s="1230">
        <v>1.7225225225225225</v>
      </c>
      <c r="CR160" s="1231">
        <v>2.0006896551724136</v>
      </c>
      <c r="CS160" s="1231">
        <v>2.032447397563677</v>
      </c>
      <c r="CT160" s="1231">
        <v>1.7988963825873701</v>
      </c>
      <c r="CU160" s="1231">
        <v>1.8494558645707375</v>
      </c>
      <c r="CV160" s="1231">
        <v>1.9037437185929649</v>
      </c>
      <c r="CW160" s="1231">
        <v>1.86</v>
      </c>
      <c r="CX160" s="1231">
        <v>1.538290322580645</v>
      </c>
      <c r="CY160" s="1231">
        <v>1.7983991995997997</v>
      </c>
      <c r="CZ160" s="1231">
        <v>2.0984511023176937</v>
      </c>
      <c r="DA160" s="1231">
        <v>1.7432072617246595</v>
      </c>
      <c r="DB160" s="1232">
        <v>2.1130879038317056</v>
      </c>
      <c r="DC160" s="1233">
        <v>1.6274320827943081</v>
      </c>
      <c r="DD160" s="1233">
        <v>1.5303261675315047</v>
      </c>
      <c r="DE160" s="1233">
        <v>1.5182166768107119</v>
      </c>
      <c r="DF160" s="1233">
        <v>1.6386575773466177</v>
      </c>
      <c r="DG160" s="1233">
        <v>1.7218049155145929</v>
      </c>
      <c r="DH160" s="1233">
        <v>1.5480054945054944</v>
      </c>
      <c r="DI160" s="1233">
        <v>1.4113530010172939</v>
      </c>
      <c r="DJ160" s="1233">
        <v>1.5868565941101154</v>
      </c>
      <c r="DK160" s="1233">
        <v>1.7354305912596402</v>
      </c>
      <c r="DL160" s="1233">
        <v>1.7145163277880466</v>
      </c>
      <c r="DM160" s="1233">
        <v>1.9542430858806406</v>
      </c>
      <c r="DN160" s="1234">
        <v>1.7353103448275864</v>
      </c>
      <c r="DO160" s="1233">
        <v>1.5877725321888414</v>
      </c>
      <c r="DP160" s="1233">
        <v>1.5810770465489565</v>
      </c>
      <c r="DQ160" s="1233">
        <v>1.6162578125</v>
      </c>
      <c r="DR160" s="1233">
        <v>1.6211355599214143</v>
      </c>
      <c r="DS160" s="1233">
        <v>1.5514670750382848</v>
      </c>
      <c r="DT160" s="1233">
        <v>1.7396314553990611</v>
      </c>
      <c r="DU160" s="1233">
        <v>1.4895551601423487</v>
      </c>
      <c r="DV160" s="1233">
        <v>1.4865415986949428</v>
      </c>
      <c r="DW160" s="1233">
        <v>1.473063063063063</v>
      </c>
      <c r="DX160" s="1233">
        <v>2.0364437194127243</v>
      </c>
      <c r="DY160" s="1233">
        <v>1.2339213197969543</v>
      </c>
      <c r="DZ160" s="1233">
        <v>1.4531826923076923</v>
      </c>
      <c r="EA160" s="1077"/>
      <c r="EB160" s="1235">
        <v>1.7623547439662879</v>
      </c>
      <c r="EC160" s="1236">
        <v>1.6195662121350785</v>
      </c>
      <c r="ED160" s="1236">
        <v>1.5801427079707624</v>
      </c>
      <c r="EE160" s="1236">
        <v>1.3618969951696902</v>
      </c>
      <c r="EF160" s="1236">
        <v>1.3355438887353777</v>
      </c>
      <c r="EG160" s="1236">
        <v>1.4933461169702782</v>
      </c>
      <c r="EH160" s="1236">
        <v>1.4283777206035737</v>
      </c>
      <c r="EI160" s="1236">
        <v>1.5005283417616417</v>
      </c>
      <c r="EJ160" s="1236">
        <f t="shared" si="22"/>
        <v>1.8715992775886823</v>
      </c>
      <c r="EK160" s="1237">
        <v>1.634270124201008</v>
      </c>
      <c r="EL160" s="1236">
        <f t="shared" si="23"/>
        <v>1.5725040862511903</v>
      </c>
      <c r="EM160" s="1329">
        <v>1.5126371750950691</v>
      </c>
    </row>
    <row r="161" spans="1:143">
      <c r="A161" s="998"/>
      <c r="B161" s="1114" t="s">
        <v>715</v>
      </c>
      <c r="C161" s="1115" t="s">
        <v>716</v>
      </c>
      <c r="D161" s="1221">
        <v>2.4883209207853754</v>
      </c>
      <c r="E161" s="1221">
        <v>2.4442988204456091</v>
      </c>
      <c r="F161" s="1221">
        <v>2.6194117647058826</v>
      </c>
      <c r="G161" s="1221">
        <v>2.3391304347826085</v>
      </c>
      <c r="H161" s="1221">
        <v>1.3729397823979317</v>
      </c>
      <c r="I161" s="1221">
        <v>1.5451259583789705</v>
      </c>
      <c r="J161" s="1221">
        <v>1.2266963292547275</v>
      </c>
      <c r="K161" s="1222">
        <v>1.0745131244707875</v>
      </c>
      <c r="L161" s="1076">
        <v>1.074982602644398</v>
      </c>
      <c r="M161" s="1076">
        <v>1.46112</v>
      </c>
      <c r="N161" s="1076">
        <v>1.3147484815449306</v>
      </c>
      <c r="O161" s="1076">
        <v>1.2914077890589484</v>
      </c>
      <c r="P161" s="1076">
        <v>1.0664340183533669</v>
      </c>
      <c r="Q161" s="1076">
        <v>1.0639386189258313</v>
      </c>
      <c r="R161" s="1076">
        <v>2.1292378281927098</v>
      </c>
      <c r="S161" s="1076">
        <v>1.3396557220274148</v>
      </c>
      <c r="T161" s="1076">
        <v>1.5754243827160495</v>
      </c>
      <c r="U161" s="1076">
        <v>1.6259848601884752</v>
      </c>
      <c r="V161" s="1223">
        <v>1.4884301270417424</v>
      </c>
      <c r="W161" s="1222">
        <v>1.9070278184480234</v>
      </c>
      <c r="X161" s="1076">
        <v>1.8912493677288822</v>
      </c>
      <c r="Y161" s="1076">
        <v>1.0738813735691988</v>
      </c>
      <c r="Z161" s="1076">
        <v>1.0015532335498447</v>
      </c>
      <c r="AA161" s="1076">
        <v>1.639346787860114</v>
      </c>
      <c r="AB161" s="1076">
        <v>1.278839142482135</v>
      </c>
      <c r="AC161" s="1076">
        <v>1.3648259994247915</v>
      </c>
      <c r="AD161" s="1076">
        <v>1.2940620782726047</v>
      </c>
      <c r="AE161" s="1076">
        <v>1.0556865055981144</v>
      </c>
      <c r="AF161" s="1076">
        <v>1.6513721185510428</v>
      </c>
      <c r="AG161" s="1076">
        <v>1.7230434782608695</v>
      </c>
      <c r="AH161" s="1223">
        <v>2.8219522413070801</v>
      </c>
      <c r="AI161" s="1224">
        <v>2.074232081911263</v>
      </c>
      <c r="AJ161" s="1224">
        <v>1.9286456529269138</v>
      </c>
      <c r="AK161" s="1224">
        <v>1.4452475605348754</v>
      </c>
      <c r="AL161" s="1224">
        <v>1.2770332013402377</v>
      </c>
      <c r="AM161" s="1224">
        <v>1.5753791257805532</v>
      </c>
      <c r="AN161" s="1224">
        <v>1.4966302579595632</v>
      </c>
      <c r="AO161" s="1224">
        <v>1.5424139602520601</v>
      </c>
      <c r="AP161" s="1224">
        <v>1.2488596971355592</v>
      </c>
      <c r="AQ161" s="1224">
        <v>1.2379662429672849</v>
      </c>
      <c r="AR161" s="1224">
        <v>1.0418486684514583</v>
      </c>
      <c r="AS161" s="1224">
        <v>1.0227025557368135</v>
      </c>
      <c r="AT161" s="1224">
        <v>1.9815455594002307</v>
      </c>
      <c r="AU161" s="1222">
        <v>2.2052220595412395</v>
      </c>
      <c r="AV161" s="1076">
        <v>2.3417634996582364</v>
      </c>
      <c r="AW161" s="1076">
        <v>2.323956043956044</v>
      </c>
      <c r="AX161" s="1076">
        <v>1.8031582813073816</v>
      </c>
      <c r="AY161" s="1076">
        <v>1.6313659359190555</v>
      </c>
      <c r="AZ161" s="1076">
        <v>1.5887216801719861</v>
      </c>
      <c r="BA161" s="1076">
        <v>1.1051697622145984</v>
      </c>
      <c r="BB161" s="1076">
        <v>1.0825035561877667</v>
      </c>
      <c r="BC161" s="1076">
        <v>1.0901960784313725</v>
      </c>
      <c r="BD161" s="1076">
        <v>1.2231708763192222</v>
      </c>
      <c r="BE161" s="1076">
        <v>1.1564156945917285</v>
      </c>
      <c r="BF161" s="1076">
        <v>1.2107409925220938</v>
      </c>
      <c r="BG161" s="1225">
        <v>1.6689448953438704</v>
      </c>
      <c r="BH161" s="1225">
        <v>1.7509404078400317</v>
      </c>
      <c r="BI161" s="1225">
        <v>1.5464171743545112</v>
      </c>
      <c r="BJ161" s="1225">
        <v>1.7792307692307692</v>
      </c>
      <c r="BK161" s="1225">
        <v>1.5941552157925296</v>
      </c>
      <c r="BL161" s="1225">
        <v>1.6648380817554416</v>
      </c>
      <c r="BM161" s="1225">
        <v>1.6921481008617936</v>
      </c>
      <c r="BN161" s="1225">
        <v>1.6756421612046057</v>
      </c>
      <c r="BO161" s="1225">
        <v>1.4742539496781741</v>
      </c>
      <c r="BP161" s="1225">
        <v>1.5176273083379965</v>
      </c>
      <c r="BQ161" s="1225">
        <v>1.7268024571613321</v>
      </c>
      <c r="BR161" s="1225">
        <v>1.6324200913242009</v>
      </c>
      <c r="BS161" s="1226">
        <v>1.9968833481745325</v>
      </c>
      <c r="BT161" s="1227">
        <v>1.6324409448818897</v>
      </c>
      <c r="BU161" s="1227">
        <v>1.507549522094473</v>
      </c>
      <c r="BV161" s="1227">
        <v>1.6521284019539428</v>
      </c>
      <c r="BW161" s="1227">
        <v>2.027690020442297</v>
      </c>
      <c r="BX161" s="1227">
        <v>1.9262377905018524</v>
      </c>
      <c r="BY161" s="1227">
        <v>1.6753431753431753</v>
      </c>
      <c r="BZ161" s="1227">
        <v>1.6565971281495528</v>
      </c>
      <c r="CA161" s="1227">
        <v>1.5556428384393821</v>
      </c>
      <c r="CB161" s="1227">
        <v>1.2534679722562219</v>
      </c>
      <c r="CC161" s="1227">
        <v>1.5391949152542372</v>
      </c>
      <c r="CD161" s="1227">
        <v>1.4642971501761126</v>
      </c>
      <c r="CE161" s="1228">
        <v>1.3596375858541576</v>
      </c>
      <c r="CF161" s="1229">
        <v>1.566120820145865</v>
      </c>
      <c r="CG161" s="1229">
        <v>1.4839174267882862</v>
      </c>
      <c r="CH161" s="1229">
        <v>2.1544497212471607</v>
      </c>
      <c r="CI161" s="1229">
        <v>2.089156626506024</v>
      </c>
      <c r="CJ161" s="1229">
        <v>1.7318671034160038</v>
      </c>
      <c r="CK161" s="1229">
        <v>2.112569316081331</v>
      </c>
      <c r="CL161" s="1229">
        <v>2.2899538360079137</v>
      </c>
      <c r="CM161" s="1229">
        <v>2.1855553460305486</v>
      </c>
      <c r="CN161" s="1229">
        <v>2.146873207114171</v>
      </c>
      <c r="CO161" s="1229">
        <v>1.7339068525660042</v>
      </c>
      <c r="CP161" s="1229">
        <v>1.677599441730635</v>
      </c>
      <c r="CQ161" s="1230">
        <v>2.0071942446043165</v>
      </c>
      <c r="CR161" s="1231">
        <v>2.0239718950196322</v>
      </c>
      <c r="CS161" s="1231">
        <v>1.9747216927182614</v>
      </c>
      <c r="CT161" s="1231">
        <v>2.0090325170614212</v>
      </c>
      <c r="CU161" s="1231">
        <v>1.9559692142473599</v>
      </c>
      <c r="CV161" s="1231">
        <v>1.4711386684303351</v>
      </c>
      <c r="CW161" s="1231">
        <v>1.5209999999999999</v>
      </c>
      <c r="CX161" s="1231">
        <v>1.5054842631365664</v>
      </c>
      <c r="CY161" s="1231">
        <v>1.5095751198721363</v>
      </c>
      <c r="CZ161" s="1231">
        <v>1.4418149745197961</v>
      </c>
      <c r="DA161" s="1231">
        <v>1.8511371961371963</v>
      </c>
      <c r="DB161" s="1232">
        <v>1.547529151588259</v>
      </c>
      <c r="DC161" s="1233">
        <v>1.253822700486805</v>
      </c>
      <c r="DD161" s="1233">
        <v>1.2112040510127531</v>
      </c>
      <c r="DE161" s="1233">
        <v>1.6209272753250463</v>
      </c>
      <c r="DF161" s="1233">
        <v>1.6656139613120271</v>
      </c>
      <c r="DG161" s="1233">
        <v>1.6439615994363221</v>
      </c>
      <c r="DH161" s="1233">
        <v>1.8532668772206868</v>
      </c>
      <c r="DI161" s="1233">
        <v>1.9470902716914988</v>
      </c>
      <c r="DJ161" s="1233">
        <v>1.6823647771527479</v>
      </c>
      <c r="DK161" s="1233">
        <v>1.6108515388295328</v>
      </c>
      <c r="DL161" s="1233">
        <v>1.5286289398280801</v>
      </c>
      <c r="DM161" s="1233">
        <v>1.7942894900497515</v>
      </c>
      <c r="DN161" s="1234">
        <v>1.8535175644028103</v>
      </c>
      <c r="DO161" s="1233">
        <v>1.6881417552030269</v>
      </c>
      <c r="DP161" s="1233">
        <v>1.5578246378849667</v>
      </c>
      <c r="DQ161" s="1233">
        <v>1.742930412371134</v>
      </c>
      <c r="DR161" s="1233">
        <v>1.5055007438894794</v>
      </c>
      <c r="DS161" s="1233">
        <v>1.5106675675675676</v>
      </c>
      <c r="DT161" s="1233">
        <v>1.5397956052050086</v>
      </c>
      <c r="DU161" s="1233">
        <v>1.5946002668931214</v>
      </c>
      <c r="DV161" s="1233">
        <v>1.7371520186561726</v>
      </c>
      <c r="DW161" s="1233">
        <v>1.5163524763651759</v>
      </c>
      <c r="DX161" s="1233">
        <v>1.6450437862835778</v>
      </c>
      <c r="DY161" s="1233">
        <v>1.3105116643795334</v>
      </c>
      <c r="DZ161" s="1233">
        <v>1.4150343216007011</v>
      </c>
      <c r="EA161" s="1077"/>
      <c r="EB161" s="1235">
        <v>1.9155710144927536</v>
      </c>
      <c r="EC161" s="1236">
        <v>1.3407201441965091</v>
      </c>
      <c r="ED161" s="1236">
        <v>1.4305996096132731</v>
      </c>
      <c r="EE161" s="1236">
        <v>1.4084977136944692</v>
      </c>
      <c r="EF161" s="1236">
        <v>1.4498040359711317</v>
      </c>
      <c r="EG161" s="1236">
        <v>1.635629082646975</v>
      </c>
      <c r="EH161" s="1236">
        <v>1.6213349514563105</v>
      </c>
      <c r="EI161" s="1236">
        <v>1.8279756005639223</v>
      </c>
      <c r="EJ161" s="1236">
        <f t="shared" si="22"/>
        <v>1.73488074477794</v>
      </c>
      <c r="EK161" s="1237">
        <v>1.6006464075250901</v>
      </c>
      <c r="EL161" s="1236">
        <f t="shared" si="23"/>
        <v>1.5636296046916218</v>
      </c>
      <c r="EM161" s="1329">
        <v>1.550119871044102</v>
      </c>
    </row>
    <row r="162" spans="1:143">
      <c r="A162" s="998"/>
      <c r="B162" s="1114" t="s">
        <v>717</v>
      </c>
      <c r="C162" s="1115" t="s">
        <v>718</v>
      </c>
      <c r="D162" s="1221">
        <v>1.6303340006321778</v>
      </c>
      <c r="E162" s="1221">
        <v>1.8209536291099719</v>
      </c>
      <c r="F162" s="1221">
        <v>1.7315006338826984</v>
      </c>
      <c r="G162" s="1221">
        <v>1.4372553534423209</v>
      </c>
      <c r="H162" s="1221">
        <v>1.4463363863447127</v>
      </c>
      <c r="I162" s="1221">
        <v>1.4701517706576728</v>
      </c>
      <c r="J162" s="1221">
        <v>1.3895384302562017</v>
      </c>
      <c r="K162" s="1222">
        <v>1.5459812806418065</v>
      </c>
      <c r="L162" s="1076">
        <v>1.7005081749889528</v>
      </c>
      <c r="M162" s="1076">
        <v>1.940908863670449</v>
      </c>
      <c r="N162" s="1076">
        <v>1.6371757778792957</v>
      </c>
      <c r="O162" s="1076">
        <v>1.4336764100452857</v>
      </c>
      <c r="P162" s="1076">
        <v>1.6005549091560014</v>
      </c>
      <c r="Q162" s="1076">
        <v>1.7013181138741678</v>
      </c>
      <c r="R162" s="1076">
        <v>1.9821349693251531</v>
      </c>
      <c r="S162" s="1076">
        <v>1.7633128933354845</v>
      </c>
      <c r="T162" s="1076">
        <v>1.9382363301890484</v>
      </c>
      <c r="U162" s="1076">
        <v>1.9844995968103216</v>
      </c>
      <c r="V162" s="1223">
        <v>1.7461179281138017</v>
      </c>
      <c r="W162" s="1222">
        <v>1.6707244815513063</v>
      </c>
      <c r="X162" s="1076">
        <v>1.689093079997924</v>
      </c>
      <c r="Y162" s="1076">
        <v>1.5071504133526621</v>
      </c>
      <c r="Z162" s="1076">
        <v>1.8801201387810056</v>
      </c>
      <c r="AA162" s="1076">
        <v>1.6265029849491299</v>
      </c>
      <c r="AB162" s="1076">
        <v>1.6097335989963837</v>
      </c>
      <c r="AC162" s="1076">
        <v>1.7230037149893556</v>
      </c>
      <c r="AD162" s="1076">
        <v>1.6285006195786869</v>
      </c>
      <c r="AE162" s="1076">
        <v>1.5449378475629698</v>
      </c>
      <c r="AF162" s="1076">
        <v>1.5293095961788967</v>
      </c>
      <c r="AG162" s="1076">
        <v>1.549166762883424</v>
      </c>
      <c r="AH162" s="1223">
        <v>1.9131590136054415</v>
      </c>
      <c r="AI162" s="1224">
        <v>1.4723494340274776</v>
      </c>
      <c r="AJ162" s="1224">
        <v>1.703144342659074</v>
      </c>
      <c r="AK162" s="1224">
        <v>1.4727166748867866</v>
      </c>
      <c r="AL162" s="1224">
        <v>1.5982956058588544</v>
      </c>
      <c r="AM162" s="1224">
        <v>1.5451327433628317</v>
      </c>
      <c r="AN162" s="1224">
        <v>1.5260075783672062</v>
      </c>
      <c r="AO162" s="1224">
        <v>1.6931568319497416</v>
      </c>
      <c r="AP162" s="1224">
        <v>1.699714635140644</v>
      </c>
      <c r="AQ162" s="1224">
        <v>1.8903195040534098</v>
      </c>
      <c r="AR162" s="1224">
        <v>1.5382186269844702</v>
      </c>
      <c r="AS162" s="1224">
        <v>1.5583758559030054</v>
      </c>
      <c r="AT162" s="1224">
        <v>1.3607897440478849</v>
      </c>
      <c r="AU162" s="1222">
        <v>1.5540963101938718</v>
      </c>
      <c r="AV162" s="1076">
        <v>1.3982853696363946</v>
      </c>
      <c r="AW162" s="1076">
        <v>1.3809057926704986</v>
      </c>
      <c r="AX162" s="1076">
        <v>1.395232998518031</v>
      </c>
      <c r="AY162" s="1076">
        <v>1.4716496978726932</v>
      </c>
      <c r="AZ162" s="1076">
        <v>1.4747697496432746</v>
      </c>
      <c r="BA162" s="1076">
        <v>1.828931368257211</v>
      </c>
      <c r="BB162" s="1076">
        <v>1.6336731486055598</v>
      </c>
      <c r="BC162" s="1076">
        <v>1.5904957328731988</v>
      </c>
      <c r="BD162" s="1076">
        <v>1.5365891533056406</v>
      </c>
      <c r="BE162" s="1076">
        <v>1.6925244488645788</v>
      </c>
      <c r="BF162" s="1076">
        <v>1.3813264304204234</v>
      </c>
      <c r="BG162" s="1225">
        <v>1.3620658628756521</v>
      </c>
      <c r="BH162" s="1225">
        <v>1.4110514731436075</v>
      </c>
      <c r="BI162" s="1225">
        <v>1.4077942497753815</v>
      </c>
      <c r="BJ162" s="1225">
        <v>1.5905792201938243</v>
      </c>
      <c r="BK162" s="1225">
        <v>1.5248926848696727</v>
      </c>
      <c r="BL162" s="1225">
        <v>1.5286905566824434</v>
      </c>
      <c r="BM162" s="1225">
        <v>1.6269848310121529</v>
      </c>
      <c r="BN162" s="1225">
        <v>1.6276581693303398</v>
      </c>
      <c r="BO162" s="1225">
        <v>1.5519604283899078</v>
      </c>
      <c r="BP162" s="1225">
        <v>1.5998903462527945</v>
      </c>
      <c r="BQ162" s="1225">
        <v>1.5583456987406314</v>
      </c>
      <c r="BR162" s="1225">
        <v>1.6414453043296378</v>
      </c>
      <c r="BS162" s="1226">
        <v>1.7980869089915275</v>
      </c>
      <c r="BT162" s="1227">
        <v>1.5423175666855222</v>
      </c>
      <c r="BU162" s="1227">
        <v>1.5174044302186009</v>
      </c>
      <c r="BV162" s="1227">
        <v>1.7961806498325636</v>
      </c>
      <c r="BW162" s="1227">
        <v>1.9138730144444944</v>
      </c>
      <c r="BX162" s="1227">
        <v>1.7799774211757116</v>
      </c>
      <c r="BY162" s="1227">
        <v>1.7178734890271095</v>
      </c>
      <c r="BZ162" s="1227">
        <v>1.7337649674324276</v>
      </c>
      <c r="CA162" s="1227">
        <v>1.7448140200286126</v>
      </c>
      <c r="CB162" s="1227">
        <v>1.9073730450259399</v>
      </c>
      <c r="CC162" s="1227">
        <v>1.646775052470006</v>
      </c>
      <c r="CD162" s="1227">
        <v>1.6596783699587434</v>
      </c>
      <c r="CE162" s="1228">
        <v>1.6721066451221975</v>
      </c>
      <c r="CF162" s="1229">
        <v>1.7190204081632654</v>
      </c>
      <c r="CG162" s="1229">
        <v>1.8782491901714464</v>
      </c>
      <c r="CH162" s="1229">
        <v>1.8507228558104043</v>
      </c>
      <c r="CI162" s="1229">
        <v>1.9537554848145924</v>
      </c>
      <c r="CJ162" s="1229">
        <v>1.6839812456159775</v>
      </c>
      <c r="CK162" s="1229">
        <v>1.6600225102566895</v>
      </c>
      <c r="CL162" s="1229">
        <v>1.6667786863821363</v>
      </c>
      <c r="CM162" s="1229">
        <v>1.8239177732763145</v>
      </c>
      <c r="CN162" s="1229">
        <v>1.9224029134965557</v>
      </c>
      <c r="CO162" s="1229">
        <v>1.8506418146650265</v>
      </c>
      <c r="CP162" s="1229">
        <v>1.7518845297241736</v>
      </c>
      <c r="CQ162" s="1230">
        <v>1.9224746560463428</v>
      </c>
      <c r="CR162" s="1231">
        <v>1.8969080487607974</v>
      </c>
      <c r="CS162" s="1231">
        <v>1.9003425876122302</v>
      </c>
      <c r="CT162" s="1231">
        <v>1.688665826797253</v>
      </c>
      <c r="CU162" s="1231">
        <v>1.8643288790535359</v>
      </c>
      <c r="CV162" s="1231">
        <v>1.4636785212409467</v>
      </c>
      <c r="CW162" s="1231">
        <v>1.506</v>
      </c>
      <c r="CX162" s="1231">
        <v>1.5569992285032965</v>
      </c>
      <c r="CY162" s="1231">
        <v>1.5576229534982517</v>
      </c>
      <c r="CZ162" s="1231">
        <v>1.5473868494266132</v>
      </c>
      <c r="DA162" s="1231">
        <v>1.4604352331606216</v>
      </c>
      <c r="DB162" s="1232">
        <v>1.597670699901663</v>
      </c>
      <c r="DC162" s="1233">
        <v>1.693192447600901</v>
      </c>
      <c r="DD162" s="1233">
        <v>1.761446627074768</v>
      </c>
      <c r="DE162" s="1233">
        <v>1.7137436384352447</v>
      </c>
      <c r="DF162" s="1233">
        <v>1.633445777213739</v>
      </c>
      <c r="DG162" s="1233">
        <v>1.6188642378950646</v>
      </c>
      <c r="DH162" s="1233">
        <v>1.624606908647247</v>
      </c>
      <c r="DI162" s="1233">
        <v>1.57021708527821</v>
      </c>
      <c r="DJ162" s="1233">
        <v>1.5267614668263843</v>
      </c>
      <c r="DK162" s="1233">
        <v>1.6950177642980937</v>
      </c>
      <c r="DL162" s="1233">
        <v>1.7444470262299479</v>
      </c>
      <c r="DM162" s="1233">
        <v>1.7036130597838073</v>
      </c>
      <c r="DN162" s="1234">
        <v>1.616211786001609</v>
      </c>
      <c r="DO162" s="1233">
        <v>1.6987539232493736</v>
      </c>
      <c r="DP162" s="1233">
        <v>1.579459157351677</v>
      </c>
      <c r="DQ162" s="1233">
        <v>1.5138002274254407</v>
      </c>
      <c r="DR162" s="1233">
        <v>1.72717156507015</v>
      </c>
      <c r="DS162" s="1233">
        <v>1.7815847810291299</v>
      </c>
      <c r="DT162" s="1233">
        <v>1.6742451238798106</v>
      </c>
      <c r="DU162" s="1233">
        <v>1.583634734830387</v>
      </c>
      <c r="DV162" s="1233">
        <v>1.7091557113643001</v>
      </c>
      <c r="DW162" s="1233">
        <v>1.5427667182579925</v>
      </c>
      <c r="DX162" s="1233">
        <v>1.9779071780169852</v>
      </c>
      <c r="DY162" s="1233">
        <v>1.631891159812854</v>
      </c>
      <c r="DZ162" s="1233">
        <v>1.4956333481040704</v>
      </c>
      <c r="EA162" s="1077"/>
      <c r="EB162" s="1235">
        <v>1.5658794264474005</v>
      </c>
      <c r="EC162" s="1236">
        <v>1.7481194270353186</v>
      </c>
      <c r="ED162" s="1236">
        <v>1.6433366626239554</v>
      </c>
      <c r="EE162" s="1236">
        <v>1.5809910504582225</v>
      </c>
      <c r="EF162" s="1236">
        <v>1.5238150633638448</v>
      </c>
      <c r="EG162" s="1236">
        <v>1.5319552723234027</v>
      </c>
      <c r="EH162" s="1236">
        <v>1.7247624842046161</v>
      </c>
      <c r="EI162" s="1236">
        <v>1.7850621547184817</v>
      </c>
      <c r="EJ162" s="1236">
        <f t="shared" si="22"/>
        <v>1.6635427903334625</v>
      </c>
      <c r="EK162" s="1237">
        <v>1.6547280822754968</v>
      </c>
      <c r="EL162" s="1236">
        <f t="shared" si="23"/>
        <v>1.6596669690326806</v>
      </c>
      <c r="EM162" s="1329">
        <v>1.6423623189934953</v>
      </c>
    </row>
    <row r="163" spans="1:143">
      <c r="A163" s="998"/>
      <c r="B163" s="1114" t="s">
        <v>719</v>
      </c>
      <c r="C163" s="1115" t="s">
        <v>720</v>
      </c>
      <c r="D163" s="1221">
        <v>1.611144578313253</v>
      </c>
      <c r="E163" s="1221">
        <v>1.2671075330649799</v>
      </c>
      <c r="F163" s="1221">
        <v>1.0920582577631217</v>
      </c>
      <c r="G163" s="1221">
        <v>1.1363502791654423</v>
      </c>
      <c r="H163" s="1221">
        <v>1.5124001681378731</v>
      </c>
      <c r="I163" s="1221">
        <v>1.1286011286011286</v>
      </c>
      <c r="J163" s="1221">
        <v>1.1895946377274178</v>
      </c>
      <c r="K163" s="1222">
        <v>1.1388595564941921</v>
      </c>
      <c r="L163" s="1076">
        <v>1.1225490196078429</v>
      </c>
      <c r="M163" s="1076">
        <v>1.2524127691165556</v>
      </c>
      <c r="N163" s="1076">
        <v>1.0469779432827271</v>
      </c>
      <c r="O163" s="1076">
        <v>1.1379760041731872</v>
      </c>
      <c r="P163" s="1076">
        <v>1.0682204418548191</v>
      </c>
      <c r="Q163" s="1076">
        <v>1.0619600098741051</v>
      </c>
      <c r="R163" s="1076">
        <v>1.0773309765797614</v>
      </c>
      <c r="S163" s="1076">
        <v>1.0800211976682565</v>
      </c>
      <c r="T163" s="1076">
        <v>1.082405935347112</v>
      </c>
      <c r="U163" s="1076">
        <v>1.0643113441898979</v>
      </c>
      <c r="V163" s="1223">
        <v>1.0815145937417832</v>
      </c>
      <c r="W163" s="1222">
        <v>1.075613907123754</v>
      </c>
      <c r="X163" s="1076">
        <v>1.078940916891395</v>
      </c>
      <c r="Y163" s="1076">
        <v>1.0660024906600249</v>
      </c>
      <c r="Z163" s="1076">
        <v>1.1073525300531173</v>
      </c>
      <c r="AA163" s="1076">
        <v>1.0563616071428574</v>
      </c>
      <c r="AB163" s="1076">
        <v>1.0763496143958868</v>
      </c>
      <c r="AC163" s="1076">
        <v>1.0727272727272725</v>
      </c>
      <c r="AD163" s="1076">
        <v>1.0795107033639144</v>
      </c>
      <c r="AE163" s="1076">
        <v>1.1102467811158796</v>
      </c>
      <c r="AF163" s="1076">
        <v>1.0668523676880222</v>
      </c>
      <c r="AG163" s="1076">
        <v>1.0886352598348714</v>
      </c>
      <c r="AH163" s="1223">
        <v>1.0711297071129706</v>
      </c>
      <c r="AI163" s="1224">
        <v>1.0645248380129588</v>
      </c>
      <c r="AJ163" s="1224">
        <v>1.0815934065934065</v>
      </c>
      <c r="AK163" s="1224">
        <v>1.0580964153275652</v>
      </c>
      <c r="AL163" s="1224">
        <v>1.0833112231361104</v>
      </c>
      <c r="AM163" s="1224">
        <v>1.071687370600414</v>
      </c>
      <c r="AN163" s="1224">
        <v>1.0549193128578866</v>
      </c>
      <c r="AO163" s="1224">
        <v>1.0842545563190917</v>
      </c>
      <c r="AP163" s="1224">
        <v>1.0936849410131853</v>
      </c>
      <c r="AQ163" s="1224">
        <v>1.105130361648444</v>
      </c>
      <c r="AR163" s="1224">
        <v>1.1000000000000001</v>
      </c>
      <c r="AS163" s="1224">
        <v>1.1038461538461541</v>
      </c>
      <c r="AT163" s="1224">
        <v>1.1175721561969441</v>
      </c>
      <c r="AU163" s="1222">
        <v>1.1047162270183852</v>
      </c>
      <c r="AV163" s="1076">
        <v>1.1186502177068214</v>
      </c>
      <c r="AW163" s="1076">
        <v>1.1083113952613766</v>
      </c>
      <c r="AX163" s="1076">
        <v>1.1748373101952279</v>
      </c>
      <c r="AY163" s="1076">
        <v>1.1096491228070176</v>
      </c>
      <c r="AZ163" s="1076">
        <v>1.114881439084219</v>
      </c>
      <c r="BA163" s="1076">
        <v>1.1039898132427843</v>
      </c>
      <c r="BB163" s="1076">
        <v>1.0976284584980238</v>
      </c>
      <c r="BC163" s="1076">
        <v>1.0963572267920094</v>
      </c>
      <c r="BD163" s="1076">
        <v>1.0802395209580837</v>
      </c>
      <c r="BE163" s="1076">
        <v>1.0956728860658991</v>
      </c>
      <c r="BF163" s="1076">
        <v>1.0788321167883215</v>
      </c>
      <c r="BG163" s="1225">
        <v>1.143859649122807</v>
      </c>
      <c r="BH163" s="1225">
        <v>1.1262445240939865</v>
      </c>
      <c r="BI163" s="1225">
        <v>1.1008369868473498</v>
      </c>
      <c r="BJ163" s="1225">
        <v>1.1467680608365021</v>
      </c>
      <c r="BK163" s="1225">
        <v>1.2167269802975476</v>
      </c>
      <c r="BL163" s="1225">
        <v>1.0850340136054422</v>
      </c>
      <c r="BM163" s="1225">
        <v>1.1239161849710981</v>
      </c>
      <c r="BN163" s="1225">
        <v>1.0858034321372854</v>
      </c>
      <c r="BO163" s="1225">
        <v>1.0537906137184117</v>
      </c>
      <c r="BP163" s="1225">
        <v>1.0736917052331791</v>
      </c>
      <c r="BQ163" s="1225">
        <v>1.1039236479321313</v>
      </c>
      <c r="BR163" s="1225">
        <v>1.1068308181096107</v>
      </c>
      <c r="BS163" s="1226">
        <v>1.1255794353139486</v>
      </c>
      <c r="BT163" s="1227">
        <v>1.1423626135871916</v>
      </c>
      <c r="BU163" s="1227">
        <v>1.1550985432733507</v>
      </c>
      <c r="BV163" s="1227">
        <v>1.1113989637305699</v>
      </c>
      <c r="BW163" s="1227">
        <v>1.1034635879218473</v>
      </c>
      <c r="BX163" s="1227">
        <v>1.1012037449843959</v>
      </c>
      <c r="BY163" s="1227">
        <v>1.2351555136663526</v>
      </c>
      <c r="BZ163" s="1227">
        <v>1.1130546075085321</v>
      </c>
      <c r="CA163" s="1227">
        <v>1.1138592750533047</v>
      </c>
      <c r="CB163" s="1227">
        <v>1.1070840197693574</v>
      </c>
      <c r="CC163" s="1227">
        <v>1.0862903225806451</v>
      </c>
      <c r="CD163" s="1227">
        <v>1.098360655737705</v>
      </c>
      <c r="CE163" s="1228">
        <v>1.1017090454355982</v>
      </c>
      <c r="CF163" s="1229">
        <v>1.1283400809716602</v>
      </c>
      <c r="CG163" s="1229">
        <v>1.1174603174603177</v>
      </c>
      <c r="CH163" s="1229">
        <v>1.1191471571906355</v>
      </c>
      <c r="CI163" s="1229">
        <v>1.1487424111014743</v>
      </c>
      <c r="CJ163" s="1229">
        <v>1.1549614861803352</v>
      </c>
      <c r="CK163" s="1229">
        <v>1.1145391438488239</v>
      </c>
      <c r="CL163" s="1229">
        <v>1.2025213501423342</v>
      </c>
      <c r="CM163" s="1229">
        <v>1.1694977843426884</v>
      </c>
      <c r="CN163" s="1229">
        <v>1.2066616199848599</v>
      </c>
      <c r="CO163" s="1229">
        <v>1.1958680969408026</v>
      </c>
      <c r="CP163" s="1229">
        <v>1.0961765865195112</v>
      </c>
      <c r="CQ163" s="1230">
        <v>1.1206604572396275</v>
      </c>
      <c r="CR163" s="1231">
        <v>1.1857923497267759</v>
      </c>
      <c r="CS163" s="1231">
        <v>1.1370164857257741</v>
      </c>
      <c r="CT163" s="1231">
        <v>1.1456270627062706</v>
      </c>
      <c r="CU163" s="1231">
        <v>1.2227529309596179</v>
      </c>
      <c r="CV163" s="1231">
        <v>1.1551706700379267</v>
      </c>
      <c r="CW163" s="1231">
        <v>1.1419999999999999</v>
      </c>
      <c r="CX163" s="1231">
        <v>1.2117108028583439</v>
      </c>
      <c r="CY163" s="1231">
        <v>1.1499999999999999</v>
      </c>
      <c r="CZ163" s="1231">
        <v>1.1595937140666923</v>
      </c>
      <c r="DA163" s="1231">
        <v>1.2808437394532568</v>
      </c>
      <c r="DB163" s="1232">
        <v>1.2293536540580241</v>
      </c>
      <c r="DC163" s="1233">
        <v>1.1221514242878561</v>
      </c>
      <c r="DD163" s="1233">
        <v>1.1507102728731944</v>
      </c>
      <c r="DE163" s="1233">
        <v>1.1116993281075029</v>
      </c>
      <c r="DF163" s="1233">
        <v>1.1064707721162865</v>
      </c>
      <c r="DG163" s="1233">
        <v>1.1059470636889992</v>
      </c>
      <c r="DH163" s="1233">
        <v>1.1177594627594627</v>
      </c>
      <c r="DI163" s="1233">
        <v>1.0975082399472644</v>
      </c>
      <c r="DJ163" s="1233">
        <v>1.1175693860386879</v>
      </c>
      <c r="DK163" s="1233">
        <v>1.0989329173166924</v>
      </c>
      <c r="DL163" s="1233">
        <v>1.0816156250000002</v>
      </c>
      <c r="DM163" s="1233">
        <v>1.1604170771756979</v>
      </c>
      <c r="DN163" s="1234">
        <v>1.2137904124860646</v>
      </c>
      <c r="DO163" s="1233">
        <v>1.1272231314784504</v>
      </c>
      <c r="DP163" s="1233">
        <v>1.1703204005006258</v>
      </c>
      <c r="DQ163" s="1233">
        <v>1.1382828729281766</v>
      </c>
      <c r="DR163" s="1233">
        <v>1.1565770142180096</v>
      </c>
      <c r="DS163" s="1233">
        <v>1.1377743865948533</v>
      </c>
      <c r="DT163" s="1233">
        <v>1.1938772663877266</v>
      </c>
      <c r="DU163" s="1233">
        <v>1.1525867136978249</v>
      </c>
      <c r="DV163" s="1233">
        <v>1.1572473867595818</v>
      </c>
      <c r="DW163" s="1233">
        <v>1.1492109777015436</v>
      </c>
      <c r="DX163" s="1233">
        <v>1.1321857619577309</v>
      </c>
      <c r="DY163" s="1233">
        <v>1.1577660818713449</v>
      </c>
      <c r="DZ163" s="1233">
        <v>1.1322744881018263</v>
      </c>
      <c r="EA163" s="1077"/>
      <c r="EB163" s="1235">
        <v>1.2642281790571768</v>
      </c>
      <c r="EC163" s="1236">
        <v>1.1016646593255335</v>
      </c>
      <c r="ED163" s="1236">
        <v>1.0789147384570119</v>
      </c>
      <c r="EE163" s="1236">
        <v>1.0813210135362474</v>
      </c>
      <c r="EF163" s="1236">
        <v>1.1063646313555109</v>
      </c>
      <c r="EG163" s="1236">
        <v>1.1129848762893122</v>
      </c>
      <c r="EH163" s="1236">
        <v>1.1236695387734417</v>
      </c>
      <c r="EI163" s="1236">
        <v>1.1466890756302524</v>
      </c>
      <c r="EJ163" s="1236">
        <f t="shared" si="22"/>
        <v>1.1783768222360258</v>
      </c>
      <c r="EK163" s="1237">
        <v>1.1227316829207303</v>
      </c>
      <c r="EL163" s="1236">
        <f t="shared" si="23"/>
        <v>1.1504438735164746</v>
      </c>
      <c r="EM163" s="1329">
        <v>1.1485834897062139</v>
      </c>
    </row>
    <row r="164" spans="1:143">
      <c r="A164" s="998"/>
      <c r="B164" s="1215" t="s">
        <v>739</v>
      </c>
      <c r="C164" s="1242"/>
      <c r="D164" s="1216">
        <v>1.8106157708988113</v>
      </c>
      <c r="E164" s="1216">
        <v>1.833746710625813</v>
      </c>
      <c r="F164" s="1216">
        <v>1.7672931524478523</v>
      </c>
      <c r="G164" s="1216">
        <v>1.6189776733254995</v>
      </c>
      <c r="H164" s="1216">
        <v>1.4958845447972859</v>
      </c>
      <c r="I164" s="1216">
        <v>1.4254463757833746</v>
      </c>
      <c r="J164" s="1216">
        <v>1.5307594633886017</v>
      </c>
      <c r="K164" s="1054">
        <v>1.5162580477336283</v>
      </c>
      <c r="L164" s="1055">
        <v>1.6208865071911311</v>
      </c>
      <c r="M164" s="1055">
        <v>1.6879823246271597</v>
      </c>
      <c r="N164" s="1055">
        <v>1.5870282750434932</v>
      </c>
      <c r="O164" s="1055">
        <v>1.4675828344996191</v>
      </c>
      <c r="P164" s="1055">
        <v>1.5375833632126208</v>
      </c>
      <c r="Q164" s="1055">
        <v>1.5160014626813116</v>
      </c>
      <c r="R164" s="1055">
        <v>1.723124550669777</v>
      </c>
      <c r="S164" s="1055">
        <v>1.5903832872928174</v>
      </c>
      <c r="T164" s="1055">
        <v>1.6975256808576138</v>
      </c>
      <c r="U164" s="1055">
        <v>1.6915349304460647</v>
      </c>
      <c r="V164" s="1243">
        <v>1.6454019109863964</v>
      </c>
      <c r="W164" s="1054">
        <v>1.5855684906918306</v>
      </c>
      <c r="X164" s="1055">
        <v>1.5675013930869115</v>
      </c>
      <c r="Y164" s="1055">
        <v>1.4454795863918888</v>
      </c>
      <c r="Z164" s="1055">
        <v>1.6024933546812574</v>
      </c>
      <c r="AA164" s="1055">
        <v>1.5437115957699301</v>
      </c>
      <c r="AB164" s="1055">
        <v>1.5284149669187745</v>
      </c>
      <c r="AC164" s="1055">
        <v>1.5121784712909916</v>
      </c>
      <c r="AD164" s="1055">
        <v>1.4758732219526922</v>
      </c>
      <c r="AE164" s="1055">
        <v>1.4456065569457062</v>
      </c>
      <c r="AF164" s="1055">
        <v>1.4602556394908117</v>
      </c>
      <c r="AG164" s="1055">
        <v>1.4746197100488361</v>
      </c>
      <c r="AH164" s="1243">
        <v>1.6856661303914804</v>
      </c>
      <c r="AI164" s="1244">
        <v>1.4731815261617527</v>
      </c>
      <c r="AJ164" s="1244">
        <v>1.596584761576215</v>
      </c>
      <c r="AK164" s="1244">
        <v>1.452433495165109</v>
      </c>
      <c r="AL164" s="1244">
        <v>1.4562845681638612</v>
      </c>
      <c r="AM164" s="1244">
        <v>1.4372808084856645</v>
      </c>
      <c r="AN164" s="1244">
        <v>1.4648915301177028</v>
      </c>
      <c r="AO164" s="1244">
        <v>1.5372950819672133</v>
      </c>
      <c r="AP164" s="1244">
        <v>1.562738888282188</v>
      </c>
      <c r="AQ164" s="1244">
        <v>1.5036232519783126</v>
      </c>
      <c r="AR164" s="1244">
        <v>1.4167190822775326</v>
      </c>
      <c r="AS164" s="1244">
        <v>1.3580221471162042</v>
      </c>
      <c r="AT164" s="1244">
        <v>1.3373565492679063</v>
      </c>
      <c r="AU164" s="1054">
        <v>1.4257524867588163</v>
      </c>
      <c r="AV164" s="1055">
        <v>1.4581856618790028</v>
      </c>
      <c r="AW164" s="1055">
        <v>1.4230868517668664</v>
      </c>
      <c r="AX164" s="1055">
        <v>1.4124999999999996</v>
      </c>
      <c r="AY164" s="1055">
        <v>1.4224181542241807</v>
      </c>
      <c r="AZ164" s="1055">
        <v>1.4943191800878481</v>
      </c>
      <c r="BA164" s="1055">
        <v>1.4945638690658603</v>
      </c>
      <c r="BB164" s="1055">
        <v>1.4536800927267457</v>
      </c>
      <c r="BC164" s="1055">
        <v>1.444363987448708</v>
      </c>
      <c r="BD164" s="1055">
        <v>1.4670198386149822</v>
      </c>
      <c r="BE164" s="1055">
        <v>1.4867032444083652</v>
      </c>
      <c r="BF164" s="1055">
        <v>1.402649926055594</v>
      </c>
      <c r="BG164" s="1245">
        <v>1.4520150579339339</v>
      </c>
      <c r="BH164" s="1245">
        <v>1.4660728971092534</v>
      </c>
      <c r="BI164" s="1245">
        <v>1.4548635509729968</v>
      </c>
      <c r="BJ164" s="1245">
        <v>1.4701030313858616</v>
      </c>
      <c r="BK164" s="1245">
        <v>1.4823616058679423</v>
      </c>
      <c r="BL164" s="1245">
        <v>1.5006841904276995</v>
      </c>
      <c r="BM164" s="1245">
        <v>1.5465950372514012</v>
      </c>
      <c r="BN164" s="1245">
        <v>1.5406396828122308</v>
      </c>
      <c r="BO164" s="1245">
        <v>1.4740190716805563</v>
      </c>
      <c r="BP164" s="1245">
        <v>1.4765625000000004</v>
      </c>
      <c r="BQ164" s="1245">
        <v>1.4343376191390005</v>
      </c>
      <c r="BR164" s="1245">
        <v>1.4973619201561497</v>
      </c>
      <c r="BS164" s="1246">
        <v>1.586811407422094</v>
      </c>
      <c r="BT164" s="1247">
        <v>1.4834098497495822</v>
      </c>
      <c r="BU164" s="1247">
        <v>1.446267967285275</v>
      </c>
      <c r="BV164" s="1247">
        <v>1.5131745362563247</v>
      </c>
      <c r="BW164" s="1247">
        <v>1.7178114778471598</v>
      </c>
      <c r="BX164" s="1247">
        <v>1.6212152619432576</v>
      </c>
      <c r="BY164" s="1247">
        <v>1.5225538971807624</v>
      </c>
      <c r="BZ164" s="1247">
        <v>1.5877757598418887</v>
      </c>
      <c r="CA164" s="1247">
        <v>1.5317353761912291</v>
      </c>
      <c r="CB164" s="1247">
        <v>1.5543017981227141</v>
      </c>
      <c r="CC164" s="1247">
        <v>1.508808541056565</v>
      </c>
      <c r="CD164" s="1247">
        <v>1.4702032479394709</v>
      </c>
      <c r="CE164" s="1248">
        <v>1.4864887029974991</v>
      </c>
      <c r="CF164" s="1249">
        <v>1.5299940011997593</v>
      </c>
      <c r="CG164" s="1249">
        <v>1.6227227766161252</v>
      </c>
      <c r="CH164" s="1249">
        <v>1.5820032795845855</v>
      </c>
      <c r="CI164" s="1249">
        <v>1.6833474777405386</v>
      </c>
      <c r="CJ164" s="1249">
        <v>1.557760332425999</v>
      </c>
      <c r="CK164" s="1249">
        <v>1.5620696716066447</v>
      </c>
      <c r="CL164" s="1249">
        <v>1.5471966494132532</v>
      </c>
      <c r="CM164" s="1249">
        <v>1.6257261518158639</v>
      </c>
      <c r="CN164" s="1249">
        <v>1.7128684134146019</v>
      </c>
      <c r="CO164" s="1249">
        <v>1.6453926933885523</v>
      </c>
      <c r="CP164" s="1249">
        <v>1.6374693406434857</v>
      </c>
      <c r="CQ164" s="1250">
        <v>1.7236890808143117</v>
      </c>
      <c r="CR164" s="1251">
        <v>1.7008673425428633</v>
      </c>
      <c r="CS164" s="1251">
        <v>1.6782585074123992</v>
      </c>
      <c r="CT164" s="1251">
        <v>1.5887983706720976</v>
      </c>
      <c r="CU164" s="1251">
        <v>1.6841479486591788</v>
      </c>
      <c r="CV164" s="1251">
        <v>1.4952671549034269</v>
      </c>
      <c r="CW164" s="1251">
        <v>1.55</v>
      </c>
      <c r="CX164" s="1251">
        <v>1.5471902969691329</v>
      </c>
      <c r="CY164" s="1251">
        <v>1.588501373998529</v>
      </c>
      <c r="CZ164" s="1251">
        <v>1.5915208509982273</v>
      </c>
      <c r="DA164" s="1251">
        <v>1.5819987713478316</v>
      </c>
      <c r="DB164" s="1252">
        <v>1.6192036205754659</v>
      </c>
      <c r="DC164" s="1253">
        <v>1.5241505662891408</v>
      </c>
      <c r="DD164" s="1253">
        <v>1.5359896316929742</v>
      </c>
      <c r="DE164" s="1253">
        <v>1.5973447964966516</v>
      </c>
      <c r="DF164" s="1253">
        <v>1.5725962179569026</v>
      </c>
      <c r="DG164" s="1253">
        <v>1.6142227529926925</v>
      </c>
      <c r="DH164" s="1253">
        <v>1.5927421015776244</v>
      </c>
      <c r="DI164" s="1253">
        <v>1.5766356165815294</v>
      </c>
      <c r="DJ164" s="1253">
        <v>1.5452115965924704</v>
      </c>
      <c r="DK164" s="1253">
        <v>1.6246201774421598</v>
      </c>
      <c r="DL164" s="1253">
        <v>1.6398696658172971</v>
      </c>
      <c r="DM164" s="1253">
        <v>1.6148267517966213</v>
      </c>
      <c r="DN164" s="1254">
        <v>1.5875554479083767</v>
      </c>
      <c r="DO164" s="1253">
        <v>1.5908663855647931</v>
      </c>
      <c r="DP164" s="1253">
        <v>1.5447838207945903</v>
      </c>
      <c r="DQ164" s="1253">
        <v>1.5352924353219231</v>
      </c>
      <c r="DR164" s="1253">
        <v>1.5518293585189791</v>
      </c>
      <c r="DS164" s="1253">
        <v>1.5985168558800589</v>
      </c>
      <c r="DT164" s="1253">
        <v>1.5677720905604662</v>
      </c>
      <c r="DU164" s="1253">
        <v>1.5284319261865096</v>
      </c>
      <c r="DV164" s="1253">
        <v>1.5423204329822964</v>
      </c>
      <c r="DW164" s="1253">
        <v>1.5023601019156363</v>
      </c>
      <c r="DX164" s="1253">
        <v>1.7117960616909946</v>
      </c>
      <c r="DY164" s="1253">
        <v>1.5002662532911648</v>
      </c>
      <c r="DZ164" s="1253">
        <v>1.5053629032258067</v>
      </c>
      <c r="EA164" s="1056"/>
      <c r="EB164" s="1255">
        <v>1.6356431667339557</v>
      </c>
      <c r="EC164" s="1256">
        <v>1.6057938243455157</v>
      </c>
      <c r="ED164" s="1256">
        <v>1.5220293541559098</v>
      </c>
      <c r="EE164" s="1256">
        <v>1.4659289769997994</v>
      </c>
      <c r="EF164" s="1256">
        <v>1.4492757532766738</v>
      </c>
      <c r="EG164" s="1256">
        <v>1.4819725113160365</v>
      </c>
      <c r="EH164" s="1256">
        <v>1.5431726537902082</v>
      </c>
      <c r="EI164" s="1256">
        <v>1.5994361485288919</v>
      </c>
      <c r="EJ164" s="1256">
        <f t="shared" si="22"/>
        <v>1.6124536099077886</v>
      </c>
      <c r="EK164" s="1257">
        <v>1.5855894194982867</v>
      </c>
      <c r="EL164" s="1256">
        <f t="shared" si="23"/>
        <v>1.5566332188277681</v>
      </c>
      <c r="EM164" s="1330">
        <v>1.5448134813886878</v>
      </c>
    </row>
    <row r="165" spans="1:143">
      <c r="A165" s="1258"/>
      <c r="B165" s="1259"/>
      <c r="C165" s="1197"/>
      <c r="D165" s="1260"/>
      <c r="E165" s="1260"/>
      <c r="F165" s="1261"/>
      <c r="G165" s="1197"/>
      <c r="H165" s="1197"/>
      <c r="I165" s="1261"/>
      <c r="J165" s="1261"/>
      <c r="K165" s="1261"/>
      <c r="L165" s="1261"/>
      <c r="M165" s="1261"/>
      <c r="N165" s="1261"/>
      <c r="O165" s="1261"/>
      <c r="P165" s="1261"/>
      <c r="Q165" s="1261"/>
      <c r="R165" s="1261"/>
      <c r="S165" s="1261"/>
      <c r="T165" s="1261"/>
      <c r="U165" s="1261"/>
      <c r="V165" s="1261"/>
      <c r="W165" s="1261"/>
      <c r="X165" s="1261"/>
      <c r="Y165" s="1261"/>
      <c r="Z165" s="1261"/>
      <c r="AA165" s="1261"/>
      <c r="AB165" s="1261"/>
      <c r="AC165" s="1261"/>
      <c r="AD165" s="1261"/>
      <c r="AE165" s="1261"/>
      <c r="AF165" s="1261"/>
      <c r="AG165" s="1261"/>
      <c r="AH165" s="1261"/>
      <c r="AI165" s="1261"/>
      <c r="AJ165" s="1261"/>
      <c r="AK165" s="1261"/>
      <c r="AL165" s="1261"/>
      <c r="AM165" s="1261"/>
      <c r="AN165" s="1261"/>
      <c r="AO165" s="1261"/>
      <c r="AP165" s="1261"/>
      <c r="AQ165" s="1261"/>
      <c r="AR165" s="1261"/>
      <c r="AS165" s="1261"/>
      <c r="AT165" s="1261"/>
      <c r="AU165" s="1261"/>
      <c r="AV165" s="1261"/>
      <c r="AW165" s="1261"/>
      <c r="AX165" s="1261"/>
      <c r="AY165" s="1261"/>
      <c r="AZ165" s="1261"/>
      <c r="BA165" s="1261"/>
      <c r="BB165" s="1261"/>
      <c r="BC165" s="1261"/>
      <c r="BD165" s="1261"/>
      <c r="BE165" s="1261"/>
      <c r="BF165" s="1261"/>
      <c r="BG165" s="1261"/>
      <c r="BH165" s="1261"/>
      <c r="BI165" s="1261"/>
      <c r="BJ165" s="1261"/>
      <c r="BK165" s="1261"/>
      <c r="BL165" s="1261"/>
      <c r="BM165" s="1261"/>
      <c r="BN165" s="1261"/>
      <c r="BO165" s="1261"/>
      <c r="BP165" s="1261"/>
      <c r="BQ165" s="1261"/>
      <c r="BR165" s="1261"/>
      <c r="BS165" s="1261"/>
      <c r="BT165" s="1261"/>
      <c r="BU165" s="1261"/>
      <c r="BV165" s="1261"/>
      <c r="BW165" s="1261"/>
      <c r="BX165" s="1261"/>
      <c r="BY165" s="1261"/>
      <c r="BZ165" s="1261"/>
      <c r="CA165" s="1261"/>
      <c r="CB165" s="1261"/>
      <c r="CC165" s="1261"/>
      <c r="CD165" s="1261"/>
      <c r="CE165" s="1261"/>
      <c r="CF165" s="1261"/>
      <c r="CG165" s="1261"/>
      <c r="CH165" s="1261"/>
      <c r="CI165" s="1261"/>
      <c r="CJ165" s="1261"/>
      <c r="CK165" s="1261"/>
      <c r="CL165" s="1261"/>
      <c r="CM165" s="1261"/>
      <c r="CN165" s="1261"/>
      <c r="CO165" s="1261"/>
      <c r="CP165" s="1261"/>
      <c r="CQ165" s="1261"/>
      <c r="CR165" s="1261"/>
      <c r="CS165" s="1261"/>
      <c r="CT165" s="1261"/>
      <c r="CU165" s="1261"/>
      <c r="CV165" s="1261"/>
      <c r="CW165" s="1261"/>
      <c r="CX165" s="1261"/>
      <c r="CY165" s="1261"/>
      <c r="CZ165" s="1261"/>
      <c r="DA165" s="1261"/>
      <c r="DB165" s="1261"/>
      <c r="DC165" s="1261"/>
      <c r="DD165" s="1261"/>
      <c r="DE165" s="1261"/>
      <c r="DF165" s="1261"/>
      <c r="DG165" s="1261"/>
      <c r="DH165" s="1261"/>
      <c r="DI165" s="1261"/>
      <c r="DJ165" s="1261"/>
      <c r="DK165" s="1261"/>
      <c r="DL165" s="1261"/>
      <c r="DM165" s="1261"/>
      <c r="DN165" s="1261"/>
      <c r="DO165" s="1261"/>
      <c r="DP165" s="1261"/>
      <c r="DQ165" s="1261"/>
      <c r="DR165" s="1261"/>
      <c r="DS165" s="1261"/>
      <c r="DT165" s="1261"/>
      <c r="DU165" s="1261"/>
      <c r="DV165" s="1261"/>
      <c r="DW165" s="1261"/>
      <c r="DX165" s="1261"/>
      <c r="DY165" s="1261"/>
      <c r="DZ165" s="1261"/>
      <c r="EA165" s="1261"/>
      <c r="EB165" s="1261"/>
      <c r="EC165" s="1137"/>
      <c r="ED165" s="1137"/>
      <c r="EE165" s="1137"/>
      <c r="EF165" s="1137"/>
      <c r="EG165" s="1137"/>
      <c r="EH165" s="1137"/>
      <c r="EI165" s="1137"/>
      <c r="EJ165" s="1137"/>
      <c r="EK165" s="1137"/>
      <c r="EL165" s="1137"/>
      <c r="EM165" s="1325"/>
    </row>
    <row r="166" spans="1:143" s="1271" customFormat="1">
      <c r="A166" s="1262"/>
      <c r="B166" s="1263"/>
      <c r="C166" s="1264"/>
      <c r="D166" s="1265"/>
      <c r="E166" s="1266"/>
      <c r="F166" s="1267"/>
      <c r="G166" s="1266"/>
      <c r="H166" s="1266"/>
      <c r="I166" s="1267"/>
      <c r="J166" s="1267"/>
      <c r="K166" s="1268"/>
      <c r="L166" s="1268"/>
      <c r="M166" s="1268"/>
      <c r="N166" s="1267"/>
      <c r="O166" s="1267"/>
      <c r="P166" s="1267"/>
      <c r="Q166" s="1267"/>
      <c r="R166" s="1267"/>
      <c r="S166" s="1267"/>
      <c r="T166" s="1267"/>
      <c r="U166" s="1267"/>
      <c r="V166" s="1267"/>
      <c r="W166" s="1269"/>
      <c r="X166" s="1269"/>
      <c r="Y166" s="1269"/>
      <c r="Z166" s="1269"/>
      <c r="AA166" s="1269"/>
      <c r="AB166" s="1269"/>
      <c r="AC166" s="1269"/>
      <c r="AD166" s="1269"/>
      <c r="AE166" s="1269"/>
      <c r="AF166" s="1269"/>
      <c r="AG166" s="1269"/>
      <c r="AH166" s="1269"/>
      <c r="AI166" s="1269"/>
      <c r="AJ166" s="1269"/>
      <c r="AK166" s="1269"/>
      <c r="AL166" s="1269"/>
      <c r="AM166" s="1269"/>
      <c r="AN166" s="1269"/>
      <c r="AO166" s="1269"/>
      <c r="AP166" s="1269"/>
      <c r="AQ166" s="1269"/>
      <c r="AR166" s="1269"/>
      <c r="AS166" s="1269"/>
      <c r="AT166" s="1269"/>
      <c r="AU166" s="1269"/>
      <c r="AV166" s="1269"/>
      <c r="AW166" s="1269"/>
      <c r="AX166" s="1269"/>
      <c r="AY166" s="1269"/>
      <c r="AZ166" s="1269"/>
      <c r="BA166" s="1269"/>
      <c r="BB166" s="1269"/>
      <c r="BC166" s="1269"/>
      <c r="BD166" s="1269"/>
      <c r="BE166" s="1269"/>
      <c r="BF166" s="1269"/>
      <c r="BG166" s="1269"/>
      <c r="BH166" s="1269"/>
      <c r="BI166" s="1269"/>
      <c r="BJ166" s="1269"/>
      <c r="BK166" s="1269"/>
      <c r="BL166" s="1269"/>
      <c r="BM166" s="1269"/>
      <c r="BN166" s="1269"/>
      <c r="BO166" s="1269"/>
      <c r="BP166" s="1269"/>
      <c r="BQ166" s="1269"/>
      <c r="BR166" s="1269"/>
      <c r="BS166" s="1269"/>
      <c r="BT166" s="1269"/>
      <c r="BU166" s="1269"/>
      <c r="BV166" s="1269"/>
      <c r="BW166" s="1269"/>
      <c r="BX166" s="1269"/>
      <c r="BY166" s="1269"/>
      <c r="BZ166" s="1269"/>
      <c r="CA166" s="1269"/>
      <c r="CB166" s="1269"/>
      <c r="CC166" s="1269"/>
      <c r="CD166" s="1269"/>
      <c r="CE166" s="1269"/>
      <c r="CF166" s="1269"/>
      <c r="CG166" s="1269"/>
      <c r="CH166" s="1269"/>
      <c r="CI166" s="1269"/>
      <c r="CJ166" s="1269"/>
      <c r="CK166" s="1269"/>
      <c r="CL166" s="1269"/>
      <c r="CM166" s="1269"/>
      <c r="CN166" s="1269"/>
      <c r="CO166" s="1269"/>
      <c r="CP166" s="1269"/>
      <c r="CQ166" s="1269"/>
      <c r="CR166" s="1269"/>
      <c r="CS166" s="1269"/>
      <c r="CT166" s="1269"/>
      <c r="CU166" s="1269"/>
      <c r="CV166" s="1269"/>
      <c r="CW166" s="1269"/>
      <c r="CX166" s="1269"/>
      <c r="CY166" s="1269"/>
      <c r="CZ166" s="1269"/>
      <c r="DA166" s="1269"/>
      <c r="DB166" s="1269"/>
      <c r="DC166" s="1269"/>
      <c r="DD166" s="1269"/>
      <c r="DE166" s="1269"/>
      <c r="DF166" s="1269"/>
      <c r="DG166" s="1269"/>
      <c r="DH166" s="1269"/>
      <c r="DI166" s="1269"/>
      <c r="DJ166" s="1269"/>
      <c r="DK166" s="1269"/>
      <c r="DL166" s="1269"/>
      <c r="DM166" s="1269"/>
      <c r="DN166" s="1269"/>
      <c r="DO166" s="1269"/>
      <c r="DP166" s="1269"/>
      <c r="DQ166" s="1269"/>
      <c r="DR166" s="1269"/>
      <c r="DS166" s="1269"/>
      <c r="DT166" s="1269"/>
      <c r="DU166" s="1269"/>
      <c r="DV166" s="1269"/>
      <c r="DW166" s="1269"/>
      <c r="DX166" s="1269"/>
      <c r="DY166" s="1269"/>
      <c r="DZ166" s="1269"/>
      <c r="EA166" s="1269"/>
      <c r="EB166" s="1270"/>
      <c r="EC166" s="1270"/>
      <c r="ED166" s="1270"/>
      <c r="EE166" s="1270"/>
      <c r="EF166" s="1270"/>
      <c r="EG166" s="1270"/>
      <c r="EH166" s="1270"/>
      <c r="EI166" s="1270"/>
      <c r="EJ166" s="1270"/>
      <c r="EK166" s="1270"/>
      <c r="EL166" s="1270"/>
      <c r="EM166" s="1331"/>
    </row>
    <row r="167" spans="1:143" s="1271" customFormat="1">
      <c r="B167" s="1272"/>
      <c r="C167" s="1272"/>
      <c r="D167" s="1273"/>
      <c r="E167" s="1273"/>
      <c r="F167" s="1273"/>
      <c r="G167" s="1273"/>
      <c r="H167" s="1273"/>
      <c r="I167" s="1273"/>
      <c r="J167" s="1273"/>
      <c r="K167" s="1273"/>
      <c r="L167" s="1273"/>
      <c r="M167" s="1273"/>
      <c r="N167" s="1273"/>
      <c r="O167" s="1273"/>
      <c r="P167" s="1273"/>
      <c r="Q167" s="1273"/>
      <c r="R167" s="1273"/>
      <c r="S167" s="1273"/>
      <c r="T167" s="1273"/>
      <c r="U167" s="1273"/>
      <c r="V167" s="1273"/>
      <c r="W167" s="1274"/>
      <c r="X167" s="1274"/>
      <c r="Y167" s="1274"/>
      <c r="Z167" s="1274"/>
      <c r="AA167" s="1274"/>
      <c r="AB167" s="1274"/>
      <c r="AC167" s="1274"/>
      <c r="AD167" s="1274"/>
      <c r="AE167" s="1274"/>
      <c r="AF167" s="1274"/>
      <c r="AG167" s="1274"/>
      <c r="AH167" s="1274"/>
      <c r="AI167" s="1274"/>
      <c r="AJ167" s="1274"/>
      <c r="AK167" s="1274"/>
      <c r="AL167" s="1274"/>
      <c r="AM167" s="1274"/>
      <c r="AN167" s="1274"/>
      <c r="AO167" s="1274"/>
      <c r="AP167" s="1274"/>
      <c r="AQ167" s="1274"/>
      <c r="AR167" s="1274"/>
      <c r="AS167" s="1274"/>
      <c r="AT167" s="1274"/>
      <c r="AU167" s="1274"/>
      <c r="AV167" s="1274"/>
      <c r="AW167" s="1274"/>
      <c r="AX167" s="1274"/>
      <c r="AY167" s="1274"/>
      <c r="AZ167" s="1274"/>
      <c r="BA167" s="1274"/>
      <c r="BB167" s="1274"/>
      <c r="BC167" s="1274"/>
      <c r="BD167" s="1274"/>
      <c r="BE167" s="1274"/>
      <c r="BF167" s="1274"/>
      <c r="BG167" s="1274"/>
      <c r="BH167" s="1274"/>
      <c r="BI167" s="1274"/>
      <c r="BJ167" s="1274"/>
      <c r="BK167" s="1274"/>
      <c r="BL167" s="1274"/>
      <c r="BM167" s="1274"/>
      <c r="BN167" s="1274"/>
      <c r="BO167" s="1274"/>
      <c r="BP167" s="1274"/>
      <c r="BQ167" s="1274"/>
      <c r="BR167" s="1274"/>
      <c r="BS167" s="1274"/>
      <c r="BT167" s="1274"/>
      <c r="BU167" s="1274"/>
      <c r="BV167" s="1274"/>
      <c r="BW167" s="1274"/>
      <c r="BX167" s="1274"/>
      <c r="BY167" s="1274"/>
      <c r="BZ167" s="1274"/>
      <c r="CA167" s="1274"/>
      <c r="CB167" s="1274"/>
      <c r="CC167" s="1274"/>
      <c r="CD167" s="1274"/>
      <c r="CE167" s="1274"/>
      <c r="CF167" s="1274"/>
      <c r="CG167" s="1274"/>
      <c r="CH167" s="1269"/>
      <c r="CI167" s="1274"/>
      <c r="CJ167" s="1274"/>
      <c r="CK167" s="1274"/>
      <c r="CL167" s="1274"/>
      <c r="CM167" s="1274"/>
      <c r="CN167" s="1274"/>
      <c r="CO167" s="1274"/>
      <c r="CP167" s="1274"/>
      <c r="CQ167" s="1274"/>
      <c r="CR167" s="1274"/>
      <c r="CS167" s="1274"/>
      <c r="CT167" s="1274"/>
      <c r="CU167" s="1274"/>
      <c r="CV167" s="1274"/>
      <c r="CW167" s="1274"/>
      <c r="CX167" s="1274"/>
      <c r="CY167" s="1274"/>
      <c r="CZ167" s="1274"/>
      <c r="DA167" s="1274"/>
      <c r="DB167" s="1274"/>
      <c r="DC167" s="1274"/>
      <c r="DD167" s="1274"/>
      <c r="DE167" s="1274"/>
      <c r="DF167" s="1274"/>
      <c r="DG167" s="1274"/>
      <c r="DH167" s="1274"/>
      <c r="DI167" s="1274"/>
      <c r="DJ167" s="1274"/>
      <c r="DK167" s="1274"/>
      <c r="DL167" s="1274"/>
      <c r="DM167" s="1274"/>
      <c r="DN167" s="1274"/>
      <c r="DO167" s="1274"/>
      <c r="DP167" s="1274"/>
      <c r="DQ167" s="1274"/>
      <c r="DR167" s="1274"/>
      <c r="DS167" s="1274"/>
      <c r="DT167" s="1274"/>
      <c r="DU167" s="1274"/>
      <c r="DV167" s="1274"/>
      <c r="DW167" s="1274"/>
      <c r="DX167" s="1274"/>
      <c r="DY167" s="1274"/>
      <c r="DZ167" s="1274"/>
      <c r="EA167" s="1274"/>
      <c r="EB167" s="1275"/>
      <c r="EC167" s="1275"/>
      <c r="ED167" s="1275"/>
      <c r="EE167" s="1275"/>
      <c r="EF167" s="1275"/>
      <c r="EG167" s="1275"/>
      <c r="EH167" s="1275"/>
      <c r="EI167" s="1275"/>
      <c r="EJ167" s="1275"/>
      <c r="EK167" s="1275"/>
      <c r="EL167" s="1275"/>
      <c r="EM167" s="1332"/>
    </row>
    <row r="168" spans="1:143" s="1271" customFormat="1">
      <c r="B168" s="1272"/>
      <c r="C168" s="1272"/>
      <c r="D168" s="1273"/>
      <c r="E168" s="1273"/>
      <c r="F168" s="1273"/>
      <c r="G168" s="1273"/>
      <c r="H168" s="1273"/>
      <c r="I168" s="1273"/>
      <c r="J168" s="1273"/>
      <c r="K168" s="1273"/>
      <c r="L168" s="1273"/>
      <c r="M168" s="1273"/>
      <c r="N168" s="1273"/>
      <c r="O168" s="1273"/>
      <c r="P168" s="1273"/>
      <c r="Q168" s="1273"/>
      <c r="R168" s="1273"/>
      <c r="S168" s="1273"/>
      <c r="T168" s="1273"/>
      <c r="U168" s="1273"/>
      <c r="V168" s="1273"/>
      <c r="W168" s="1274"/>
      <c r="X168" s="1274"/>
      <c r="Y168" s="1274"/>
      <c r="Z168" s="1274"/>
      <c r="AA168" s="1274"/>
      <c r="AB168" s="1274"/>
      <c r="AC168" s="1274"/>
      <c r="AD168" s="1274"/>
      <c r="AE168" s="1274"/>
      <c r="AF168" s="1274"/>
      <c r="AG168" s="1274"/>
      <c r="AH168" s="1274"/>
      <c r="AI168" s="1274"/>
      <c r="AJ168" s="1274"/>
      <c r="AK168" s="1274"/>
      <c r="AL168" s="1274"/>
      <c r="AM168" s="1274"/>
      <c r="AN168" s="1274"/>
      <c r="AO168" s="1274"/>
      <c r="AP168" s="1274"/>
      <c r="AQ168" s="1274"/>
      <c r="AR168" s="1274"/>
      <c r="AS168" s="1274"/>
      <c r="AT168" s="1274"/>
      <c r="AU168" s="1274"/>
      <c r="AV168" s="1274"/>
      <c r="AW168" s="1274"/>
      <c r="AX168" s="1274"/>
      <c r="AY168" s="1274"/>
      <c r="AZ168" s="1274"/>
      <c r="BA168" s="1274"/>
      <c r="BB168" s="1274"/>
      <c r="BC168" s="1274"/>
      <c r="BD168" s="1274"/>
      <c r="BE168" s="1274"/>
      <c r="BF168" s="1274"/>
      <c r="BG168" s="1274"/>
      <c r="BH168" s="1274"/>
      <c r="BI168" s="1274"/>
      <c r="BJ168" s="1274"/>
      <c r="BK168" s="1274"/>
      <c r="BL168" s="1274"/>
      <c r="BM168" s="1274"/>
      <c r="BN168" s="1274"/>
      <c r="BO168" s="1274"/>
      <c r="BP168" s="1274"/>
      <c r="BQ168" s="1274"/>
      <c r="BR168" s="1274"/>
      <c r="BS168" s="1274"/>
      <c r="BT168" s="1274"/>
      <c r="BU168" s="1274"/>
      <c r="BV168" s="1274"/>
      <c r="BW168" s="1274"/>
      <c r="BX168" s="1274"/>
      <c r="BY168" s="1274"/>
      <c r="BZ168" s="1274"/>
      <c r="CA168" s="1274"/>
      <c r="CB168" s="1274"/>
      <c r="CC168" s="1274"/>
      <c r="CD168" s="1274"/>
      <c r="CE168" s="1274"/>
      <c r="CF168" s="1274"/>
      <c r="CG168" s="1274"/>
      <c r="CH168" s="1269"/>
      <c r="CI168" s="1274"/>
      <c r="CJ168" s="1274"/>
      <c r="CK168" s="1274"/>
      <c r="CL168" s="1274"/>
      <c r="CM168" s="1274"/>
      <c r="CN168" s="1274"/>
      <c r="CO168" s="1274"/>
      <c r="CP168" s="1274"/>
      <c r="CQ168" s="1274"/>
      <c r="CR168" s="1274"/>
      <c r="CS168" s="1274"/>
      <c r="CT168" s="1274"/>
      <c r="CU168" s="1274"/>
      <c r="CV168" s="1274"/>
      <c r="CW168" s="1274"/>
      <c r="CX168" s="1274"/>
      <c r="CY168" s="1274"/>
      <c r="CZ168" s="1274"/>
      <c r="DA168" s="1274"/>
      <c r="DB168" s="1274"/>
      <c r="DC168" s="1274"/>
      <c r="DD168" s="1274"/>
      <c r="DE168" s="1274"/>
      <c r="DF168" s="1274"/>
      <c r="DG168" s="1274"/>
      <c r="DH168" s="1274"/>
      <c r="DI168" s="1274"/>
      <c r="DJ168" s="1274"/>
      <c r="DK168" s="1274"/>
      <c r="DL168" s="1274"/>
      <c r="DM168" s="1274"/>
      <c r="DN168" s="1274"/>
      <c r="DO168" s="1274"/>
      <c r="DP168" s="1274"/>
      <c r="DQ168" s="1274"/>
      <c r="DR168" s="1274"/>
      <c r="DS168" s="1274"/>
      <c r="DT168" s="1274"/>
      <c r="DU168" s="1274"/>
      <c r="DV168" s="1274"/>
      <c r="DW168" s="1274"/>
      <c r="DX168" s="1274"/>
      <c r="DY168" s="1274"/>
      <c r="DZ168" s="1274"/>
      <c r="EA168" s="1274"/>
      <c r="EB168" s="1276"/>
      <c r="EC168" s="1273"/>
      <c r="ED168" s="1273"/>
      <c r="EE168" s="1273"/>
      <c r="EF168" s="1273"/>
      <c r="EG168" s="1273"/>
      <c r="EH168" s="1273"/>
      <c r="EI168" s="1273"/>
      <c r="EJ168" s="1273"/>
      <c r="EK168" s="1273"/>
      <c r="EL168" s="1273"/>
      <c r="EM168" s="1333"/>
    </row>
    <row r="169" spans="1:143" s="1271" customFormat="1">
      <c r="B169" s="1272"/>
      <c r="C169" s="1272"/>
      <c r="D169" s="1273"/>
      <c r="E169" s="1273"/>
      <c r="F169" s="1273"/>
      <c r="G169" s="1273"/>
      <c r="H169" s="1273"/>
      <c r="I169" s="1273"/>
      <c r="J169" s="1273"/>
      <c r="K169" s="1273"/>
      <c r="L169" s="1273"/>
      <c r="M169" s="1273"/>
      <c r="N169" s="1273"/>
      <c r="O169" s="1273"/>
      <c r="P169" s="1273"/>
      <c r="Q169" s="1273"/>
      <c r="R169" s="1273"/>
      <c r="S169" s="1273"/>
      <c r="T169" s="1273"/>
      <c r="U169" s="1273"/>
      <c r="V169" s="1273"/>
      <c r="W169" s="1274"/>
      <c r="X169" s="1274"/>
      <c r="Y169" s="1274"/>
      <c r="Z169" s="1274"/>
      <c r="AA169" s="1274"/>
      <c r="AB169" s="1274"/>
      <c r="AC169" s="1274"/>
      <c r="AD169" s="1274"/>
      <c r="AE169" s="1274"/>
      <c r="AF169" s="1274"/>
      <c r="AG169" s="1274"/>
      <c r="AH169" s="1274"/>
      <c r="AI169" s="1274"/>
      <c r="AJ169" s="1274"/>
      <c r="AK169" s="1274"/>
      <c r="AL169" s="1274"/>
      <c r="AM169" s="1274"/>
      <c r="AN169" s="1274"/>
      <c r="AO169" s="1274"/>
      <c r="AP169" s="1274"/>
      <c r="AQ169" s="1274"/>
      <c r="AR169" s="1274"/>
      <c r="AS169" s="1274"/>
      <c r="AT169" s="1274"/>
      <c r="AU169" s="1274"/>
      <c r="AV169" s="1274"/>
      <c r="AW169" s="1274"/>
      <c r="AX169" s="1274"/>
      <c r="AY169" s="1274"/>
      <c r="AZ169" s="1274"/>
      <c r="BA169" s="1274"/>
      <c r="BB169" s="1274"/>
      <c r="BC169" s="1274"/>
      <c r="BD169" s="1274"/>
      <c r="BE169" s="1274"/>
      <c r="BF169" s="1274"/>
      <c r="BG169" s="1274"/>
      <c r="BH169" s="1274"/>
      <c r="BI169" s="1274"/>
      <c r="BJ169" s="1274"/>
      <c r="BK169" s="1274"/>
      <c r="BL169" s="1274"/>
      <c r="BM169" s="1274"/>
      <c r="BN169" s="1274"/>
      <c r="BO169" s="1274"/>
      <c r="BP169" s="1274"/>
      <c r="BQ169" s="1274"/>
      <c r="BR169" s="1274"/>
      <c r="BS169" s="1274"/>
      <c r="BT169" s="1274"/>
      <c r="BU169" s="1274"/>
      <c r="BV169" s="1274"/>
      <c r="BW169" s="1274"/>
      <c r="BX169" s="1274"/>
      <c r="BY169" s="1274"/>
      <c r="BZ169" s="1274"/>
      <c r="CA169" s="1274"/>
      <c r="CB169" s="1274"/>
      <c r="CC169" s="1274"/>
      <c r="CD169" s="1274"/>
      <c r="CE169" s="1274"/>
      <c r="CF169" s="1274"/>
      <c r="CG169" s="1274"/>
      <c r="CH169" s="1269"/>
      <c r="CI169" s="1274"/>
      <c r="CJ169" s="1274"/>
      <c r="CK169" s="1274"/>
      <c r="CL169" s="1274"/>
      <c r="CM169" s="1274"/>
      <c r="CN169" s="1274"/>
      <c r="CO169" s="1274"/>
      <c r="CP169" s="1274"/>
      <c r="CQ169" s="1274"/>
      <c r="CR169" s="1274"/>
      <c r="CS169" s="1274"/>
      <c r="CT169" s="1274"/>
      <c r="CU169" s="1274"/>
      <c r="CV169" s="1274"/>
      <c r="CW169" s="1274"/>
      <c r="CX169" s="1274"/>
      <c r="CY169" s="1274"/>
      <c r="CZ169" s="1274"/>
      <c r="DA169" s="1274"/>
      <c r="DB169" s="1274"/>
      <c r="DC169" s="1274"/>
      <c r="DD169" s="1274"/>
      <c r="DE169" s="1274"/>
      <c r="DF169" s="1274"/>
      <c r="DG169" s="1274"/>
      <c r="DH169" s="1274"/>
      <c r="DI169" s="1274"/>
      <c r="DJ169" s="1274"/>
      <c r="DK169" s="1274"/>
      <c r="DL169" s="1274"/>
      <c r="DM169" s="1274"/>
      <c r="DN169" s="1274"/>
      <c r="DO169" s="1274"/>
      <c r="DP169" s="1274"/>
      <c r="DQ169" s="1274"/>
      <c r="DR169" s="1274"/>
      <c r="DS169" s="1274"/>
      <c r="DT169" s="1274"/>
      <c r="DU169" s="1274"/>
      <c r="DV169" s="1274"/>
      <c r="DW169" s="1274"/>
      <c r="DX169" s="1274"/>
      <c r="DY169" s="1274"/>
      <c r="DZ169" s="1274"/>
      <c r="EA169" s="1274"/>
      <c r="EB169" s="1276"/>
      <c r="EC169" s="1273"/>
      <c r="ED169" s="1273"/>
      <c r="EE169" s="1273"/>
      <c r="EF169" s="1273"/>
      <c r="EG169" s="1273"/>
      <c r="EH169" s="1273"/>
      <c r="EI169" s="1273"/>
      <c r="EJ169" s="1273"/>
      <c r="EK169" s="1273"/>
      <c r="EL169" s="1273"/>
      <c r="EM169" s="1333"/>
    </row>
    <row r="170" spans="1:143" s="1271" customFormat="1">
      <c r="B170" s="1272"/>
      <c r="C170" s="1272"/>
      <c r="D170" s="1273"/>
      <c r="E170" s="1273"/>
      <c r="F170" s="1273"/>
      <c r="G170" s="1273"/>
      <c r="H170" s="1265"/>
      <c r="I170" s="1265"/>
      <c r="J170" s="1265"/>
      <c r="K170" s="1276"/>
      <c r="L170" s="1276"/>
      <c r="M170" s="1276"/>
      <c r="N170" s="1276"/>
      <c r="O170" s="1276"/>
      <c r="P170" s="1276"/>
      <c r="Q170" s="1276"/>
      <c r="R170" s="1276"/>
      <c r="S170" s="1276"/>
      <c r="T170" s="1276"/>
      <c r="U170" s="1276"/>
      <c r="V170" s="1276"/>
      <c r="W170" s="1277"/>
      <c r="X170" s="1277"/>
      <c r="Y170" s="1277"/>
      <c r="Z170" s="1277"/>
      <c r="AA170" s="1277"/>
      <c r="AB170" s="1277"/>
      <c r="AC170" s="1277"/>
      <c r="AD170" s="1277"/>
      <c r="AE170" s="1277"/>
      <c r="AF170" s="1277"/>
      <c r="AG170" s="1277"/>
      <c r="AH170" s="1277"/>
      <c r="AI170" s="1277"/>
      <c r="AJ170" s="1277"/>
      <c r="AK170" s="1277"/>
      <c r="AL170" s="1277"/>
      <c r="AM170" s="1277"/>
      <c r="AN170" s="1277"/>
      <c r="AO170" s="1277"/>
      <c r="AP170" s="1277"/>
      <c r="AQ170" s="1277"/>
      <c r="AR170" s="1277"/>
      <c r="AS170" s="1277"/>
      <c r="AT170" s="1277"/>
      <c r="AU170" s="1277"/>
      <c r="AV170" s="1277"/>
      <c r="AW170" s="1277"/>
      <c r="AX170" s="1277"/>
      <c r="AY170" s="1277"/>
      <c r="AZ170" s="1277"/>
      <c r="BA170" s="1277"/>
      <c r="BB170" s="1277"/>
      <c r="BC170" s="1277"/>
      <c r="BD170" s="1277"/>
      <c r="BE170" s="1277"/>
      <c r="BF170" s="1277"/>
      <c r="BG170" s="1277"/>
      <c r="BH170" s="1277"/>
      <c r="BI170" s="1277"/>
      <c r="BJ170" s="1277"/>
      <c r="BK170" s="1277"/>
      <c r="BL170" s="1277"/>
      <c r="BM170" s="1277"/>
      <c r="BN170" s="1277"/>
      <c r="BO170" s="1277"/>
      <c r="BP170" s="1277"/>
      <c r="BQ170" s="1277"/>
      <c r="BR170" s="1277"/>
      <c r="BS170" s="1277"/>
      <c r="BT170" s="1277"/>
      <c r="BU170" s="1277"/>
      <c r="BV170" s="1277"/>
      <c r="BW170" s="1277"/>
      <c r="BX170" s="1277"/>
      <c r="BY170" s="1277"/>
      <c r="BZ170" s="1277"/>
      <c r="CA170" s="1277"/>
      <c r="CB170" s="1277"/>
      <c r="CC170" s="1277"/>
      <c r="CD170" s="1277"/>
      <c r="CE170" s="1277"/>
      <c r="CF170" s="1277"/>
      <c r="CG170" s="1277"/>
      <c r="CH170" s="1269"/>
      <c r="CI170" s="1277"/>
      <c r="CJ170" s="1277"/>
      <c r="CK170" s="1277"/>
      <c r="CL170" s="1277"/>
      <c r="CM170" s="1277"/>
      <c r="CN170" s="1277"/>
      <c r="CO170" s="1277"/>
      <c r="CP170" s="1277"/>
      <c r="CQ170" s="1277"/>
      <c r="CR170" s="1277"/>
      <c r="CS170" s="1277"/>
      <c r="CT170" s="1277"/>
      <c r="CU170" s="1277"/>
      <c r="CV170" s="1277"/>
      <c r="CW170" s="1277"/>
      <c r="CX170" s="1277"/>
      <c r="CY170" s="1277"/>
      <c r="CZ170" s="1277"/>
      <c r="DA170" s="1277"/>
      <c r="DB170" s="1277"/>
      <c r="DC170" s="1277"/>
      <c r="DD170" s="1277"/>
      <c r="DE170" s="1277"/>
      <c r="DF170" s="1277"/>
      <c r="DG170" s="1277"/>
      <c r="DH170" s="1277"/>
      <c r="DI170" s="1277"/>
      <c r="DJ170" s="1277"/>
      <c r="DK170" s="1277"/>
      <c r="DL170" s="1277"/>
      <c r="DM170" s="1277"/>
      <c r="DN170" s="1277"/>
      <c r="DO170" s="1277"/>
      <c r="DP170" s="1277"/>
      <c r="DQ170" s="1277"/>
      <c r="DR170" s="1277"/>
      <c r="DS170" s="1277"/>
      <c r="DT170" s="1277"/>
      <c r="DU170" s="1277"/>
      <c r="DV170" s="1277"/>
      <c r="DW170" s="1277"/>
      <c r="DX170" s="1277"/>
      <c r="DY170" s="1277"/>
      <c r="DZ170" s="1277"/>
      <c r="EA170" s="1277"/>
      <c r="EB170" s="1276"/>
      <c r="EC170" s="1273"/>
      <c r="ED170" s="1273"/>
      <c r="EE170" s="1273"/>
      <c r="EF170" s="1273"/>
      <c r="EG170" s="1273"/>
      <c r="EH170" s="1273"/>
      <c r="EI170" s="1273"/>
      <c r="EJ170" s="1273"/>
      <c r="EK170" s="1273"/>
      <c r="EL170" s="1273"/>
      <c r="EM170" s="1333"/>
    </row>
    <row r="171" spans="1:143" s="1271" customFormat="1">
      <c r="B171" s="1272"/>
      <c r="C171" s="1272"/>
      <c r="D171" s="1273"/>
      <c r="E171" s="1273"/>
      <c r="F171" s="1273"/>
      <c r="G171" s="1273"/>
      <c r="H171" s="1265"/>
      <c r="I171" s="1265"/>
      <c r="J171" s="1265"/>
      <c r="K171" s="1276"/>
      <c r="L171" s="1276"/>
      <c r="M171" s="1276"/>
      <c r="N171" s="1276"/>
      <c r="O171" s="1276"/>
      <c r="P171" s="1276"/>
      <c r="Q171" s="1276"/>
      <c r="R171" s="1276"/>
      <c r="S171" s="1276"/>
      <c r="T171" s="1276"/>
      <c r="U171" s="1276"/>
      <c r="V171" s="1276"/>
      <c r="W171" s="1277"/>
      <c r="X171" s="1277"/>
      <c r="Y171" s="1277"/>
      <c r="Z171" s="1277"/>
      <c r="AA171" s="1277"/>
      <c r="AB171" s="1277"/>
      <c r="AC171" s="1277"/>
      <c r="AD171" s="1277"/>
      <c r="AE171" s="1277"/>
      <c r="AF171" s="1277"/>
      <c r="AG171" s="1277"/>
      <c r="AH171" s="1277"/>
      <c r="AI171" s="1277"/>
      <c r="AJ171" s="1277"/>
      <c r="AK171" s="1277"/>
      <c r="AL171" s="1277"/>
      <c r="AM171" s="1277"/>
      <c r="AN171" s="1277"/>
      <c r="AO171" s="1277"/>
      <c r="AP171" s="1277"/>
      <c r="AQ171" s="1277"/>
      <c r="AR171" s="1277"/>
      <c r="AS171" s="1277"/>
      <c r="AT171" s="1277"/>
      <c r="AU171" s="1277"/>
      <c r="AV171" s="1277"/>
      <c r="AW171" s="1277"/>
      <c r="AX171" s="1277"/>
      <c r="AY171" s="1277"/>
      <c r="AZ171" s="1277"/>
      <c r="BA171" s="1277"/>
      <c r="BB171" s="1277"/>
      <c r="BC171" s="1277"/>
      <c r="BD171" s="1277"/>
      <c r="BE171" s="1277"/>
      <c r="BF171" s="1277"/>
      <c r="BG171" s="1277"/>
      <c r="BH171" s="1277"/>
      <c r="BI171" s="1277"/>
      <c r="BJ171" s="1277"/>
      <c r="BK171" s="1277"/>
      <c r="BL171" s="1277"/>
      <c r="BM171" s="1277"/>
      <c r="BN171" s="1277"/>
      <c r="BO171" s="1277"/>
      <c r="BP171" s="1277"/>
      <c r="BQ171" s="1277"/>
      <c r="BR171" s="1277"/>
      <c r="BS171" s="1277"/>
      <c r="BT171" s="1277"/>
      <c r="BU171" s="1277"/>
      <c r="BV171" s="1277"/>
      <c r="BW171" s="1277"/>
      <c r="BX171" s="1277"/>
      <c r="BY171" s="1277"/>
      <c r="BZ171" s="1277"/>
      <c r="CA171" s="1277"/>
      <c r="CB171" s="1277"/>
      <c r="CC171" s="1277"/>
      <c r="CD171" s="1277"/>
      <c r="CE171" s="1277"/>
      <c r="CF171" s="1277"/>
      <c r="CG171" s="1277"/>
      <c r="CH171" s="1269"/>
      <c r="CI171" s="1277"/>
      <c r="CJ171" s="1277"/>
      <c r="CK171" s="1277"/>
      <c r="CL171" s="1277"/>
      <c r="CM171" s="1277"/>
      <c r="CN171" s="1277"/>
      <c r="CO171" s="1277"/>
      <c r="CP171" s="1277"/>
      <c r="CQ171" s="1277"/>
      <c r="CR171" s="1277"/>
      <c r="CS171" s="1277"/>
      <c r="CT171" s="1277"/>
      <c r="CU171" s="1277"/>
      <c r="CV171" s="1277"/>
      <c r="CW171" s="1277"/>
      <c r="CX171" s="1277"/>
      <c r="CY171" s="1277"/>
      <c r="CZ171" s="1277"/>
      <c r="DA171" s="1277"/>
      <c r="DB171" s="1277"/>
      <c r="DC171" s="1277"/>
      <c r="DD171" s="1277"/>
      <c r="DE171" s="1277"/>
      <c r="DF171" s="1277"/>
      <c r="DG171" s="1277"/>
      <c r="DH171" s="1277"/>
      <c r="DI171" s="1277"/>
      <c r="DJ171" s="1277"/>
      <c r="DK171" s="1277"/>
      <c r="DL171" s="1277"/>
      <c r="DM171" s="1277"/>
      <c r="DN171" s="1277"/>
      <c r="DO171" s="1277"/>
      <c r="DP171" s="1277"/>
      <c r="DQ171" s="1277"/>
      <c r="DR171" s="1277"/>
      <c r="DS171" s="1277"/>
      <c r="DT171" s="1277"/>
      <c r="DU171" s="1277"/>
      <c r="DV171" s="1277"/>
      <c r="DW171" s="1277"/>
      <c r="DX171" s="1277"/>
      <c r="DY171" s="1277"/>
      <c r="DZ171" s="1277"/>
      <c r="EA171" s="1277"/>
      <c r="EB171" s="1276"/>
      <c r="EC171" s="1273"/>
      <c r="ED171" s="1273"/>
      <c r="EE171" s="1273"/>
      <c r="EF171" s="1273"/>
      <c r="EG171" s="1273"/>
      <c r="EH171" s="1273"/>
      <c r="EI171" s="1273"/>
      <c r="EJ171" s="1273"/>
      <c r="EK171" s="1273"/>
      <c r="EL171" s="1273"/>
      <c r="EM171" s="1333"/>
    </row>
    <row r="172" spans="1:143" s="1271" customFormat="1">
      <c r="B172" s="1272"/>
      <c r="C172" s="1272"/>
      <c r="D172" s="1273"/>
      <c r="E172" s="1273"/>
      <c r="F172" s="1273"/>
      <c r="G172" s="1273"/>
      <c r="H172" s="1265"/>
      <c r="I172" s="1265"/>
      <c r="J172" s="1265"/>
      <c r="K172" s="1278"/>
      <c r="L172" s="1278"/>
      <c r="M172" s="1278"/>
      <c r="N172" s="1278"/>
      <c r="O172" s="1278"/>
      <c r="P172" s="1278"/>
      <c r="Q172" s="1278"/>
      <c r="R172" s="1278"/>
      <c r="S172" s="1278"/>
      <c r="T172" s="1278"/>
      <c r="U172" s="1278"/>
      <c r="V172" s="1278"/>
      <c r="W172" s="1279"/>
      <c r="X172" s="1279"/>
      <c r="Y172" s="1279"/>
      <c r="Z172" s="1279"/>
      <c r="AA172" s="1279"/>
      <c r="AB172" s="1279"/>
      <c r="AC172" s="1279"/>
      <c r="AD172" s="1279"/>
      <c r="AE172" s="1279"/>
      <c r="AF172" s="1279"/>
      <c r="AG172" s="1279"/>
      <c r="AH172" s="1279"/>
      <c r="AI172" s="1279"/>
      <c r="AJ172" s="1279"/>
      <c r="AK172" s="1279"/>
      <c r="AL172" s="1279"/>
      <c r="AM172" s="1279"/>
      <c r="AN172" s="1279"/>
      <c r="AO172" s="1279"/>
      <c r="AP172" s="1279"/>
      <c r="AQ172" s="1279"/>
      <c r="AR172" s="1279"/>
      <c r="AS172" s="1279"/>
      <c r="AT172" s="1279"/>
      <c r="AU172" s="1279"/>
      <c r="AV172" s="1279"/>
      <c r="AW172" s="1279"/>
      <c r="AX172" s="1279"/>
      <c r="AY172" s="1279"/>
      <c r="AZ172" s="1279"/>
      <c r="BA172" s="1279"/>
      <c r="BB172" s="1279"/>
      <c r="BC172" s="1279"/>
      <c r="BD172" s="1279"/>
      <c r="BE172" s="1279"/>
      <c r="BF172" s="1279"/>
      <c r="BG172" s="1279"/>
      <c r="BH172" s="1279"/>
      <c r="BI172" s="1279"/>
      <c r="BJ172" s="1279"/>
      <c r="BK172" s="1279"/>
      <c r="BL172" s="1279"/>
      <c r="BM172" s="1279"/>
      <c r="BN172" s="1279"/>
      <c r="BO172" s="1279"/>
      <c r="BP172" s="1279"/>
      <c r="BQ172" s="1279"/>
      <c r="BR172" s="1279"/>
      <c r="BS172" s="1279"/>
      <c r="BT172" s="1279"/>
      <c r="BU172" s="1279"/>
      <c r="BV172" s="1279"/>
      <c r="BW172" s="1279"/>
      <c r="BX172" s="1279"/>
      <c r="BY172" s="1279"/>
      <c r="BZ172" s="1279"/>
      <c r="CA172" s="1279"/>
      <c r="CB172" s="1279"/>
      <c r="CC172" s="1279"/>
      <c r="CD172" s="1279"/>
      <c r="CE172" s="1279"/>
      <c r="CF172" s="1279"/>
      <c r="CG172" s="1279"/>
      <c r="CH172" s="1269"/>
      <c r="CI172" s="1279"/>
      <c r="CJ172" s="1279"/>
      <c r="CK172" s="1279"/>
      <c r="CL172" s="1279"/>
      <c r="CM172" s="1279"/>
      <c r="CN172" s="1279"/>
      <c r="CO172" s="1279"/>
      <c r="CP172" s="1279"/>
      <c r="CQ172" s="1279"/>
      <c r="CR172" s="1279"/>
      <c r="CS172" s="1279"/>
      <c r="CT172" s="1279"/>
      <c r="CU172" s="1279"/>
      <c r="CV172" s="1279"/>
      <c r="CW172" s="1279"/>
      <c r="CX172" s="1279"/>
      <c r="CY172" s="1279"/>
      <c r="CZ172" s="1279"/>
      <c r="DA172" s="1279"/>
      <c r="DB172" s="1279"/>
      <c r="DC172" s="1279"/>
      <c r="DD172" s="1279"/>
      <c r="DE172" s="1279"/>
      <c r="DF172" s="1279"/>
      <c r="DG172" s="1279"/>
      <c r="DH172" s="1279"/>
      <c r="DI172" s="1279"/>
      <c r="DJ172" s="1279"/>
      <c r="DK172" s="1279"/>
      <c r="DL172" s="1279"/>
      <c r="DM172" s="1279"/>
      <c r="DN172" s="1279"/>
      <c r="DO172" s="1279"/>
      <c r="DP172" s="1279"/>
      <c r="DQ172" s="1279"/>
      <c r="DR172" s="1279"/>
      <c r="DS172" s="1279"/>
      <c r="DT172" s="1279"/>
      <c r="DU172" s="1279"/>
      <c r="DV172" s="1279"/>
      <c r="DW172" s="1279"/>
      <c r="DX172" s="1279"/>
      <c r="DY172" s="1279"/>
      <c r="DZ172" s="1279"/>
      <c r="EA172" s="1279"/>
      <c r="EB172" s="1278"/>
      <c r="EC172" s="1273"/>
      <c r="ED172" s="1273"/>
      <c r="EE172" s="1273"/>
      <c r="EF172" s="1273"/>
      <c r="EG172" s="1273"/>
      <c r="EH172" s="1273"/>
      <c r="EI172" s="1273"/>
      <c r="EJ172" s="1273"/>
      <c r="EK172" s="1273"/>
      <c r="EL172" s="1273"/>
      <c r="EM172" s="1333"/>
    </row>
    <row r="173" spans="1:143" s="1271" customFormat="1">
      <c r="B173" s="1272"/>
      <c r="C173" s="1272"/>
      <c r="D173" s="1273"/>
      <c r="E173" s="1273"/>
      <c r="F173" s="1273"/>
      <c r="G173" s="1273"/>
      <c r="H173" s="1265"/>
      <c r="I173" s="1265"/>
      <c r="J173" s="1265"/>
      <c r="K173" s="1276"/>
      <c r="L173" s="1276"/>
      <c r="M173" s="1276"/>
      <c r="N173" s="1276"/>
      <c r="O173" s="1276"/>
      <c r="P173" s="1276"/>
      <c r="Q173" s="1276"/>
      <c r="R173" s="1276"/>
      <c r="S173" s="1276"/>
      <c r="T173" s="1276"/>
      <c r="U173" s="1276"/>
      <c r="V173" s="1276"/>
      <c r="W173" s="1277"/>
      <c r="X173" s="1277"/>
      <c r="Y173" s="1277"/>
      <c r="Z173" s="1277"/>
      <c r="AA173" s="1277"/>
      <c r="AB173" s="1277"/>
      <c r="AC173" s="1277"/>
      <c r="AD173" s="1277"/>
      <c r="AE173" s="1277"/>
      <c r="AF173" s="1277"/>
      <c r="AG173" s="1277"/>
      <c r="AH173" s="1277"/>
      <c r="AI173" s="1277"/>
      <c r="AJ173" s="1277"/>
      <c r="AK173" s="1277"/>
      <c r="AL173" s="1277"/>
      <c r="AM173" s="1277"/>
      <c r="AN173" s="1277"/>
      <c r="AO173" s="1277"/>
      <c r="AP173" s="1277"/>
      <c r="AQ173" s="1277"/>
      <c r="AR173" s="1277"/>
      <c r="AS173" s="1277"/>
      <c r="AT173" s="1277"/>
      <c r="AU173" s="1277"/>
      <c r="AV173" s="1277"/>
      <c r="AW173" s="1277"/>
      <c r="AX173" s="1277"/>
      <c r="AY173" s="1277"/>
      <c r="AZ173" s="1277"/>
      <c r="BA173" s="1277"/>
      <c r="BB173" s="1277"/>
      <c r="BC173" s="1277"/>
      <c r="BD173" s="1277"/>
      <c r="BE173" s="1277"/>
      <c r="BF173" s="1277"/>
      <c r="BG173" s="1277"/>
      <c r="BH173" s="1277"/>
      <c r="BI173" s="1277"/>
      <c r="BJ173" s="1277"/>
      <c r="BK173" s="1277"/>
      <c r="BL173" s="1277"/>
      <c r="BM173" s="1277"/>
      <c r="BN173" s="1277"/>
      <c r="BO173" s="1277"/>
      <c r="BP173" s="1277"/>
      <c r="BQ173" s="1277"/>
      <c r="BR173" s="1277"/>
      <c r="BS173" s="1277"/>
      <c r="BT173" s="1277"/>
      <c r="BU173" s="1277"/>
      <c r="BV173" s="1277"/>
      <c r="BW173" s="1277"/>
      <c r="BX173" s="1277"/>
      <c r="BY173" s="1277"/>
      <c r="BZ173" s="1277"/>
      <c r="CA173" s="1277"/>
      <c r="CB173" s="1277"/>
      <c r="CC173" s="1277"/>
      <c r="CD173" s="1277"/>
      <c r="CE173" s="1277"/>
      <c r="CF173" s="1277"/>
      <c r="CG173" s="1277"/>
      <c r="CH173" s="1269"/>
      <c r="CI173" s="1277"/>
      <c r="CJ173" s="1277"/>
      <c r="CK173" s="1277"/>
      <c r="CL173" s="1277"/>
      <c r="CM173" s="1277"/>
      <c r="CN173" s="1277"/>
      <c r="CO173" s="1277"/>
      <c r="CP173" s="1277"/>
      <c r="CQ173" s="1277"/>
      <c r="CR173" s="1277"/>
      <c r="CS173" s="1277"/>
      <c r="CT173" s="1277"/>
      <c r="CU173" s="1277"/>
      <c r="CV173" s="1277"/>
      <c r="CW173" s="1277"/>
      <c r="CX173" s="1277"/>
      <c r="CY173" s="1277"/>
      <c r="CZ173" s="1277"/>
      <c r="DA173" s="1277"/>
      <c r="DB173" s="1277"/>
      <c r="DC173" s="1277"/>
      <c r="DD173" s="1277"/>
      <c r="DE173" s="1277"/>
      <c r="DF173" s="1277"/>
      <c r="DG173" s="1277"/>
      <c r="DH173" s="1277"/>
      <c r="DI173" s="1277"/>
      <c r="DJ173" s="1277"/>
      <c r="DK173" s="1277"/>
      <c r="DL173" s="1277"/>
      <c r="DM173" s="1277"/>
      <c r="DN173" s="1277"/>
      <c r="DO173" s="1277"/>
      <c r="DP173" s="1277"/>
      <c r="DQ173" s="1277"/>
      <c r="DR173" s="1277"/>
      <c r="DS173" s="1277"/>
      <c r="DT173" s="1277"/>
      <c r="DU173" s="1277"/>
      <c r="DV173" s="1277"/>
      <c r="DW173" s="1277"/>
      <c r="DX173" s="1277"/>
      <c r="DY173" s="1277"/>
      <c r="DZ173" s="1277"/>
      <c r="EA173" s="1277"/>
      <c r="EB173" s="1276"/>
      <c r="EC173" s="1273"/>
      <c r="ED173" s="1273"/>
      <c r="EE173" s="1273"/>
      <c r="EF173" s="1273"/>
      <c r="EG173" s="1273"/>
      <c r="EH173" s="1273"/>
      <c r="EI173" s="1273"/>
      <c r="EJ173" s="1273"/>
      <c r="EK173" s="1273"/>
      <c r="EL173" s="1273"/>
      <c r="EM173" s="1313"/>
    </row>
    <row r="174" spans="1:143" s="1271" customFormat="1">
      <c r="B174" s="1272"/>
      <c r="C174" s="1272"/>
      <c r="D174" s="1273"/>
      <c r="E174" s="1273"/>
      <c r="F174" s="1273"/>
      <c r="G174" s="1273"/>
      <c r="H174" s="1265"/>
      <c r="I174" s="1265"/>
      <c r="J174" s="1265"/>
      <c r="K174" s="1276"/>
      <c r="L174" s="1276"/>
      <c r="M174" s="1276"/>
      <c r="N174" s="1276"/>
      <c r="O174" s="1276"/>
      <c r="P174" s="1276"/>
      <c r="Q174" s="1276"/>
      <c r="R174" s="1276"/>
      <c r="S174" s="1276"/>
      <c r="T174" s="1276"/>
      <c r="U174" s="1276"/>
      <c r="V174" s="1276"/>
      <c r="W174" s="1277"/>
      <c r="X174" s="1277"/>
      <c r="Y174" s="1277"/>
      <c r="Z174" s="1277"/>
      <c r="AA174" s="1277"/>
      <c r="AB174" s="1277"/>
      <c r="AC174" s="1277"/>
      <c r="AD174" s="1277"/>
      <c r="AE174" s="1277"/>
      <c r="AF174" s="1277"/>
      <c r="AG174" s="1277"/>
      <c r="AH174" s="1277"/>
      <c r="AI174" s="1277"/>
      <c r="AJ174" s="1277"/>
      <c r="AK174" s="1277"/>
      <c r="AL174" s="1277"/>
      <c r="AM174" s="1277"/>
      <c r="AN174" s="1277"/>
      <c r="AO174" s="1277"/>
      <c r="AP174" s="1277"/>
      <c r="AQ174" s="1277"/>
      <c r="AR174" s="1277"/>
      <c r="AS174" s="1277"/>
      <c r="AT174" s="1277"/>
      <c r="AU174" s="1277"/>
      <c r="AV174" s="1277"/>
      <c r="AW174" s="1277"/>
      <c r="AX174" s="1277"/>
      <c r="AY174" s="1277"/>
      <c r="AZ174" s="1277"/>
      <c r="BA174" s="1277"/>
      <c r="BB174" s="1277"/>
      <c r="BC174" s="1277"/>
      <c r="BD174" s="1277"/>
      <c r="BE174" s="1277"/>
      <c r="BF174" s="1277"/>
      <c r="BG174" s="1277"/>
      <c r="BH174" s="1277"/>
      <c r="BI174" s="1277"/>
      <c r="BJ174" s="1277"/>
      <c r="BK174" s="1277"/>
      <c r="BL174" s="1277"/>
      <c r="BM174" s="1277"/>
      <c r="BN174" s="1277"/>
      <c r="BO174" s="1277"/>
      <c r="BP174" s="1277"/>
      <c r="BQ174" s="1277"/>
      <c r="BR174" s="1277"/>
      <c r="BS174" s="1277"/>
      <c r="BT174" s="1277"/>
      <c r="BU174" s="1277"/>
      <c r="BV174" s="1277"/>
      <c r="BW174" s="1277"/>
      <c r="BX174" s="1277"/>
      <c r="BY174" s="1277"/>
      <c r="BZ174" s="1277"/>
      <c r="CA174" s="1277"/>
      <c r="CB174" s="1277"/>
      <c r="CC174" s="1277"/>
      <c r="CD174" s="1277"/>
      <c r="CE174" s="1277"/>
      <c r="CF174" s="1277"/>
      <c r="CG174" s="1277"/>
      <c r="CH174" s="1269"/>
      <c r="CI174" s="1277"/>
      <c r="CJ174" s="1277"/>
      <c r="CK174" s="1277"/>
      <c r="CL174" s="1277"/>
      <c r="CM174" s="1277"/>
      <c r="CN174" s="1277"/>
      <c r="CO174" s="1277"/>
      <c r="CP174" s="1277"/>
      <c r="CQ174" s="1277"/>
      <c r="CR174" s="1277"/>
      <c r="CS174" s="1277"/>
      <c r="CT174" s="1277"/>
      <c r="CU174" s="1277"/>
      <c r="CV174" s="1277"/>
      <c r="CW174" s="1277"/>
      <c r="CX174" s="1277"/>
      <c r="CY174" s="1277"/>
      <c r="CZ174" s="1277"/>
      <c r="DA174" s="1277"/>
      <c r="DB174" s="1277"/>
      <c r="DC174" s="1277"/>
      <c r="DD174" s="1277"/>
      <c r="DE174" s="1277"/>
      <c r="DF174" s="1277"/>
      <c r="DG174" s="1277"/>
      <c r="DH174" s="1277"/>
      <c r="DI174" s="1277"/>
      <c r="DJ174" s="1277"/>
      <c r="DK174" s="1277"/>
      <c r="DL174" s="1277"/>
      <c r="DM174" s="1277"/>
      <c r="DN174" s="1277"/>
      <c r="DO174" s="1277"/>
      <c r="DP174" s="1277"/>
      <c r="DQ174" s="1277"/>
      <c r="DR174" s="1277"/>
      <c r="DS174" s="1277"/>
      <c r="DT174" s="1277"/>
      <c r="DU174" s="1277"/>
      <c r="DV174" s="1277"/>
      <c r="DW174" s="1277"/>
      <c r="DX174" s="1277"/>
      <c r="DY174" s="1277"/>
      <c r="DZ174" s="1277"/>
      <c r="EA174" s="1277"/>
      <c r="EB174" s="1276"/>
      <c r="EC174" s="1273"/>
      <c r="ED174" s="1273"/>
      <c r="EE174" s="1273"/>
      <c r="EF174" s="1273"/>
      <c r="EG174" s="1273"/>
      <c r="EH174" s="1273"/>
      <c r="EI174" s="1273"/>
      <c r="EJ174" s="1273"/>
      <c r="EK174" s="1273"/>
      <c r="EL174" s="1273"/>
      <c r="EM174" s="1313"/>
    </row>
    <row r="175" spans="1:143" s="1271" customFormat="1">
      <c r="B175" s="1272"/>
      <c r="C175" s="1272"/>
      <c r="D175" s="1273"/>
      <c r="E175" s="1273"/>
      <c r="F175" s="1273"/>
      <c r="G175" s="1273"/>
      <c r="H175" s="1265"/>
      <c r="I175" s="1265"/>
      <c r="J175" s="1265"/>
      <c r="K175" s="1276"/>
      <c r="L175" s="1276"/>
      <c r="M175" s="1276"/>
      <c r="N175" s="1276"/>
      <c r="O175" s="1276"/>
      <c r="P175" s="1276"/>
      <c r="Q175" s="1276"/>
      <c r="R175" s="1276"/>
      <c r="S175" s="1276"/>
      <c r="T175" s="1276"/>
      <c r="U175" s="1276"/>
      <c r="V175" s="1276"/>
      <c r="W175" s="1277"/>
      <c r="X175" s="1277"/>
      <c r="Y175" s="1277"/>
      <c r="Z175" s="1277"/>
      <c r="AA175" s="1277"/>
      <c r="AB175" s="1277"/>
      <c r="AC175" s="1277"/>
      <c r="AD175" s="1277"/>
      <c r="AE175" s="1277"/>
      <c r="AF175" s="1277"/>
      <c r="AG175" s="1277"/>
      <c r="AH175" s="1277"/>
      <c r="AI175" s="1277"/>
      <c r="AJ175" s="1277"/>
      <c r="AK175" s="1277"/>
      <c r="AL175" s="1277"/>
      <c r="AM175" s="1277"/>
      <c r="AN175" s="1277"/>
      <c r="AO175" s="1277"/>
      <c r="AP175" s="1277"/>
      <c r="AQ175" s="1277"/>
      <c r="AR175" s="1277"/>
      <c r="AS175" s="1277"/>
      <c r="AT175" s="1277"/>
      <c r="AU175" s="1277"/>
      <c r="AV175" s="1277"/>
      <c r="AW175" s="1277"/>
      <c r="AX175" s="1277"/>
      <c r="AY175" s="1277"/>
      <c r="AZ175" s="1277"/>
      <c r="BA175" s="1277"/>
      <c r="BB175" s="1277"/>
      <c r="BC175" s="1277"/>
      <c r="BD175" s="1277"/>
      <c r="BE175" s="1277"/>
      <c r="BF175" s="1277"/>
      <c r="BG175" s="1277"/>
      <c r="BH175" s="1277"/>
      <c r="BI175" s="1277"/>
      <c r="BJ175" s="1277"/>
      <c r="BK175" s="1277"/>
      <c r="BL175" s="1277"/>
      <c r="BM175" s="1277"/>
      <c r="BN175" s="1277"/>
      <c r="BO175" s="1277"/>
      <c r="BP175" s="1277"/>
      <c r="BQ175" s="1277"/>
      <c r="BR175" s="1277"/>
      <c r="BS175" s="1277"/>
      <c r="BT175" s="1277"/>
      <c r="BU175" s="1277"/>
      <c r="BV175" s="1277"/>
      <c r="BW175" s="1277"/>
      <c r="BX175" s="1277"/>
      <c r="BY175" s="1277"/>
      <c r="BZ175" s="1277"/>
      <c r="CA175" s="1277"/>
      <c r="CB175" s="1277"/>
      <c r="CC175" s="1277"/>
      <c r="CD175" s="1277"/>
      <c r="CE175" s="1277"/>
      <c r="CF175" s="1277"/>
      <c r="CG175" s="1277"/>
      <c r="CH175" s="1269"/>
      <c r="CI175" s="1277"/>
      <c r="CJ175" s="1277"/>
      <c r="CK175" s="1277"/>
      <c r="CL175" s="1277"/>
      <c r="CM175" s="1277"/>
      <c r="CN175" s="1277"/>
      <c r="CO175" s="1277"/>
      <c r="CP175" s="1277"/>
      <c r="CQ175" s="1277"/>
      <c r="CR175" s="1277"/>
      <c r="CS175" s="1277"/>
      <c r="CT175" s="1277"/>
      <c r="CU175" s="1277"/>
      <c r="CV175" s="1277"/>
      <c r="CW175" s="1277"/>
      <c r="CX175" s="1277"/>
      <c r="CY175" s="1277"/>
      <c r="CZ175" s="1277"/>
      <c r="DA175" s="1277"/>
      <c r="DB175" s="1277"/>
      <c r="DC175" s="1277"/>
      <c r="DD175" s="1277"/>
      <c r="DE175" s="1277"/>
      <c r="DF175" s="1277"/>
      <c r="DG175" s="1277"/>
      <c r="DH175" s="1277"/>
      <c r="DI175" s="1277"/>
      <c r="DJ175" s="1277"/>
      <c r="DK175" s="1277"/>
      <c r="DL175" s="1277"/>
      <c r="DM175" s="1277"/>
      <c r="DN175" s="1277"/>
      <c r="DO175" s="1277"/>
      <c r="DP175" s="1277"/>
      <c r="DQ175" s="1277"/>
      <c r="DR175" s="1277"/>
      <c r="DS175" s="1277"/>
      <c r="DT175" s="1277"/>
      <c r="DU175" s="1277"/>
      <c r="DV175" s="1277"/>
      <c r="DW175" s="1277"/>
      <c r="DX175" s="1277"/>
      <c r="DY175" s="1277"/>
      <c r="DZ175" s="1277"/>
      <c r="EA175" s="1277"/>
      <c r="EB175" s="1276"/>
      <c r="EC175" s="1273"/>
      <c r="ED175" s="1273"/>
      <c r="EE175" s="1273"/>
      <c r="EF175" s="1273"/>
      <c r="EG175" s="1273"/>
      <c r="EH175" s="1273"/>
      <c r="EI175" s="1273"/>
      <c r="EJ175" s="1273"/>
      <c r="EK175" s="1273"/>
      <c r="EL175" s="1273"/>
      <c r="EM175" s="1313"/>
    </row>
    <row r="176" spans="1:143" s="1271" customFormat="1">
      <c r="B176" s="1272"/>
      <c r="C176" s="1272"/>
      <c r="D176" s="1273"/>
      <c r="E176" s="1273"/>
      <c r="F176" s="1273"/>
      <c r="G176" s="1273"/>
      <c r="H176" s="1273"/>
      <c r="I176" s="1273"/>
      <c r="J176" s="1273"/>
      <c r="K176" s="1280"/>
      <c r="L176" s="1280"/>
      <c r="M176" s="1280"/>
      <c r="N176" s="1280"/>
      <c r="O176" s="1280"/>
      <c r="P176" s="1280"/>
      <c r="Q176" s="1280"/>
      <c r="R176" s="1280"/>
      <c r="S176" s="1280"/>
      <c r="T176" s="1280"/>
      <c r="U176" s="1280"/>
      <c r="V176" s="1280"/>
      <c r="W176" s="1281"/>
      <c r="X176" s="1281"/>
      <c r="Y176" s="1281"/>
      <c r="Z176" s="1281"/>
      <c r="AA176" s="1281"/>
      <c r="AB176" s="1281"/>
      <c r="AC176" s="1281"/>
      <c r="AD176" s="1281"/>
      <c r="AE176" s="1281"/>
      <c r="AF176" s="1281"/>
      <c r="AG176" s="1281"/>
      <c r="AH176" s="1281"/>
      <c r="AI176" s="1281"/>
      <c r="AJ176" s="1281"/>
      <c r="AK176" s="1281"/>
      <c r="AL176" s="1281"/>
      <c r="AM176" s="1281"/>
      <c r="AN176" s="1281"/>
      <c r="AO176" s="1281"/>
      <c r="AP176" s="1281"/>
      <c r="AQ176" s="1281"/>
      <c r="AR176" s="1281"/>
      <c r="AS176" s="1281"/>
      <c r="AT176" s="1281"/>
      <c r="AU176" s="1281"/>
      <c r="AV176" s="1281"/>
      <c r="AW176" s="1281"/>
      <c r="AX176" s="1281"/>
      <c r="AY176" s="1281"/>
      <c r="AZ176" s="1281"/>
      <c r="BA176" s="1281"/>
      <c r="BB176" s="1281"/>
      <c r="BC176" s="1281"/>
      <c r="BD176" s="1281"/>
      <c r="BE176" s="1281"/>
      <c r="BF176" s="1281"/>
      <c r="BG176" s="1281"/>
      <c r="BH176" s="1281"/>
      <c r="BI176" s="1281"/>
      <c r="BJ176" s="1281"/>
      <c r="BK176" s="1281"/>
      <c r="BL176" s="1281"/>
      <c r="BM176" s="1281"/>
      <c r="BN176" s="1281"/>
      <c r="BO176" s="1281"/>
      <c r="BP176" s="1281"/>
      <c r="BQ176" s="1281"/>
      <c r="BR176" s="1281"/>
      <c r="BS176" s="1281"/>
      <c r="BT176" s="1281"/>
      <c r="BU176" s="1281"/>
      <c r="BV176" s="1281"/>
      <c r="BW176" s="1281"/>
      <c r="BX176" s="1281"/>
      <c r="BY176" s="1281"/>
      <c r="BZ176" s="1281"/>
      <c r="CA176" s="1281"/>
      <c r="CB176" s="1281"/>
      <c r="CC176" s="1281"/>
      <c r="CD176" s="1281"/>
      <c r="CE176" s="1281"/>
      <c r="CF176" s="1281"/>
      <c r="CG176" s="1281"/>
      <c r="CH176" s="1269"/>
      <c r="CI176" s="1281"/>
      <c r="CJ176" s="1281"/>
      <c r="CK176" s="1281"/>
      <c r="CL176" s="1281"/>
      <c r="CM176" s="1281"/>
      <c r="CN176" s="1281"/>
      <c r="CO176" s="1281"/>
      <c r="CP176" s="1281"/>
      <c r="CQ176" s="1281"/>
      <c r="CR176" s="1281"/>
      <c r="CS176" s="1281"/>
      <c r="CT176" s="1281"/>
      <c r="CU176" s="1281"/>
      <c r="CV176" s="1281"/>
      <c r="CW176" s="1281"/>
      <c r="CX176" s="1281"/>
      <c r="CY176" s="1281"/>
      <c r="CZ176" s="1281"/>
      <c r="DA176" s="1281"/>
      <c r="DB176" s="1281"/>
      <c r="DC176" s="1281"/>
      <c r="DD176" s="1281"/>
      <c r="DE176" s="1281"/>
      <c r="DF176" s="1281"/>
      <c r="DG176" s="1281"/>
      <c r="DH176" s="1281"/>
      <c r="DI176" s="1281"/>
      <c r="DJ176" s="1281"/>
      <c r="DK176" s="1281"/>
      <c r="DL176" s="1281"/>
      <c r="DM176" s="1281"/>
      <c r="DN176" s="1281"/>
      <c r="DO176" s="1281"/>
      <c r="DP176" s="1281"/>
      <c r="DQ176" s="1281"/>
      <c r="DR176" s="1281"/>
      <c r="DS176" s="1281"/>
      <c r="DT176" s="1281"/>
      <c r="DU176" s="1281"/>
      <c r="DV176" s="1281"/>
      <c r="DW176" s="1281"/>
      <c r="DX176" s="1281"/>
      <c r="DY176" s="1281"/>
      <c r="DZ176" s="1281"/>
      <c r="EA176" s="1281"/>
      <c r="EB176" s="1280"/>
      <c r="EC176" s="1273"/>
      <c r="ED176" s="1273"/>
      <c r="EE176" s="1273"/>
      <c r="EF176" s="1273"/>
      <c r="EG176" s="1273"/>
      <c r="EH176" s="1273"/>
      <c r="EI176" s="1273"/>
      <c r="EJ176" s="1273"/>
      <c r="EK176" s="1273"/>
      <c r="EL176" s="1273"/>
      <c r="EM176" s="1334"/>
    </row>
    <row r="177" spans="1:143" s="1271" customFormat="1">
      <c r="B177" s="1272"/>
      <c r="C177" s="1272"/>
      <c r="D177" s="1273"/>
      <c r="E177" s="1273"/>
      <c r="F177" s="1273"/>
      <c r="G177" s="1273"/>
      <c r="H177" s="1273"/>
      <c r="I177" s="1273"/>
      <c r="J177" s="1273"/>
      <c r="K177" s="1280"/>
      <c r="L177" s="1280"/>
      <c r="M177" s="1280"/>
      <c r="N177" s="1280"/>
      <c r="O177" s="1280"/>
      <c r="P177" s="1280"/>
      <c r="Q177" s="1280"/>
      <c r="R177" s="1280"/>
      <c r="S177" s="1280"/>
      <c r="T177" s="1280"/>
      <c r="U177" s="1280"/>
      <c r="V177" s="1280"/>
      <c r="W177" s="1281"/>
      <c r="X177" s="1281"/>
      <c r="Y177" s="1281"/>
      <c r="Z177" s="1281"/>
      <c r="AA177" s="1281"/>
      <c r="AB177" s="1281"/>
      <c r="AC177" s="1281"/>
      <c r="AD177" s="1281"/>
      <c r="AE177" s="1281"/>
      <c r="AF177" s="1281"/>
      <c r="AG177" s="1281"/>
      <c r="AH177" s="1281"/>
      <c r="AI177" s="1281"/>
      <c r="AJ177" s="1281"/>
      <c r="AK177" s="1281"/>
      <c r="AL177" s="1281"/>
      <c r="AM177" s="1281"/>
      <c r="AN177" s="1281"/>
      <c r="AO177" s="1281"/>
      <c r="AP177" s="1281"/>
      <c r="AQ177" s="1281"/>
      <c r="AR177" s="1281"/>
      <c r="AS177" s="1281"/>
      <c r="AT177" s="1281"/>
      <c r="AU177" s="1281"/>
      <c r="AV177" s="1281"/>
      <c r="AW177" s="1281"/>
      <c r="AX177" s="1281"/>
      <c r="AY177" s="1281"/>
      <c r="AZ177" s="1281"/>
      <c r="BA177" s="1281"/>
      <c r="BB177" s="1281"/>
      <c r="BC177" s="1281"/>
      <c r="BD177" s="1281"/>
      <c r="BE177" s="1281"/>
      <c r="BF177" s="1281"/>
      <c r="BG177" s="1281"/>
      <c r="BH177" s="1281"/>
      <c r="BI177" s="1281"/>
      <c r="BJ177" s="1281"/>
      <c r="BK177" s="1281"/>
      <c r="BL177" s="1281"/>
      <c r="BM177" s="1281"/>
      <c r="BN177" s="1281"/>
      <c r="BO177" s="1281"/>
      <c r="BP177" s="1281"/>
      <c r="BQ177" s="1281"/>
      <c r="BR177" s="1281"/>
      <c r="BS177" s="1281"/>
      <c r="BT177" s="1281"/>
      <c r="BU177" s="1281"/>
      <c r="BV177" s="1281"/>
      <c r="BW177" s="1281"/>
      <c r="BX177" s="1281"/>
      <c r="BY177" s="1281"/>
      <c r="BZ177" s="1281"/>
      <c r="CA177" s="1281"/>
      <c r="CB177" s="1281"/>
      <c r="CC177" s="1281"/>
      <c r="CD177" s="1281"/>
      <c r="CE177" s="1281"/>
      <c r="CF177" s="1281"/>
      <c r="CG177" s="1281"/>
      <c r="CH177" s="1269"/>
      <c r="CI177" s="1281"/>
      <c r="CJ177" s="1281"/>
      <c r="CK177" s="1281"/>
      <c r="CL177" s="1281"/>
      <c r="CM177" s="1281"/>
      <c r="CN177" s="1281"/>
      <c r="CO177" s="1281"/>
      <c r="CP177" s="1281"/>
      <c r="CQ177" s="1281"/>
      <c r="CR177" s="1281"/>
      <c r="CS177" s="1281"/>
      <c r="CT177" s="1281"/>
      <c r="CU177" s="1281"/>
      <c r="CV177" s="1281"/>
      <c r="CW177" s="1281"/>
      <c r="CX177" s="1281"/>
      <c r="CY177" s="1281"/>
      <c r="CZ177" s="1281"/>
      <c r="DA177" s="1281"/>
      <c r="DB177" s="1281"/>
      <c r="DC177" s="1281"/>
      <c r="DD177" s="1281"/>
      <c r="DE177" s="1281"/>
      <c r="DF177" s="1281"/>
      <c r="DG177" s="1281"/>
      <c r="DH177" s="1281"/>
      <c r="DI177" s="1281"/>
      <c r="DJ177" s="1281"/>
      <c r="DK177" s="1281"/>
      <c r="DL177" s="1281"/>
      <c r="DM177" s="1281"/>
      <c r="DN177" s="1281"/>
      <c r="DO177" s="1281"/>
      <c r="DP177" s="1281"/>
      <c r="DQ177" s="1281"/>
      <c r="DR177" s="1281"/>
      <c r="DS177" s="1281"/>
      <c r="DT177" s="1281"/>
      <c r="DU177" s="1281"/>
      <c r="DV177" s="1281"/>
      <c r="DW177" s="1281"/>
      <c r="DX177" s="1281"/>
      <c r="DY177" s="1281"/>
      <c r="DZ177" s="1281"/>
      <c r="EA177" s="1281"/>
      <c r="EB177" s="1280"/>
      <c r="EC177" s="1273"/>
      <c r="ED177" s="1273"/>
      <c r="EE177" s="1273"/>
      <c r="EF177" s="1273"/>
      <c r="EG177" s="1273"/>
      <c r="EH177" s="1273"/>
      <c r="EI177" s="1273"/>
      <c r="EJ177" s="1273"/>
      <c r="EK177" s="1273"/>
      <c r="EL177" s="1273"/>
      <c r="EM177" s="1313"/>
    </row>
    <row r="178" spans="1:143" s="1271" customFormat="1">
      <c r="B178" s="1272"/>
      <c r="C178" s="1272"/>
      <c r="D178" s="1273"/>
      <c r="E178" s="1273"/>
      <c r="F178" s="1273"/>
      <c r="G178" s="1273"/>
      <c r="H178" s="1273"/>
      <c r="I178" s="1273"/>
      <c r="J178" s="1273"/>
      <c r="K178" s="1280"/>
      <c r="L178" s="1280"/>
      <c r="M178" s="1280"/>
      <c r="N178" s="1280"/>
      <c r="O178" s="1280"/>
      <c r="P178" s="1280"/>
      <c r="Q178" s="1280"/>
      <c r="R178" s="1280"/>
      <c r="S178" s="1280"/>
      <c r="T178" s="1280"/>
      <c r="U178" s="1280"/>
      <c r="V178" s="1280"/>
      <c r="W178" s="1281"/>
      <c r="X178" s="1281"/>
      <c r="Y178" s="1281"/>
      <c r="Z178" s="1281"/>
      <c r="AA178" s="1281"/>
      <c r="AB178" s="1281"/>
      <c r="AC178" s="1281"/>
      <c r="AD178" s="1281"/>
      <c r="AE178" s="1281"/>
      <c r="AF178" s="1281"/>
      <c r="AG178" s="1281"/>
      <c r="AH178" s="1281"/>
      <c r="AI178" s="1281"/>
      <c r="AJ178" s="1281"/>
      <c r="AK178" s="1281"/>
      <c r="AL178" s="1281"/>
      <c r="AM178" s="1281"/>
      <c r="AN178" s="1281"/>
      <c r="AO178" s="1281"/>
      <c r="AP178" s="1281"/>
      <c r="AQ178" s="1281"/>
      <c r="AR178" s="1281"/>
      <c r="AS178" s="1281"/>
      <c r="AT178" s="1281"/>
      <c r="AU178" s="1281"/>
      <c r="AV178" s="1281"/>
      <c r="AW178" s="1281"/>
      <c r="AX178" s="1281"/>
      <c r="AY178" s="1281"/>
      <c r="AZ178" s="1281"/>
      <c r="BA178" s="1281"/>
      <c r="BB178" s="1281"/>
      <c r="BC178" s="1281"/>
      <c r="BD178" s="1281"/>
      <c r="BE178" s="1281"/>
      <c r="BF178" s="1281"/>
      <c r="BG178" s="1281"/>
      <c r="BH178" s="1281"/>
      <c r="BI178" s="1281"/>
      <c r="BJ178" s="1281"/>
      <c r="BK178" s="1281"/>
      <c r="BL178" s="1281"/>
      <c r="BM178" s="1281"/>
      <c r="BN178" s="1281"/>
      <c r="BO178" s="1281"/>
      <c r="BP178" s="1281"/>
      <c r="BQ178" s="1281"/>
      <c r="BR178" s="1281"/>
      <c r="BS178" s="1281"/>
      <c r="BT178" s="1281"/>
      <c r="BU178" s="1281"/>
      <c r="BV178" s="1281"/>
      <c r="BW178" s="1281"/>
      <c r="BX178" s="1281"/>
      <c r="BY178" s="1281"/>
      <c r="BZ178" s="1281"/>
      <c r="CA178" s="1281"/>
      <c r="CB178" s="1281"/>
      <c r="CC178" s="1281"/>
      <c r="CD178" s="1281"/>
      <c r="CE178" s="1281"/>
      <c r="CF178" s="1281"/>
      <c r="CG178" s="1281"/>
      <c r="CH178" s="1269"/>
      <c r="CI178" s="1281"/>
      <c r="CJ178" s="1281"/>
      <c r="CK178" s="1281"/>
      <c r="CL178" s="1281"/>
      <c r="CM178" s="1281"/>
      <c r="CN178" s="1281"/>
      <c r="CO178" s="1281"/>
      <c r="CP178" s="1281"/>
      <c r="CQ178" s="1281"/>
      <c r="CR178" s="1281"/>
      <c r="CS178" s="1281"/>
      <c r="CT178" s="1281"/>
      <c r="CU178" s="1281"/>
      <c r="CV178" s="1281"/>
      <c r="CW178" s="1281"/>
      <c r="CX178" s="1281"/>
      <c r="CY178" s="1281"/>
      <c r="CZ178" s="1281"/>
      <c r="DA178" s="1281"/>
      <c r="DB178" s="1281"/>
      <c r="DC178" s="1281"/>
      <c r="DD178" s="1281"/>
      <c r="DE178" s="1281"/>
      <c r="DF178" s="1281"/>
      <c r="DG178" s="1281"/>
      <c r="DH178" s="1281"/>
      <c r="DI178" s="1281"/>
      <c r="DJ178" s="1281"/>
      <c r="DK178" s="1281"/>
      <c r="DL178" s="1281"/>
      <c r="DM178" s="1281"/>
      <c r="DN178" s="1281"/>
      <c r="DO178" s="1281"/>
      <c r="DP178" s="1281"/>
      <c r="DQ178" s="1281"/>
      <c r="DR178" s="1281"/>
      <c r="DS178" s="1281"/>
      <c r="DT178" s="1281"/>
      <c r="DU178" s="1281"/>
      <c r="DV178" s="1281"/>
      <c r="DW178" s="1281"/>
      <c r="DX178" s="1281"/>
      <c r="DY178" s="1281"/>
      <c r="DZ178" s="1281"/>
      <c r="EA178" s="1281"/>
      <c r="EB178" s="1280"/>
      <c r="EC178" s="1273"/>
      <c r="ED178" s="1273"/>
      <c r="EE178" s="1273"/>
      <c r="EF178" s="1273"/>
      <c r="EG178" s="1273"/>
      <c r="EH178" s="1273"/>
      <c r="EI178" s="1273"/>
      <c r="EJ178" s="1273"/>
      <c r="EK178" s="1273"/>
      <c r="EL178" s="1273"/>
      <c r="EM178" s="1313"/>
    </row>
    <row r="179" spans="1:143" s="1271" customFormat="1">
      <c r="B179" s="1272"/>
      <c r="C179" s="1272"/>
      <c r="D179" s="1273"/>
      <c r="E179" s="1273"/>
      <c r="F179" s="1273"/>
      <c r="G179" s="1273"/>
      <c r="H179" s="1273"/>
      <c r="I179" s="1273"/>
      <c r="J179" s="1273"/>
      <c r="K179" s="1280"/>
      <c r="L179" s="1280"/>
      <c r="M179" s="1280"/>
      <c r="N179" s="1280"/>
      <c r="O179" s="1280"/>
      <c r="P179" s="1280"/>
      <c r="Q179" s="1280"/>
      <c r="R179" s="1280"/>
      <c r="S179" s="1280"/>
      <c r="T179" s="1280"/>
      <c r="U179" s="1280"/>
      <c r="V179" s="1280"/>
      <c r="W179" s="1281"/>
      <c r="X179" s="1281"/>
      <c r="Y179" s="1281"/>
      <c r="Z179" s="1281"/>
      <c r="AA179" s="1281"/>
      <c r="AB179" s="1281"/>
      <c r="AC179" s="1281"/>
      <c r="AD179" s="1281"/>
      <c r="AE179" s="1281"/>
      <c r="AF179" s="1281"/>
      <c r="AG179" s="1281"/>
      <c r="AH179" s="1281"/>
      <c r="AI179" s="1281"/>
      <c r="AJ179" s="1281"/>
      <c r="AK179" s="1281"/>
      <c r="AL179" s="1281"/>
      <c r="AM179" s="1281"/>
      <c r="AN179" s="1281"/>
      <c r="AO179" s="1281"/>
      <c r="AP179" s="1281"/>
      <c r="AQ179" s="1281"/>
      <c r="AR179" s="1281"/>
      <c r="AS179" s="1281"/>
      <c r="AT179" s="1281"/>
      <c r="AU179" s="1281"/>
      <c r="AV179" s="1281"/>
      <c r="AW179" s="1281"/>
      <c r="AX179" s="1281"/>
      <c r="AY179" s="1281"/>
      <c r="AZ179" s="1281"/>
      <c r="BA179" s="1281"/>
      <c r="BB179" s="1281"/>
      <c r="BC179" s="1281"/>
      <c r="BD179" s="1281"/>
      <c r="BE179" s="1281"/>
      <c r="BF179" s="1281"/>
      <c r="BG179" s="1281"/>
      <c r="BH179" s="1281"/>
      <c r="BI179" s="1281"/>
      <c r="BJ179" s="1281"/>
      <c r="BK179" s="1281"/>
      <c r="BL179" s="1281"/>
      <c r="BM179" s="1281"/>
      <c r="BN179" s="1281"/>
      <c r="BO179" s="1281"/>
      <c r="BP179" s="1281"/>
      <c r="BQ179" s="1281"/>
      <c r="BR179" s="1281"/>
      <c r="BS179" s="1281"/>
      <c r="BT179" s="1281"/>
      <c r="BU179" s="1281"/>
      <c r="BV179" s="1281"/>
      <c r="BW179" s="1281"/>
      <c r="BX179" s="1281"/>
      <c r="BY179" s="1281"/>
      <c r="BZ179" s="1281"/>
      <c r="CA179" s="1281"/>
      <c r="CB179" s="1281"/>
      <c r="CC179" s="1281"/>
      <c r="CD179" s="1281"/>
      <c r="CE179" s="1281"/>
      <c r="CF179" s="1281"/>
      <c r="CG179" s="1281"/>
      <c r="CH179" s="1269"/>
      <c r="CI179" s="1281"/>
      <c r="CJ179" s="1281"/>
      <c r="CK179" s="1281"/>
      <c r="CL179" s="1281"/>
      <c r="CM179" s="1281"/>
      <c r="CN179" s="1281"/>
      <c r="CO179" s="1281"/>
      <c r="CP179" s="1281"/>
      <c r="CQ179" s="1281"/>
      <c r="CR179" s="1281"/>
      <c r="CS179" s="1281"/>
      <c r="CT179" s="1281"/>
      <c r="CU179" s="1281"/>
      <c r="CV179" s="1281"/>
      <c r="CW179" s="1281"/>
      <c r="CX179" s="1281"/>
      <c r="CY179" s="1281"/>
      <c r="CZ179" s="1281"/>
      <c r="DA179" s="1281"/>
      <c r="DB179" s="1281"/>
      <c r="DC179" s="1281"/>
      <c r="DD179" s="1281"/>
      <c r="DE179" s="1281"/>
      <c r="DF179" s="1281"/>
      <c r="DG179" s="1281"/>
      <c r="DH179" s="1281"/>
      <c r="DI179" s="1281"/>
      <c r="DJ179" s="1281"/>
      <c r="DK179" s="1281"/>
      <c r="DL179" s="1281"/>
      <c r="DM179" s="1281"/>
      <c r="DN179" s="1281"/>
      <c r="DO179" s="1281"/>
      <c r="DP179" s="1281"/>
      <c r="DQ179" s="1281"/>
      <c r="DR179" s="1281"/>
      <c r="DS179" s="1281"/>
      <c r="DT179" s="1281"/>
      <c r="DU179" s="1281"/>
      <c r="DV179" s="1281"/>
      <c r="DW179" s="1281"/>
      <c r="DX179" s="1281"/>
      <c r="DY179" s="1281"/>
      <c r="DZ179" s="1281"/>
      <c r="EA179" s="1281"/>
      <c r="EB179" s="1280"/>
      <c r="EC179" s="1273"/>
      <c r="ED179" s="1273"/>
      <c r="EE179" s="1273"/>
      <c r="EF179" s="1273"/>
      <c r="EG179" s="1273"/>
      <c r="EH179" s="1273"/>
      <c r="EI179" s="1273"/>
      <c r="EJ179" s="1273"/>
      <c r="EK179" s="1273"/>
      <c r="EL179" s="1273"/>
      <c r="EM179" s="1313"/>
    </row>
    <row r="180" spans="1:143" s="1271" customFormat="1">
      <c r="B180" s="1272"/>
      <c r="C180" s="1272"/>
      <c r="D180" s="1273"/>
      <c r="E180" s="1273"/>
      <c r="F180" s="1273"/>
      <c r="G180" s="1273"/>
      <c r="H180" s="1273"/>
      <c r="I180" s="1273"/>
      <c r="J180" s="1273"/>
      <c r="K180" s="1280"/>
      <c r="L180" s="1280"/>
      <c r="M180" s="1280"/>
      <c r="N180" s="1280"/>
      <c r="O180" s="1280"/>
      <c r="P180" s="1280"/>
      <c r="Q180" s="1280"/>
      <c r="R180" s="1280"/>
      <c r="S180" s="1280"/>
      <c r="T180" s="1280"/>
      <c r="U180" s="1280"/>
      <c r="V180" s="1280"/>
      <c r="W180" s="1281"/>
      <c r="X180" s="1281"/>
      <c r="Y180" s="1281"/>
      <c r="Z180" s="1281"/>
      <c r="AA180" s="1281"/>
      <c r="AB180" s="1281"/>
      <c r="AC180" s="1281"/>
      <c r="AD180" s="1281"/>
      <c r="AE180" s="1281"/>
      <c r="AF180" s="1281"/>
      <c r="AG180" s="1281"/>
      <c r="AH180" s="1281"/>
      <c r="AI180" s="1281"/>
      <c r="AJ180" s="1281"/>
      <c r="AK180" s="1281"/>
      <c r="AL180" s="1281"/>
      <c r="AM180" s="1281"/>
      <c r="AN180" s="1281"/>
      <c r="AO180" s="1281"/>
      <c r="AP180" s="1281"/>
      <c r="AQ180" s="1281"/>
      <c r="AR180" s="1281"/>
      <c r="AS180" s="1281"/>
      <c r="AT180" s="1281"/>
      <c r="AU180" s="1281"/>
      <c r="AV180" s="1281"/>
      <c r="AW180" s="1281"/>
      <c r="AX180" s="1281"/>
      <c r="AY180" s="1281"/>
      <c r="AZ180" s="1281"/>
      <c r="BA180" s="1281"/>
      <c r="BB180" s="1281"/>
      <c r="BC180" s="1281"/>
      <c r="BD180" s="1281"/>
      <c r="BE180" s="1281"/>
      <c r="BF180" s="1281"/>
      <c r="BG180" s="1281"/>
      <c r="BH180" s="1281"/>
      <c r="BI180" s="1281"/>
      <c r="BJ180" s="1281"/>
      <c r="BK180" s="1281"/>
      <c r="BL180" s="1281"/>
      <c r="BM180" s="1281"/>
      <c r="BN180" s="1281"/>
      <c r="BO180" s="1281"/>
      <c r="BP180" s="1281"/>
      <c r="BQ180" s="1281"/>
      <c r="BR180" s="1281"/>
      <c r="BS180" s="1281"/>
      <c r="BT180" s="1281"/>
      <c r="BU180" s="1281"/>
      <c r="BV180" s="1281"/>
      <c r="BW180" s="1281"/>
      <c r="BX180" s="1281"/>
      <c r="BY180" s="1281"/>
      <c r="BZ180" s="1281"/>
      <c r="CA180" s="1281"/>
      <c r="CB180" s="1281"/>
      <c r="CC180" s="1281"/>
      <c r="CD180" s="1281"/>
      <c r="CE180" s="1281"/>
      <c r="CF180" s="1281"/>
      <c r="CG180" s="1281"/>
      <c r="CH180" s="1269"/>
      <c r="CI180" s="1281"/>
      <c r="CJ180" s="1281"/>
      <c r="CK180" s="1281"/>
      <c r="CL180" s="1281"/>
      <c r="CM180" s="1281"/>
      <c r="CN180" s="1281"/>
      <c r="CO180" s="1281"/>
      <c r="CP180" s="1281"/>
      <c r="CQ180" s="1281"/>
      <c r="CR180" s="1281"/>
      <c r="CS180" s="1281"/>
      <c r="CT180" s="1281"/>
      <c r="CU180" s="1281"/>
      <c r="CV180" s="1281"/>
      <c r="CW180" s="1281"/>
      <c r="CX180" s="1281"/>
      <c r="CY180" s="1281"/>
      <c r="CZ180" s="1281"/>
      <c r="DA180" s="1281"/>
      <c r="DB180" s="1281"/>
      <c r="DC180" s="1281"/>
      <c r="DD180" s="1281"/>
      <c r="DE180" s="1281"/>
      <c r="DF180" s="1281"/>
      <c r="DG180" s="1281"/>
      <c r="DH180" s="1281"/>
      <c r="DI180" s="1281"/>
      <c r="DJ180" s="1281"/>
      <c r="DK180" s="1281"/>
      <c r="DL180" s="1281"/>
      <c r="DM180" s="1281"/>
      <c r="DN180" s="1281"/>
      <c r="DO180" s="1281"/>
      <c r="DP180" s="1281"/>
      <c r="DQ180" s="1281"/>
      <c r="DR180" s="1281"/>
      <c r="DS180" s="1281"/>
      <c r="DT180" s="1281"/>
      <c r="DU180" s="1281"/>
      <c r="DV180" s="1281"/>
      <c r="DW180" s="1281"/>
      <c r="DX180" s="1281"/>
      <c r="DY180" s="1281"/>
      <c r="DZ180" s="1281"/>
      <c r="EA180" s="1281"/>
      <c r="EB180" s="1280"/>
      <c r="EC180" s="1273"/>
      <c r="ED180" s="1273"/>
      <c r="EE180" s="1273"/>
      <c r="EF180" s="1273"/>
      <c r="EG180" s="1273"/>
      <c r="EH180" s="1273"/>
      <c r="EI180" s="1273"/>
      <c r="EJ180" s="1273"/>
      <c r="EK180" s="1273"/>
      <c r="EL180" s="1273"/>
      <c r="EM180" s="1313"/>
    </row>
    <row r="181" spans="1:143" s="1271" customFormat="1">
      <c r="B181" s="1272"/>
      <c r="C181" s="1272"/>
      <c r="D181" s="1273"/>
      <c r="E181" s="1273"/>
      <c r="F181" s="1273"/>
      <c r="G181" s="1273"/>
      <c r="H181" s="1273"/>
      <c r="I181" s="1273"/>
      <c r="J181" s="1273"/>
      <c r="K181" s="1280"/>
      <c r="L181" s="1280"/>
      <c r="M181" s="1280"/>
      <c r="N181" s="1280"/>
      <c r="O181" s="1280"/>
      <c r="P181" s="1280"/>
      <c r="Q181" s="1280"/>
      <c r="R181" s="1280"/>
      <c r="S181" s="1280"/>
      <c r="T181" s="1280"/>
      <c r="U181" s="1280"/>
      <c r="V181" s="1280"/>
      <c r="W181" s="1281"/>
      <c r="X181" s="1281"/>
      <c r="Y181" s="1281"/>
      <c r="Z181" s="1281"/>
      <c r="AA181" s="1281"/>
      <c r="AB181" s="1281"/>
      <c r="AC181" s="1281"/>
      <c r="AD181" s="1281"/>
      <c r="AE181" s="1281"/>
      <c r="AF181" s="1281"/>
      <c r="AG181" s="1281"/>
      <c r="AH181" s="1281"/>
      <c r="AI181" s="1281"/>
      <c r="AJ181" s="1281"/>
      <c r="AK181" s="1281"/>
      <c r="AL181" s="1281"/>
      <c r="AM181" s="1281"/>
      <c r="AN181" s="1281"/>
      <c r="AO181" s="1281"/>
      <c r="AP181" s="1281"/>
      <c r="AQ181" s="1281"/>
      <c r="AR181" s="1281"/>
      <c r="AS181" s="1281"/>
      <c r="AT181" s="1281"/>
      <c r="AU181" s="1281"/>
      <c r="AV181" s="1281"/>
      <c r="AW181" s="1281"/>
      <c r="AX181" s="1281"/>
      <c r="AY181" s="1281"/>
      <c r="AZ181" s="1281"/>
      <c r="BA181" s="1281"/>
      <c r="BB181" s="1281"/>
      <c r="BC181" s="1281"/>
      <c r="BD181" s="1281"/>
      <c r="BE181" s="1281"/>
      <c r="BF181" s="1281"/>
      <c r="BG181" s="1281"/>
      <c r="BH181" s="1281"/>
      <c r="BI181" s="1281"/>
      <c r="BJ181" s="1281"/>
      <c r="BK181" s="1281"/>
      <c r="BL181" s="1281"/>
      <c r="BM181" s="1281"/>
      <c r="BN181" s="1281"/>
      <c r="BO181" s="1281"/>
      <c r="BP181" s="1281"/>
      <c r="BQ181" s="1281"/>
      <c r="BR181" s="1281"/>
      <c r="BS181" s="1281"/>
      <c r="BT181" s="1281"/>
      <c r="BU181" s="1281"/>
      <c r="BV181" s="1281"/>
      <c r="BW181" s="1281"/>
      <c r="BX181" s="1281"/>
      <c r="BY181" s="1281"/>
      <c r="BZ181" s="1281"/>
      <c r="CA181" s="1281"/>
      <c r="CB181" s="1281"/>
      <c r="CC181" s="1281"/>
      <c r="CD181" s="1281"/>
      <c r="CE181" s="1281"/>
      <c r="CF181" s="1281"/>
      <c r="CG181" s="1281"/>
      <c r="CH181" s="1269"/>
      <c r="CI181" s="1281"/>
      <c r="CJ181" s="1281"/>
      <c r="CK181" s="1281"/>
      <c r="CL181" s="1281"/>
      <c r="CM181" s="1281"/>
      <c r="CN181" s="1281"/>
      <c r="CO181" s="1281"/>
      <c r="CP181" s="1281"/>
      <c r="CQ181" s="1281"/>
      <c r="CR181" s="1281"/>
      <c r="CS181" s="1281"/>
      <c r="CT181" s="1281"/>
      <c r="CU181" s="1281"/>
      <c r="CV181" s="1281"/>
      <c r="CW181" s="1281"/>
      <c r="CX181" s="1281"/>
      <c r="CY181" s="1281"/>
      <c r="CZ181" s="1281"/>
      <c r="DA181" s="1281"/>
      <c r="DB181" s="1281"/>
      <c r="DC181" s="1281"/>
      <c r="DD181" s="1281"/>
      <c r="DE181" s="1281"/>
      <c r="DF181" s="1281"/>
      <c r="DG181" s="1281"/>
      <c r="DH181" s="1281"/>
      <c r="DI181" s="1281"/>
      <c r="DJ181" s="1281"/>
      <c r="DK181" s="1281"/>
      <c r="DL181" s="1281"/>
      <c r="DM181" s="1281"/>
      <c r="DN181" s="1281"/>
      <c r="DO181" s="1281"/>
      <c r="DP181" s="1281"/>
      <c r="DQ181" s="1281"/>
      <c r="DR181" s="1281"/>
      <c r="DS181" s="1281"/>
      <c r="DT181" s="1281"/>
      <c r="DU181" s="1281"/>
      <c r="DV181" s="1281"/>
      <c r="DW181" s="1281"/>
      <c r="DX181" s="1281"/>
      <c r="DY181" s="1281"/>
      <c r="DZ181" s="1281"/>
      <c r="EA181" s="1281"/>
      <c r="EB181" s="1280"/>
      <c r="EC181" s="1273"/>
      <c r="ED181" s="1273"/>
      <c r="EE181" s="1273"/>
      <c r="EF181" s="1273"/>
      <c r="EG181" s="1273"/>
      <c r="EH181" s="1273"/>
      <c r="EI181" s="1273"/>
      <c r="EJ181" s="1273"/>
      <c r="EK181" s="1273"/>
      <c r="EL181" s="1273"/>
      <c r="EM181" s="1313"/>
    </row>
    <row r="182" spans="1:143" s="1271" customFormat="1">
      <c r="B182" s="1272"/>
      <c r="C182" s="1272"/>
      <c r="D182" s="1273"/>
      <c r="E182" s="1273"/>
      <c r="F182" s="1273"/>
      <c r="G182" s="1273"/>
      <c r="H182" s="1273"/>
      <c r="I182" s="1273"/>
      <c r="J182" s="1273"/>
      <c r="K182" s="1280"/>
      <c r="L182" s="1280"/>
      <c r="M182" s="1280"/>
      <c r="N182" s="1280"/>
      <c r="O182" s="1280"/>
      <c r="P182" s="1280"/>
      <c r="Q182" s="1280"/>
      <c r="R182" s="1280"/>
      <c r="S182" s="1280"/>
      <c r="T182" s="1280"/>
      <c r="U182" s="1280"/>
      <c r="V182" s="1280"/>
      <c r="W182" s="1281"/>
      <c r="X182" s="1281"/>
      <c r="Y182" s="1281"/>
      <c r="Z182" s="1281"/>
      <c r="AA182" s="1281"/>
      <c r="AB182" s="1281"/>
      <c r="AC182" s="1281"/>
      <c r="AD182" s="1281"/>
      <c r="AE182" s="1281"/>
      <c r="AF182" s="1281"/>
      <c r="AG182" s="1281"/>
      <c r="AH182" s="1281"/>
      <c r="AI182" s="1281"/>
      <c r="AJ182" s="1281"/>
      <c r="AK182" s="1281"/>
      <c r="AL182" s="1281"/>
      <c r="AM182" s="1281"/>
      <c r="AN182" s="1281"/>
      <c r="AO182" s="1281"/>
      <c r="AP182" s="1281"/>
      <c r="AQ182" s="1281"/>
      <c r="AR182" s="1281"/>
      <c r="AS182" s="1281"/>
      <c r="AT182" s="1281"/>
      <c r="AU182" s="1281"/>
      <c r="AV182" s="1281"/>
      <c r="AW182" s="1281"/>
      <c r="AX182" s="1281"/>
      <c r="AY182" s="1281"/>
      <c r="AZ182" s="1281"/>
      <c r="BA182" s="1281"/>
      <c r="BB182" s="1281"/>
      <c r="BC182" s="1281"/>
      <c r="BD182" s="1281"/>
      <c r="BE182" s="1281"/>
      <c r="BF182" s="1281"/>
      <c r="BG182" s="1281"/>
      <c r="BH182" s="1281"/>
      <c r="BI182" s="1281"/>
      <c r="BJ182" s="1281"/>
      <c r="BK182" s="1281"/>
      <c r="BL182" s="1281"/>
      <c r="BM182" s="1281"/>
      <c r="BN182" s="1281"/>
      <c r="BO182" s="1281"/>
      <c r="BP182" s="1281"/>
      <c r="BQ182" s="1281"/>
      <c r="BR182" s="1281"/>
      <c r="BS182" s="1281"/>
      <c r="BT182" s="1281"/>
      <c r="BU182" s="1281"/>
      <c r="BV182" s="1281"/>
      <c r="BW182" s="1281"/>
      <c r="BX182" s="1281"/>
      <c r="BY182" s="1281"/>
      <c r="BZ182" s="1281"/>
      <c r="CA182" s="1281"/>
      <c r="CB182" s="1281"/>
      <c r="CC182" s="1281"/>
      <c r="CD182" s="1281"/>
      <c r="CE182" s="1281"/>
      <c r="CF182" s="1281"/>
      <c r="CG182" s="1281"/>
      <c r="CH182" s="1269"/>
      <c r="CI182" s="1281"/>
      <c r="CJ182" s="1281"/>
      <c r="CK182" s="1281"/>
      <c r="CL182" s="1281"/>
      <c r="CM182" s="1281"/>
      <c r="CN182" s="1281"/>
      <c r="CO182" s="1281"/>
      <c r="CP182" s="1281"/>
      <c r="CQ182" s="1281"/>
      <c r="CR182" s="1281"/>
      <c r="CS182" s="1281"/>
      <c r="CT182" s="1281"/>
      <c r="CU182" s="1281"/>
      <c r="CV182" s="1281"/>
      <c r="CW182" s="1281"/>
      <c r="CX182" s="1281"/>
      <c r="CY182" s="1281"/>
      <c r="CZ182" s="1281"/>
      <c r="DA182" s="1281"/>
      <c r="DB182" s="1281"/>
      <c r="DC182" s="1281"/>
      <c r="DD182" s="1281"/>
      <c r="DE182" s="1281"/>
      <c r="DF182" s="1281"/>
      <c r="DG182" s="1281"/>
      <c r="DH182" s="1281"/>
      <c r="DI182" s="1281"/>
      <c r="DJ182" s="1281"/>
      <c r="DK182" s="1281"/>
      <c r="DL182" s="1281"/>
      <c r="DM182" s="1281"/>
      <c r="DN182" s="1281"/>
      <c r="DO182" s="1281"/>
      <c r="DP182" s="1281"/>
      <c r="DQ182" s="1281"/>
      <c r="DR182" s="1281"/>
      <c r="DS182" s="1281"/>
      <c r="DT182" s="1281"/>
      <c r="DU182" s="1281"/>
      <c r="DV182" s="1281"/>
      <c r="DW182" s="1281"/>
      <c r="DX182" s="1281"/>
      <c r="DY182" s="1281"/>
      <c r="DZ182" s="1281"/>
      <c r="EA182" s="1281"/>
      <c r="EB182" s="1280"/>
      <c r="EC182" s="1273"/>
      <c r="ED182" s="1273"/>
      <c r="EE182" s="1273"/>
      <c r="EF182" s="1273"/>
      <c r="EG182" s="1273"/>
      <c r="EH182" s="1273"/>
      <c r="EI182" s="1273"/>
      <c r="EJ182" s="1273"/>
      <c r="EK182" s="1273"/>
      <c r="EL182" s="1273"/>
      <c r="EM182" s="1313"/>
    </row>
    <row r="183" spans="1:143" s="1271" customFormat="1">
      <c r="B183" s="1272"/>
      <c r="C183" s="1272"/>
      <c r="D183" s="1273"/>
      <c r="E183" s="1273"/>
      <c r="F183" s="1273"/>
      <c r="G183" s="1273"/>
      <c r="H183" s="1273"/>
      <c r="I183" s="1273"/>
      <c r="J183" s="1273"/>
      <c r="K183" s="1280"/>
      <c r="L183" s="1280"/>
      <c r="M183" s="1280"/>
      <c r="N183" s="1280"/>
      <c r="O183" s="1280"/>
      <c r="P183" s="1280"/>
      <c r="Q183" s="1280"/>
      <c r="R183" s="1280"/>
      <c r="S183" s="1280"/>
      <c r="T183" s="1280"/>
      <c r="U183" s="1280"/>
      <c r="V183" s="1280"/>
      <c r="W183" s="1281"/>
      <c r="X183" s="1281"/>
      <c r="Y183" s="1281"/>
      <c r="Z183" s="1281"/>
      <c r="AA183" s="1281"/>
      <c r="AB183" s="1281"/>
      <c r="AC183" s="1281"/>
      <c r="AD183" s="1281"/>
      <c r="AE183" s="1281"/>
      <c r="AF183" s="1281"/>
      <c r="AG183" s="1281"/>
      <c r="AH183" s="1281"/>
      <c r="AI183" s="1281"/>
      <c r="AJ183" s="1281"/>
      <c r="AK183" s="1281"/>
      <c r="AL183" s="1281"/>
      <c r="AM183" s="1281"/>
      <c r="AN183" s="1281"/>
      <c r="AO183" s="1281"/>
      <c r="AP183" s="1281"/>
      <c r="AQ183" s="1281"/>
      <c r="AR183" s="1281"/>
      <c r="AS183" s="1281"/>
      <c r="AT183" s="1281"/>
      <c r="AU183" s="1281"/>
      <c r="AV183" s="1281"/>
      <c r="AW183" s="1281"/>
      <c r="AX183" s="1281"/>
      <c r="AY183" s="1281"/>
      <c r="AZ183" s="1281"/>
      <c r="BA183" s="1281"/>
      <c r="BB183" s="1281"/>
      <c r="BC183" s="1281"/>
      <c r="BD183" s="1281"/>
      <c r="BE183" s="1281"/>
      <c r="BF183" s="1281"/>
      <c r="BG183" s="1281"/>
      <c r="BH183" s="1281"/>
      <c r="BI183" s="1281"/>
      <c r="BJ183" s="1281"/>
      <c r="BK183" s="1281"/>
      <c r="BL183" s="1281"/>
      <c r="BM183" s="1281"/>
      <c r="BN183" s="1281"/>
      <c r="BO183" s="1281"/>
      <c r="BP183" s="1281"/>
      <c r="BQ183" s="1281"/>
      <c r="BR183" s="1281"/>
      <c r="BS183" s="1281"/>
      <c r="BT183" s="1281"/>
      <c r="BU183" s="1281"/>
      <c r="BV183" s="1281"/>
      <c r="BW183" s="1281"/>
      <c r="BX183" s="1281"/>
      <c r="BY183" s="1281"/>
      <c r="BZ183" s="1281"/>
      <c r="CA183" s="1281"/>
      <c r="CB183" s="1281"/>
      <c r="CC183" s="1281"/>
      <c r="CD183" s="1281"/>
      <c r="CE183" s="1281"/>
      <c r="CF183" s="1281"/>
      <c r="CG183" s="1281"/>
      <c r="CH183" s="1269"/>
      <c r="CI183" s="1281"/>
      <c r="CJ183" s="1281"/>
      <c r="CK183" s="1281"/>
      <c r="CL183" s="1281"/>
      <c r="CM183" s="1281"/>
      <c r="CN183" s="1281"/>
      <c r="CO183" s="1281"/>
      <c r="CP183" s="1281"/>
      <c r="CQ183" s="1281"/>
      <c r="CR183" s="1281"/>
      <c r="CS183" s="1281"/>
      <c r="CT183" s="1281"/>
      <c r="CU183" s="1281"/>
      <c r="CV183" s="1281"/>
      <c r="CW183" s="1281"/>
      <c r="CX183" s="1281"/>
      <c r="CY183" s="1281"/>
      <c r="CZ183" s="1281"/>
      <c r="DA183" s="1281"/>
      <c r="DB183" s="1281"/>
      <c r="DC183" s="1281"/>
      <c r="DD183" s="1281"/>
      <c r="DE183" s="1281"/>
      <c r="DF183" s="1281"/>
      <c r="DG183" s="1281"/>
      <c r="DH183" s="1281"/>
      <c r="DI183" s="1281"/>
      <c r="DJ183" s="1281"/>
      <c r="DK183" s="1281"/>
      <c r="DL183" s="1281"/>
      <c r="DM183" s="1281"/>
      <c r="DN183" s="1281"/>
      <c r="DO183" s="1281"/>
      <c r="DP183" s="1281"/>
      <c r="DQ183" s="1281"/>
      <c r="DR183" s="1281"/>
      <c r="DS183" s="1281"/>
      <c r="DT183" s="1281"/>
      <c r="DU183" s="1281"/>
      <c r="DV183" s="1281"/>
      <c r="DW183" s="1281"/>
      <c r="DX183" s="1281"/>
      <c r="DY183" s="1281"/>
      <c r="DZ183" s="1281"/>
      <c r="EA183" s="1281"/>
      <c r="EB183" s="1280"/>
      <c r="EC183" s="1273"/>
      <c r="ED183" s="1273"/>
      <c r="EE183" s="1273"/>
      <c r="EF183" s="1273"/>
      <c r="EG183" s="1273"/>
      <c r="EH183" s="1273"/>
      <c r="EI183" s="1273"/>
      <c r="EJ183" s="1273"/>
      <c r="EK183" s="1273"/>
      <c r="EL183" s="1273"/>
      <c r="EM183" s="1313"/>
    </row>
    <row r="184" spans="1:143" s="1271" customFormat="1">
      <c r="A184" s="1283"/>
      <c r="B184" s="1272"/>
      <c r="C184" s="1272"/>
      <c r="D184" s="1273"/>
      <c r="E184" s="1273"/>
      <c r="F184" s="1273"/>
      <c r="G184" s="1273"/>
      <c r="H184" s="1273"/>
      <c r="I184" s="1273"/>
      <c r="J184" s="1273"/>
      <c r="K184" s="1273"/>
      <c r="L184" s="1273"/>
      <c r="M184" s="1273"/>
      <c r="N184" s="1273"/>
      <c r="O184" s="1273"/>
      <c r="P184" s="1273"/>
      <c r="Q184" s="1273"/>
      <c r="R184" s="1273"/>
      <c r="S184" s="1273"/>
      <c r="T184" s="1273"/>
      <c r="U184" s="1273"/>
      <c r="V184" s="1273"/>
      <c r="W184" s="1274"/>
      <c r="X184" s="1274"/>
      <c r="Y184" s="1274"/>
      <c r="Z184" s="1274"/>
      <c r="AA184" s="1274"/>
      <c r="AB184" s="1274"/>
      <c r="AC184" s="1274"/>
      <c r="AD184" s="1274"/>
      <c r="AE184" s="1274"/>
      <c r="AF184" s="1274"/>
      <c r="AG184" s="1274"/>
      <c r="AH184" s="1274"/>
      <c r="AI184" s="1274"/>
      <c r="AJ184" s="1274"/>
      <c r="AK184" s="1274"/>
      <c r="AL184" s="1274"/>
      <c r="AM184" s="1274"/>
      <c r="AN184" s="1274"/>
      <c r="AO184" s="1274"/>
      <c r="AP184" s="1274"/>
      <c r="AQ184" s="1274"/>
      <c r="AR184" s="1274"/>
      <c r="AS184" s="1274"/>
      <c r="AT184" s="1274"/>
      <c r="AU184" s="1274"/>
      <c r="AV184" s="1274"/>
      <c r="AW184" s="1274"/>
      <c r="AX184" s="1274"/>
      <c r="AY184" s="1274"/>
      <c r="AZ184" s="1274"/>
      <c r="BA184" s="1274"/>
      <c r="BB184" s="1274"/>
      <c r="BC184" s="1274"/>
      <c r="BD184" s="1274"/>
      <c r="BE184" s="1274"/>
      <c r="BF184" s="1274"/>
      <c r="BG184" s="1274"/>
      <c r="BH184" s="1274"/>
      <c r="BI184" s="1274"/>
      <c r="BJ184" s="1274"/>
      <c r="BK184" s="1274"/>
      <c r="BL184" s="1274"/>
      <c r="BM184" s="1274"/>
      <c r="BN184" s="1274"/>
      <c r="BO184" s="1274"/>
      <c r="BP184" s="1274"/>
      <c r="BQ184" s="1274"/>
      <c r="BR184" s="1274"/>
      <c r="BS184" s="1274"/>
      <c r="BT184" s="1274"/>
      <c r="BU184" s="1274"/>
      <c r="BV184" s="1274"/>
      <c r="BW184" s="1274"/>
      <c r="BX184" s="1274"/>
      <c r="BY184" s="1274"/>
      <c r="BZ184" s="1274"/>
      <c r="CA184" s="1274"/>
      <c r="CB184" s="1274"/>
      <c r="CC184" s="1274"/>
      <c r="CD184" s="1274"/>
      <c r="CE184" s="1274"/>
      <c r="CF184" s="1274"/>
      <c r="CG184" s="1274"/>
      <c r="CH184" s="1269"/>
      <c r="CI184" s="1274"/>
      <c r="CJ184" s="1274"/>
      <c r="CK184" s="1274"/>
      <c r="CL184" s="1274"/>
      <c r="CM184" s="1274"/>
      <c r="CN184" s="1274"/>
      <c r="CO184" s="1274"/>
      <c r="CP184" s="1274"/>
      <c r="CQ184" s="1274"/>
      <c r="CR184" s="1274"/>
      <c r="CS184" s="1274"/>
      <c r="CT184" s="1274"/>
      <c r="CU184" s="1274"/>
      <c r="CV184" s="1274"/>
      <c r="CW184" s="1274"/>
      <c r="CX184" s="1274"/>
      <c r="CY184" s="1274"/>
      <c r="CZ184" s="1274"/>
      <c r="DA184" s="1274"/>
      <c r="DB184" s="1274"/>
      <c r="DC184" s="1274"/>
      <c r="DD184" s="1274"/>
      <c r="DE184" s="1274"/>
      <c r="DF184" s="1274"/>
      <c r="DG184" s="1274"/>
      <c r="DH184" s="1274"/>
      <c r="DI184" s="1274"/>
      <c r="DJ184" s="1274"/>
      <c r="DK184" s="1274"/>
      <c r="DL184" s="1274"/>
      <c r="DM184" s="1274"/>
      <c r="DN184" s="1274"/>
      <c r="DO184" s="1274"/>
      <c r="DP184" s="1274"/>
      <c r="DQ184" s="1274"/>
      <c r="DR184" s="1274"/>
      <c r="DS184" s="1274"/>
      <c r="DT184" s="1274"/>
      <c r="DU184" s="1274"/>
      <c r="DV184" s="1274"/>
      <c r="DW184" s="1274"/>
      <c r="DX184" s="1274"/>
      <c r="DY184" s="1274"/>
      <c r="DZ184" s="1274"/>
      <c r="EA184" s="1274"/>
      <c r="EB184" s="1273"/>
      <c r="EC184" s="1273"/>
      <c r="ED184" s="1273"/>
      <c r="EE184" s="1273"/>
      <c r="EF184" s="1273"/>
      <c r="EG184" s="1273"/>
      <c r="EH184" s="1273"/>
      <c r="EI184" s="1273"/>
      <c r="EJ184" s="1273"/>
      <c r="EK184" s="1273"/>
      <c r="EL184" s="1273"/>
      <c r="EM184" s="1313"/>
    </row>
    <row r="185" spans="1:143" s="1271" customFormat="1">
      <c r="B185" s="1272"/>
      <c r="C185" s="1272"/>
      <c r="D185" s="1273"/>
      <c r="E185" s="1273"/>
      <c r="F185" s="1273"/>
      <c r="G185" s="1273"/>
      <c r="H185" s="1273"/>
      <c r="I185" s="1273"/>
      <c r="J185" s="1273"/>
      <c r="K185" s="1273"/>
      <c r="L185" s="1273"/>
      <c r="M185" s="1273"/>
      <c r="N185" s="1273"/>
      <c r="O185" s="1273"/>
      <c r="P185" s="1273"/>
      <c r="Q185" s="1273"/>
      <c r="R185" s="1273"/>
      <c r="S185" s="1273"/>
      <c r="T185" s="1273"/>
      <c r="U185" s="1273"/>
      <c r="V185" s="1273"/>
      <c r="W185" s="1274"/>
      <c r="X185" s="1274"/>
      <c r="Y185" s="1274"/>
      <c r="Z185" s="1274"/>
      <c r="AA185" s="1274"/>
      <c r="AB185" s="1274"/>
      <c r="AC185" s="1274"/>
      <c r="AD185" s="1274"/>
      <c r="AE185" s="1274"/>
      <c r="AF185" s="1274"/>
      <c r="AG185" s="1274"/>
      <c r="AH185" s="1274"/>
      <c r="AI185" s="1274"/>
      <c r="AJ185" s="1274"/>
      <c r="AK185" s="1274"/>
      <c r="AL185" s="1274"/>
      <c r="AM185" s="1274"/>
      <c r="AN185" s="1274"/>
      <c r="AO185" s="1274"/>
      <c r="AP185" s="1274"/>
      <c r="AQ185" s="1274"/>
      <c r="AR185" s="1274"/>
      <c r="AS185" s="1274"/>
      <c r="AT185" s="1274"/>
      <c r="AU185" s="1274"/>
      <c r="AV185" s="1274"/>
      <c r="AW185" s="1274"/>
      <c r="AX185" s="1274"/>
      <c r="AY185" s="1274"/>
      <c r="AZ185" s="1274"/>
      <c r="BA185" s="1274"/>
      <c r="BB185" s="1274"/>
      <c r="BC185" s="1274"/>
      <c r="BD185" s="1274"/>
      <c r="BE185" s="1274"/>
      <c r="BF185" s="1274"/>
      <c r="BG185" s="1274"/>
      <c r="BH185" s="1274"/>
      <c r="BI185" s="1274"/>
      <c r="BJ185" s="1274"/>
      <c r="BK185" s="1274"/>
      <c r="BL185" s="1274"/>
      <c r="BM185" s="1274"/>
      <c r="BN185" s="1274"/>
      <c r="BO185" s="1274"/>
      <c r="BP185" s="1274"/>
      <c r="BQ185" s="1274"/>
      <c r="BR185" s="1274"/>
      <c r="BS185" s="1274"/>
      <c r="BT185" s="1274"/>
      <c r="BU185" s="1274"/>
      <c r="BV185" s="1274"/>
      <c r="BW185" s="1274"/>
      <c r="BX185" s="1274"/>
      <c r="BY185" s="1274"/>
      <c r="BZ185" s="1274"/>
      <c r="CA185" s="1274"/>
      <c r="CB185" s="1274"/>
      <c r="CC185" s="1274"/>
      <c r="CD185" s="1274"/>
      <c r="CE185" s="1274"/>
      <c r="CF185" s="1274"/>
      <c r="CG185" s="1274"/>
      <c r="CH185" s="1269"/>
      <c r="CI185" s="1274"/>
      <c r="CJ185" s="1274"/>
      <c r="CK185" s="1274"/>
      <c r="CL185" s="1274"/>
      <c r="CM185" s="1274"/>
      <c r="CN185" s="1274"/>
      <c r="CO185" s="1274"/>
      <c r="CP185" s="1274"/>
      <c r="CQ185" s="1274"/>
      <c r="CR185" s="1274"/>
      <c r="CS185" s="1274"/>
      <c r="CT185" s="1274"/>
      <c r="CU185" s="1274"/>
      <c r="CV185" s="1274"/>
      <c r="CW185" s="1274"/>
      <c r="CX185" s="1274"/>
      <c r="CY185" s="1274"/>
      <c r="CZ185" s="1274"/>
      <c r="DA185" s="1274"/>
      <c r="DB185" s="1274"/>
      <c r="DC185" s="1274"/>
      <c r="DD185" s="1274"/>
      <c r="DE185" s="1274"/>
      <c r="DF185" s="1274"/>
      <c r="DG185" s="1274"/>
      <c r="DH185" s="1274"/>
      <c r="DI185" s="1274"/>
      <c r="DJ185" s="1274"/>
      <c r="DK185" s="1274"/>
      <c r="DL185" s="1274"/>
      <c r="DM185" s="1274"/>
      <c r="DN185" s="1274"/>
      <c r="DO185" s="1274"/>
      <c r="DP185" s="1274"/>
      <c r="DQ185" s="1274"/>
      <c r="DR185" s="1274"/>
      <c r="DS185" s="1274"/>
      <c r="DT185" s="1274"/>
      <c r="DU185" s="1274"/>
      <c r="DV185" s="1274"/>
      <c r="DW185" s="1274"/>
      <c r="DX185" s="1274"/>
      <c r="DY185" s="1274"/>
      <c r="DZ185" s="1274"/>
      <c r="EA185" s="1274"/>
      <c r="EB185" s="1273"/>
      <c r="EC185" s="1273"/>
      <c r="ED185" s="1273"/>
      <c r="EE185" s="1273"/>
      <c r="EF185" s="1273"/>
      <c r="EG185" s="1273"/>
      <c r="EH185" s="1273"/>
      <c r="EI185" s="1273"/>
      <c r="EJ185" s="1273"/>
      <c r="EK185" s="1273"/>
      <c r="EL185" s="1273"/>
      <c r="EM185" s="1313"/>
    </row>
    <row r="186" spans="1:143" s="1271" customFormat="1">
      <c r="B186" s="1272"/>
      <c r="C186" s="1272"/>
      <c r="D186" s="1273"/>
      <c r="E186" s="1273"/>
      <c r="F186" s="1273"/>
      <c r="G186" s="1273"/>
      <c r="H186" s="1273"/>
      <c r="I186" s="1273"/>
      <c r="J186" s="1273"/>
      <c r="K186" s="1273"/>
      <c r="L186" s="1273"/>
      <c r="M186" s="1273"/>
      <c r="N186" s="1273"/>
      <c r="O186" s="1273"/>
      <c r="P186" s="1273"/>
      <c r="Q186" s="1273"/>
      <c r="R186" s="1273"/>
      <c r="S186" s="1273"/>
      <c r="T186" s="1273"/>
      <c r="U186" s="1273"/>
      <c r="V186" s="1273"/>
      <c r="W186" s="1274"/>
      <c r="X186" s="1274"/>
      <c r="Y186" s="1274"/>
      <c r="Z186" s="1274"/>
      <c r="AA186" s="1274"/>
      <c r="AB186" s="1274"/>
      <c r="AC186" s="1274"/>
      <c r="AD186" s="1274"/>
      <c r="AE186" s="1274"/>
      <c r="AF186" s="1274"/>
      <c r="AG186" s="1274"/>
      <c r="AH186" s="1274"/>
      <c r="AI186" s="1274"/>
      <c r="AJ186" s="1274"/>
      <c r="AK186" s="1274"/>
      <c r="AL186" s="1274"/>
      <c r="AM186" s="1274"/>
      <c r="AN186" s="1274"/>
      <c r="AO186" s="1274"/>
      <c r="AP186" s="1274"/>
      <c r="AQ186" s="1274"/>
      <c r="AR186" s="1274"/>
      <c r="AS186" s="1274"/>
      <c r="AT186" s="1274"/>
      <c r="AU186" s="1274"/>
      <c r="AV186" s="1274"/>
      <c r="AW186" s="1274"/>
      <c r="AX186" s="1274"/>
      <c r="AY186" s="1274"/>
      <c r="AZ186" s="1274"/>
      <c r="BA186" s="1274"/>
      <c r="BB186" s="1274"/>
      <c r="BC186" s="1274"/>
      <c r="BD186" s="1274"/>
      <c r="BE186" s="1274"/>
      <c r="BF186" s="1274"/>
      <c r="BG186" s="1274"/>
      <c r="BH186" s="1274"/>
      <c r="BI186" s="1274"/>
      <c r="BJ186" s="1274"/>
      <c r="BK186" s="1274"/>
      <c r="BL186" s="1274"/>
      <c r="BM186" s="1274"/>
      <c r="BN186" s="1274"/>
      <c r="BO186" s="1274"/>
      <c r="BP186" s="1274"/>
      <c r="BQ186" s="1274"/>
      <c r="BR186" s="1274"/>
      <c r="BS186" s="1274"/>
      <c r="BT186" s="1274"/>
      <c r="BU186" s="1274"/>
      <c r="BV186" s="1274"/>
      <c r="BW186" s="1274"/>
      <c r="BX186" s="1274"/>
      <c r="BY186" s="1274"/>
      <c r="BZ186" s="1274"/>
      <c r="CA186" s="1274"/>
      <c r="CB186" s="1274"/>
      <c r="CC186" s="1274"/>
      <c r="CD186" s="1274"/>
      <c r="CE186" s="1274"/>
      <c r="CF186" s="1274"/>
      <c r="CG186" s="1274"/>
      <c r="CH186" s="1269"/>
      <c r="CI186" s="1274"/>
      <c r="CJ186" s="1274"/>
      <c r="CK186" s="1274"/>
      <c r="CL186" s="1274"/>
      <c r="CM186" s="1274"/>
      <c r="CN186" s="1274"/>
      <c r="CO186" s="1274"/>
      <c r="CP186" s="1274"/>
      <c r="CQ186" s="1274"/>
      <c r="CR186" s="1274"/>
      <c r="CS186" s="1274"/>
      <c r="CT186" s="1274"/>
      <c r="CU186" s="1274"/>
      <c r="CV186" s="1274"/>
      <c r="CW186" s="1274"/>
      <c r="CX186" s="1274"/>
      <c r="CY186" s="1274"/>
      <c r="CZ186" s="1274"/>
      <c r="DA186" s="1274"/>
      <c r="DB186" s="1274"/>
      <c r="DC186" s="1274"/>
      <c r="DD186" s="1274"/>
      <c r="DE186" s="1274"/>
      <c r="DF186" s="1274"/>
      <c r="DG186" s="1274"/>
      <c r="DH186" s="1274"/>
      <c r="DI186" s="1274"/>
      <c r="DJ186" s="1274"/>
      <c r="DK186" s="1274"/>
      <c r="DL186" s="1274"/>
      <c r="DM186" s="1274"/>
      <c r="DN186" s="1274"/>
      <c r="DO186" s="1274"/>
      <c r="DP186" s="1274"/>
      <c r="DQ186" s="1274"/>
      <c r="DR186" s="1274"/>
      <c r="DS186" s="1274"/>
      <c r="DT186" s="1274"/>
      <c r="DU186" s="1274"/>
      <c r="DV186" s="1274"/>
      <c r="DW186" s="1274"/>
      <c r="DX186" s="1274"/>
      <c r="DY186" s="1274"/>
      <c r="DZ186" s="1274"/>
      <c r="EA186" s="1274"/>
      <c r="EB186" s="1273"/>
      <c r="EC186" s="1273"/>
      <c r="ED186" s="1273"/>
      <c r="EE186" s="1273"/>
      <c r="EF186" s="1273"/>
      <c r="EG186" s="1273"/>
      <c r="EH186" s="1273"/>
      <c r="EI186" s="1273"/>
      <c r="EJ186" s="1273"/>
      <c r="EK186" s="1273"/>
      <c r="EL186" s="1273"/>
      <c r="EM186" s="1313"/>
    </row>
    <row r="187" spans="1:143" s="1271" customFormat="1">
      <c r="B187" s="1272"/>
      <c r="C187" s="1272"/>
      <c r="D187" s="1273"/>
      <c r="E187" s="1273"/>
      <c r="F187" s="1273"/>
      <c r="G187" s="1273"/>
      <c r="H187" s="1273"/>
      <c r="I187" s="1273"/>
      <c r="J187" s="1273"/>
      <c r="K187" s="1273"/>
      <c r="L187" s="1273"/>
      <c r="M187" s="1273"/>
      <c r="N187" s="1273"/>
      <c r="O187" s="1273"/>
      <c r="P187" s="1273"/>
      <c r="Q187" s="1273"/>
      <c r="R187" s="1273"/>
      <c r="S187" s="1273"/>
      <c r="T187" s="1273"/>
      <c r="U187" s="1273"/>
      <c r="V187" s="1273"/>
      <c r="W187" s="1274"/>
      <c r="X187" s="1274"/>
      <c r="Y187" s="1274"/>
      <c r="Z187" s="1274"/>
      <c r="AA187" s="1274"/>
      <c r="AB187" s="1274"/>
      <c r="AC187" s="1274"/>
      <c r="AD187" s="1274"/>
      <c r="AE187" s="1274"/>
      <c r="AF187" s="1274"/>
      <c r="AG187" s="1274"/>
      <c r="AH187" s="1274"/>
      <c r="AI187" s="1274"/>
      <c r="AJ187" s="1274"/>
      <c r="AK187" s="1274"/>
      <c r="AL187" s="1274"/>
      <c r="AM187" s="1274"/>
      <c r="AN187" s="1274"/>
      <c r="AO187" s="1274"/>
      <c r="AP187" s="1274"/>
      <c r="AQ187" s="1274"/>
      <c r="AR187" s="1274"/>
      <c r="AS187" s="1274"/>
      <c r="AT187" s="1274"/>
      <c r="AU187" s="1274"/>
      <c r="AV187" s="1274"/>
      <c r="AW187" s="1274"/>
      <c r="AX187" s="1274"/>
      <c r="AY187" s="1274"/>
      <c r="AZ187" s="1274"/>
      <c r="BA187" s="1274"/>
      <c r="BB187" s="1274"/>
      <c r="BC187" s="1274"/>
      <c r="BD187" s="1274"/>
      <c r="BE187" s="1274"/>
      <c r="BF187" s="1274"/>
      <c r="BG187" s="1274"/>
      <c r="BH187" s="1274"/>
      <c r="BI187" s="1274"/>
      <c r="BJ187" s="1274"/>
      <c r="BK187" s="1274"/>
      <c r="BL187" s="1274"/>
      <c r="BM187" s="1274"/>
      <c r="BN187" s="1274"/>
      <c r="BO187" s="1274"/>
      <c r="BP187" s="1274"/>
      <c r="BQ187" s="1274"/>
      <c r="BR187" s="1274"/>
      <c r="BS187" s="1274"/>
      <c r="BT187" s="1274"/>
      <c r="BU187" s="1274"/>
      <c r="BV187" s="1274"/>
      <c r="BW187" s="1274"/>
      <c r="BX187" s="1274"/>
      <c r="BY187" s="1274"/>
      <c r="BZ187" s="1274"/>
      <c r="CA187" s="1274"/>
      <c r="CB187" s="1274"/>
      <c r="CC187" s="1274"/>
      <c r="CD187" s="1274"/>
      <c r="CE187" s="1274"/>
      <c r="CF187" s="1274"/>
      <c r="CG187" s="1274"/>
      <c r="CH187" s="1269"/>
      <c r="CI187" s="1274"/>
      <c r="CJ187" s="1274"/>
      <c r="CK187" s="1274"/>
      <c r="CL187" s="1274"/>
      <c r="CM187" s="1274"/>
      <c r="CN187" s="1274"/>
      <c r="CO187" s="1274"/>
      <c r="CP187" s="1274"/>
      <c r="CQ187" s="1274"/>
      <c r="CR187" s="1274"/>
      <c r="CS187" s="1274"/>
      <c r="CT187" s="1274"/>
      <c r="CU187" s="1274"/>
      <c r="CV187" s="1274"/>
      <c r="CW187" s="1274"/>
      <c r="CX187" s="1274"/>
      <c r="CY187" s="1274"/>
      <c r="CZ187" s="1274"/>
      <c r="DA187" s="1274"/>
      <c r="DB187" s="1274"/>
      <c r="DC187" s="1274"/>
      <c r="DD187" s="1274"/>
      <c r="DE187" s="1274"/>
      <c r="DF187" s="1274"/>
      <c r="DG187" s="1274"/>
      <c r="DH187" s="1274"/>
      <c r="DI187" s="1274"/>
      <c r="DJ187" s="1274"/>
      <c r="DK187" s="1274"/>
      <c r="DL187" s="1274"/>
      <c r="DM187" s="1274"/>
      <c r="DN187" s="1274"/>
      <c r="DO187" s="1274"/>
      <c r="DP187" s="1274"/>
      <c r="DQ187" s="1274"/>
      <c r="DR187" s="1274"/>
      <c r="DS187" s="1274"/>
      <c r="DT187" s="1274"/>
      <c r="DU187" s="1274"/>
      <c r="DV187" s="1274"/>
      <c r="DW187" s="1274"/>
      <c r="DX187" s="1274"/>
      <c r="DY187" s="1274"/>
      <c r="DZ187" s="1274"/>
      <c r="EA187" s="1274"/>
      <c r="EB187" s="1273"/>
      <c r="EC187" s="1273"/>
      <c r="ED187" s="1273"/>
      <c r="EE187" s="1273"/>
      <c r="EF187" s="1273"/>
      <c r="EG187" s="1273"/>
      <c r="EH187" s="1273"/>
      <c r="EI187" s="1273"/>
      <c r="EJ187" s="1273"/>
      <c r="EK187" s="1273"/>
      <c r="EL187" s="1273"/>
      <c r="EM187" s="1313"/>
    </row>
    <row r="188" spans="1:143" s="1271" customFormat="1">
      <c r="B188" s="1272"/>
      <c r="C188" s="1272"/>
      <c r="D188" s="1273"/>
      <c r="E188" s="1273"/>
      <c r="F188" s="1273"/>
      <c r="G188" s="1273"/>
      <c r="H188" s="1273"/>
      <c r="I188" s="1273"/>
      <c r="J188" s="1273"/>
      <c r="K188" s="1273"/>
      <c r="L188" s="1273"/>
      <c r="M188" s="1273"/>
      <c r="N188" s="1273"/>
      <c r="O188" s="1273"/>
      <c r="P188" s="1273"/>
      <c r="Q188" s="1273"/>
      <c r="R188" s="1273"/>
      <c r="S188" s="1273"/>
      <c r="T188" s="1273"/>
      <c r="U188" s="1273"/>
      <c r="V188" s="1273"/>
      <c r="W188" s="1274"/>
      <c r="X188" s="1274"/>
      <c r="Y188" s="1274"/>
      <c r="Z188" s="1274"/>
      <c r="AA188" s="1274"/>
      <c r="AB188" s="1274"/>
      <c r="AC188" s="1274"/>
      <c r="AD188" s="1274"/>
      <c r="AE188" s="1274"/>
      <c r="AF188" s="1274"/>
      <c r="AG188" s="1274"/>
      <c r="AH188" s="1274"/>
      <c r="AI188" s="1274"/>
      <c r="AJ188" s="1274"/>
      <c r="AK188" s="1274"/>
      <c r="AL188" s="1274"/>
      <c r="AM188" s="1274"/>
      <c r="AN188" s="1274"/>
      <c r="AO188" s="1274"/>
      <c r="AP188" s="1274"/>
      <c r="AQ188" s="1274"/>
      <c r="AR188" s="1274"/>
      <c r="AS188" s="1274"/>
      <c r="AT188" s="1274"/>
      <c r="AU188" s="1274"/>
      <c r="AV188" s="1274"/>
      <c r="AW188" s="1274"/>
      <c r="AX188" s="1274"/>
      <c r="AY188" s="1274"/>
      <c r="AZ188" s="1274"/>
      <c r="BA188" s="1274"/>
      <c r="BB188" s="1274"/>
      <c r="BC188" s="1274"/>
      <c r="BD188" s="1274"/>
      <c r="BE188" s="1274"/>
      <c r="BF188" s="1274"/>
      <c r="BG188" s="1274"/>
      <c r="BH188" s="1274"/>
      <c r="BI188" s="1274"/>
      <c r="BJ188" s="1274"/>
      <c r="BK188" s="1274"/>
      <c r="BL188" s="1274"/>
      <c r="BM188" s="1274"/>
      <c r="BN188" s="1274"/>
      <c r="BO188" s="1274"/>
      <c r="BP188" s="1274"/>
      <c r="BQ188" s="1274"/>
      <c r="BR188" s="1274"/>
      <c r="BS188" s="1274"/>
      <c r="BT188" s="1274"/>
      <c r="BU188" s="1274"/>
      <c r="BV188" s="1274"/>
      <c r="BW188" s="1274"/>
      <c r="BX188" s="1274"/>
      <c r="BY188" s="1274"/>
      <c r="BZ188" s="1274"/>
      <c r="CA188" s="1274"/>
      <c r="CB188" s="1274"/>
      <c r="CC188" s="1274"/>
      <c r="CD188" s="1274"/>
      <c r="CE188" s="1274"/>
      <c r="CF188" s="1274"/>
      <c r="CG188" s="1274"/>
      <c r="CH188" s="1269"/>
      <c r="CI188" s="1274"/>
      <c r="CJ188" s="1274"/>
      <c r="CK188" s="1274"/>
      <c r="CL188" s="1274"/>
      <c r="CM188" s="1274"/>
      <c r="CN188" s="1274"/>
      <c r="CO188" s="1274"/>
      <c r="CP188" s="1274"/>
      <c r="CQ188" s="1274"/>
      <c r="CR188" s="1274"/>
      <c r="CS188" s="1274"/>
      <c r="CT188" s="1274"/>
      <c r="CU188" s="1274"/>
      <c r="CV188" s="1274"/>
      <c r="CW188" s="1274"/>
      <c r="CX188" s="1274"/>
      <c r="CY188" s="1274"/>
      <c r="CZ188" s="1274"/>
      <c r="DA188" s="1274"/>
      <c r="DB188" s="1274"/>
      <c r="DC188" s="1274"/>
      <c r="DD188" s="1274"/>
      <c r="DE188" s="1274"/>
      <c r="DF188" s="1274"/>
      <c r="DG188" s="1274"/>
      <c r="DH188" s="1274"/>
      <c r="DI188" s="1274"/>
      <c r="DJ188" s="1274"/>
      <c r="DK188" s="1274"/>
      <c r="DL188" s="1274"/>
      <c r="DM188" s="1274"/>
      <c r="DN188" s="1274"/>
      <c r="DO188" s="1274"/>
      <c r="DP188" s="1274"/>
      <c r="DQ188" s="1274"/>
      <c r="DR188" s="1274"/>
      <c r="DS188" s="1274"/>
      <c r="DT188" s="1274"/>
      <c r="DU188" s="1274"/>
      <c r="DV188" s="1274"/>
      <c r="DW188" s="1274"/>
      <c r="DX188" s="1274"/>
      <c r="DY188" s="1274"/>
      <c r="DZ188" s="1274"/>
      <c r="EA188" s="1274"/>
      <c r="EB188" s="1273"/>
      <c r="EC188" s="1273"/>
      <c r="ED188" s="1273"/>
      <c r="EE188" s="1273"/>
      <c r="EF188" s="1273"/>
      <c r="EG188" s="1273"/>
      <c r="EH188" s="1273"/>
      <c r="EI188" s="1273"/>
      <c r="EJ188" s="1273"/>
      <c r="EK188" s="1273"/>
      <c r="EL188" s="1273"/>
      <c r="EM188" s="1313"/>
    </row>
    <row r="189" spans="1:143" s="1271" customFormat="1">
      <c r="B189" s="1272"/>
      <c r="C189" s="1272"/>
      <c r="D189" s="1273"/>
      <c r="E189" s="1273"/>
      <c r="F189" s="1273"/>
      <c r="G189" s="1273"/>
      <c r="H189" s="1273"/>
      <c r="I189" s="1273"/>
      <c r="J189" s="1273"/>
      <c r="K189" s="1273"/>
      <c r="L189" s="1273"/>
      <c r="M189" s="1273"/>
      <c r="N189" s="1273"/>
      <c r="O189" s="1273"/>
      <c r="P189" s="1273"/>
      <c r="Q189" s="1273"/>
      <c r="R189" s="1273"/>
      <c r="S189" s="1273"/>
      <c r="T189" s="1273"/>
      <c r="U189" s="1273"/>
      <c r="V189" s="1273"/>
      <c r="W189" s="1274"/>
      <c r="X189" s="1274"/>
      <c r="Y189" s="1274"/>
      <c r="Z189" s="1274"/>
      <c r="AA189" s="1274"/>
      <c r="AB189" s="1274"/>
      <c r="AC189" s="1274"/>
      <c r="AD189" s="1274"/>
      <c r="AE189" s="1274"/>
      <c r="AF189" s="1274"/>
      <c r="AG189" s="1274"/>
      <c r="AH189" s="1274"/>
      <c r="AI189" s="1274"/>
      <c r="AJ189" s="1274"/>
      <c r="AK189" s="1274"/>
      <c r="AL189" s="1274"/>
      <c r="AM189" s="1274"/>
      <c r="AN189" s="1274"/>
      <c r="AO189" s="1274"/>
      <c r="AP189" s="1274"/>
      <c r="AQ189" s="1274"/>
      <c r="AR189" s="1274"/>
      <c r="AS189" s="1274"/>
      <c r="AT189" s="1274"/>
      <c r="AU189" s="1274"/>
      <c r="AV189" s="1274"/>
      <c r="AW189" s="1274"/>
      <c r="AX189" s="1274"/>
      <c r="AY189" s="1274"/>
      <c r="AZ189" s="1274"/>
      <c r="BA189" s="1274"/>
      <c r="BB189" s="1274"/>
      <c r="BC189" s="1274"/>
      <c r="BD189" s="1274"/>
      <c r="BE189" s="1274"/>
      <c r="BF189" s="1274"/>
      <c r="BG189" s="1274"/>
      <c r="BH189" s="1274"/>
      <c r="BI189" s="1274"/>
      <c r="BJ189" s="1274"/>
      <c r="BK189" s="1274"/>
      <c r="BL189" s="1274"/>
      <c r="BM189" s="1274"/>
      <c r="BN189" s="1274"/>
      <c r="BO189" s="1274"/>
      <c r="BP189" s="1274"/>
      <c r="BQ189" s="1274"/>
      <c r="BR189" s="1274"/>
      <c r="BS189" s="1274"/>
      <c r="BT189" s="1274"/>
      <c r="BU189" s="1274"/>
      <c r="BV189" s="1274"/>
      <c r="BW189" s="1274"/>
      <c r="BX189" s="1274"/>
      <c r="BY189" s="1274"/>
      <c r="BZ189" s="1274"/>
      <c r="CA189" s="1274"/>
      <c r="CB189" s="1274"/>
      <c r="CC189" s="1274"/>
      <c r="CD189" s="1274"/>
      <c r="CE189" s="1274"/>
      <c r="CF189" s="1274"/>
      <c r="CG189" s="1274"/>
      <c r="CH189" s="1269"/>
      <c r="CI189" s="1274"/>
      <c r="CJ189" s="1274"/>
      <c r="CK189" s="1274"/>
      <c r="CL189" s="1274"/>
      <c r="CM189" s="1274"/>
      <c r="CN189" s="1274"/>
      <c r="CO189" s="1274"/>
      <c r="CP189" s="1274"/>
      <c r="CQ189" s="1274"/>
      <c r="CR189" s="1274"/>
      <c r="CS189" s="1274"/>
      <c r="CT189" s="1274"/>
      <c r="CU189" s="1274"/>
      <c r="CV189" s="1274"/>
      <c r="CW189" s="1274"/>
      <c r="CX189" s="1274"/>
      <c r="CY189" s="1274"/>
      <c r="CZ189" s="1274"/>
      <c r="DA189" s="1274"/>
      <c r="DB189" s="1274"/>
      <c r="DC189" s="1274"/>
      <c r="DD189" s="1274"/>
      <c r="DE189" s="1274"/>
      <c r="DF189" s="1274"/>
      <c r="DG189" s="1274"/>
      <c r="DH189" s="1274"/>
      <c r="DI189" s="1274"/>
      <c r="DJ189" s="1274"/>
      <c r="DK189" s="1274"/>
      <c r="DL189" s="1274"/>
      <c r="DM189" s="1274"/>
      <c r="DN189" s="1274"/>
      <c r="DO189" s="1274"/>
      <c r="DP189" s="1274"/>
      <c r="DQ189" s="1274"/>
      <c r="DR189" s="1274"/>
      <c r="DS189" s="1274"/>
      <c r="DT189" s="1274"/>
      <c r="DU189" s="1274"/>
      <c r="DV189" s="1274"/>
      <c r="DW189" s="1274"/>
      <c r="DX189" s="1274"/>
      <c r="DY189" s="1274"/>
      <c r="DZ189" s="1274"/>
      <c r="EA189" s="1274"/>
      <c r="EB189" s="1273"/>
      <c r="EC189" s="1273"/>
      <c r="ED189" s="1273"/>
      <c r="EE189" s="1273"/>
      <c r="EF189" s="1273"/>
      <c r="EG189" s="1273"/>
      <c r="EH189" s="1273"/>
      <c r="EI189" s="1273"/>
      <c r="EJ189" s="1273"/>
      <c r="EK189" s="1273"/>
      <c r="EL189" s="1273"/>
      <c r="EM189" s="1313"/>
    </row>
    <row r="190" spans="1:143" s="1271" customFormat="1">
      <c r="B190" s="1272"/>
      <c r="C190" s="1272"/>
      <c r="D190" s="1273"/>
      <c r="E190" s="1273"/>
      <c r="F190" s="1273"/>
      <c r="G190" s="1273"/>
      <c r="H190" s="1273"/>
      <c r="I190" s="1273"/>
      <c r="J190" s="1273"/>
      <c r="K190" s="1273"/>
      <c r="L190" s="1273"/>
      <c r="M190" s="1273"/>
      <c r="N190" s="1273"/>
      <c r="O190" s="1273"/>
      <c r="P190" s="1273"/>
      <c r="Q190" s="1273"/>
      <c r="R190" s="1273"/>
      <c r="S190" s="1273"/>
      <c r="T190" s="1273"/>
      <c r="U190" s="1273"/>
      <c r="V190" s="1273"/>
      <c r="W190" s="1274"/>
      <c r="X190" s="1274"/>
      <c r="Y190" s="1274"/>
      <c r="Z190" s="1274"/>
      <c r="AA190" s="1274"/>
      <c r="AB190" s="1274"/>
      <c r="AC190" s="1274"/>
      <c r="AD190" s="1274"/>
      <c r="AE190" s="1274"/>
      <c r="AF190" s="1274"/>
      <c r="AG190" s="1274"/>
      <c r="AH190" s="1274"/>
      <c r="AI190" s="1274"/>
      <c r="AJ190" s="1274"/>
      <c r="AK190" s="1274"/>
      <c r="AL190" s="1274"/>
      <c r="AM190" s="1274"/>
      <c r="AN190" s="1274"/>
      <c r="AO190" s="1274"/>
      <c r="AP190" s="1274"/>
      <c r="AQ190" s="1274"/>
      <c r="AR190" s="1274"/>
      <c r="AS190" s="1274"/>
      <c r="AT190" s="1274"/>
      <c r="AU190" s="1274"/>
      <c r="AV190" s="1274"/>
      <c r="AW190" s="1274"/>
      <c r="AX190" s="1274"/>
      <c r="AY190" s="1274"/>
      <c r="AZ190" s="1274"/>
      <c r="BA190" s="1274"/>
      <c r="BB190" s="1274"/>
      <c r="BC190" s="1274"/>
      <c r="BD190" s="1274"/>
      <c r="BE190" s="1274"/>
      <c r="BF190" s="1274"/>
      <c r="BG190" s="1274"/>
      <c r="BH190" s="1274"/>
      <c r="BI190" s="1274"/>
      <c r="BJ190" s="1274"/>
      <c r="BK190" s="1274"/>
      <c r="BL190" s="1274"/>
      <c r="BM190" s="1274"/>
      <c r="BN190" s="1274"/>
      <c r="BO190" s="1274"/>
      <c r="BP190" s="1274"/>
      <c r="BQ190" s="1274"/>
      <c r="BR190" s="1274"/>
      <c r="BS190" s="1274"/>
      <c r="BT190" s="1274"/>
      <c r="BU190" s="1274"/>
      <c r="BV190" s="1274"/>
      <c r="BW190" s="1274"/>
      <c r="BX190" s="1274"/>
      <c r="BY190" s="1274"/>
      <c r="BZ190" s="1274"/>
      <c r="CA190" s="1274"/>
      <c r="CB190" s="1274"/>
      <c r="CC190" s="1274"/>
      <c r="CD190" s="1274"/>
      <c r="CE190" s="1274"/>
      <c r="CF190" s="1274"/>
      <c r="CG190" s="1274"/>
      <c r="CH190" s="1269"/>
      <c r="CI190" s="1274"/>
      <c r="CJ190" s="1274"/>
      <c r="CK190" s="1274"/>
      <c r="CL190" s="1274"/>
      <c r="CM190" s="1274"/>
      <c r="CN190" s="1274"/>
      <c r="CO190" s="1274"/>
      <c r="CP190" s="1274"/>
      <c r="CQ190" s="1274"/>
      <c r="CR190" s="1274"/>
      <c r="CS190" s="1274"/>
      <c r="CT190" s="1274"/>
      <c r="CU190" s="1274"/>
      <c r="CV190" s="1274"/>
      <c r="CW190" s="1274"/>
      <c r="CX190" s="1274"/>
      <c r="CY190" s="1274"/>
      <c r="CZ190" s="1274"/>
      <c r="DA190" s="1274"/>
      <c r="DB190" s="1274"/>
      <c r="DC190" s="1274"/>
      <c r="DD190" s="1274"/>
      <c r="DE190" s="1274"/>
      <c r="DF190" s="1274"/>
      <c r="DG190" s="1274"/>
      <c r="DH190" s="1274"/>
      <c r="DI190" s="1274"/>
      <c r="DJ190" s="1274"/>
      <c r="DK190" s="1274"/>
      <c r="DL190" s="1274"/>
      <c r="DM190" s="1274"/>
      <c r="DN190" s="1274"/>
      <c r="DO190" s="1274"/>
      <c r="DP190" s="1274"/>
      <c r="DQ190" s="1274"/>
      <c r="DR190" s="1274"/>
      <c r="DS190" s="1274"/>
      <c r="DT190" s="1274"/>
      <c r="DU190" s="1274"/>
      <c r="DV190" s="1274"/>
      <c r="DW190" s="1274"/>
      <c r="DX190" s="1274"/>
      <c r="DY190" s="1274"/>
      <c r="DZ190" s="1274"/>
      <c r="EA190" s="1274"/>
      <c r="EB190" s="1273"/>
      <c r="EC190" s="1273"/>
      <c r="ED190" s="1273"/>
      <c r="EE190" s="1273"/>
      <c r="EF190" s="1273"/>
      <c r="EG190" s="1273"/>
      <c r="EH190" s="1273"/>
      <c r="EI190" s="1273"/>
      <c r="EJ190" s="1273"/>
      <c r="EK190" s="1273"/>
      <c r="EL190" s="1273"/>
      <c r="EM190" s="1313"/>
    </row>
    <row r="191" spans="1:143" s="1271" customFormat="1">
      <c r="B191" s="1272"/>
      <c r="C191" s="1272"/>
      <c r="D191" s="1273"/>
      <c r="E191" s="1273"/>
      <c r="F191" s="1273"/>
      <c r="G191" s="1273"/>
      <c r="H191" s="1273"/>
      <c r="I191" s="1273"/>
      <c r="J191" s="1273"/>
      <c r="K191" s="1273"/>
      <c r="L191" s="1273"/>
      <c r="M191" s="1273"/>
      <c r="N191" s="1273"/>
      <c r="O191" s="1273"/>
      <c r="P191" s="1273"/>
      <c r="Q191" s="1273"/>
      <c r="R191" s="1273"/>
      <c r="S191" s="1273"/>
      <c r="T191" s="1273"/>
      <c r="U191" s="1273"/>
      <c r="V191" s="1273"/>
      <c r="W191" s="1274"/>
      <c r="X191" s="1274"/>
      <c r="Y191" s="1274"/>
      <c r="Z191" s="1274"/>
      <c r="AA191" s="1274"/>
      <c r="AB191" s="1274"/>
      <c r="AC191" s="1274"/>
      <c r="AD191" s="1274"/>
      <c r="AE191" s="1274"/>
      <c r="AF191" s="1274"/>
      <c r="AG191" s="1274"/>
      <c r="AH191" s="1274"/>
      <c r="AI191" s="1274"/>
      <c r="AJ191" s="1274"/>
      <c r="AK191" s="1274"/>
      <c r="AL191" s="1274"/>
      <c r="AM191" s="1274"/>
      <c r="AN191" s="1274"/>
      <c r="AO191" s="1274"/>
      <c r="AP191" s="1274"/>
      <c r="AQ191" s="1274"/>
      <c r="AR191" s="1274"/>
      <c r="AS191" s="1274"/>
      <c r="AT191" s="1274"/>
      <c r="AU191" s="1274"/>
      <c r="AV191" s="1274"/>
      <c r="AW191" s="1274"/>
      <c r="AX191" s="1274"/>
      <c r="AY191" s="1274"/>
      <c r="AZ191" s="1274"/>
      <c r="BA191" s="1274"/>
      <c r="BB191" s="1274"/>
      <c r="BC191" s="1274"/>
      <c r="BD191" s="1274"/>
      <c r="BE191" s="1274"/>
      <c r="BF191" s="1274"/>
      <c r="BG191" s="1274"/>
      <c r="BH191" s="1274"/>
      <c r="BI191" s="1274"/>
      <c r="BJ191" s="1274"/>
      <c r="BK191" s="1274"/>
      <c r="BL191" s="1274"/>
      <c r="BM191" s="1274"/>
      <c r="BN191" s="1274"/>
      <c r="BO191" s="1274"/>
      <c r="BP191" s="1274"/>
      <c r="BQ191" s="1274"/>
      <c r="BR191" s="1274"/>
      <c r="BS191" s="1274"/>
      <c r="BT191" s="1274"/>
      <c r="BU191" s="1274"/>
      <c r="BV191" s="1274"/>
      <c r="BW191" s="1274"/>
      <c r="BX191" s="1274"/>
      <c r="BY191" s="1274"/>
      <c r="BZ191" s="1274"/>
      <c r="CA191" s="1274"/>
      <c r="CB191" s="1274"/>
      <c r="CC191" s="1274"/>
      <c r="CD191" s="1274"/>
      <c r="CE191" s="1274"/>
      <c r="CF191" s="1274"/>
      <c r="CG191" s="1274"/>
      <c r="CH191" s="1269"/>
      <c r="CI191" s="1274"/>
      <c r="CJ191" s="1274"/>
      <c r="CK191" s="1274"/>
      <c r="CL191" s="1274"/>
      <c r="CM191" s="1274"/>
      <c r="CN191" s="1274"/>
      <c r="CO191" s="1274"/>
      <c r="CP191" s="1274"/>
      <c r="CQ191" s="1274"/>
      <c r="CR191" s="1274"/>
      <c r="CS191" s="1274"/>
      <c r="CT191" s="1274"/>
      <c r="CU191" s="1274"/>
      <c r="CV191" s="1274"/>
      <c r="CW191" s="1274"/>
      <c r="CX191" s="1274"/>
      <c r="CY191" s="1274"/>
      <c r="CZ191" s="1274"/>
      <c r="DA191" s="1274"/>
      <c r="DB191" s="1274"/>
      <c r="DC191" s="1274"/>
      <c r="DD191" s="1274"/>
      <c r="DE191" s="1274"/>
      <c r="DF191" s="1274"/>
      <c r="DG191" s="1274"/>
      <c r="DH191" s="1274"/>
      <c r="DI191" s="1274"/>
      <c r="DJ191" s="1274"/>
      <c r="DK191" s="1274"/>
      <c r="DL191" s="1274"/>
      <c r="DM191" s="1274"/>
      <c r="DN191" s="1274"/>
      <c r="DO191" s="1274"/>
      <c r="DP191" s="1274"/>
      <c r="DQ191" s="1274"/>
      <c r="DR191" s="1274"/>
      <c r="DS191" s="1274"/>
      <c r="DT191" s="1274"/>
      <c r="DU191" s="1274"/>
      <c r="DV191" s="1274"/>
      <c r="DW191" s="1274"/>
      <c r="DX191" s="1274"/>
      <c r="DY191" s="1274"/>
      <c r="DZ191" s="1274"/>
      <c r="EA191" s="1274"/>
      <c r="EB191" s="1273"/>
      <c r="EC191" s="1273"/>
      <c r="ED191" s="1273"/>
      <c r="EE191" s="1273"/>
      <c r="EF191" s="1273"/>
      <c r="EG191" s="1273"/>
      <c r="EH191" s="1273"/>
      <c r="EI191" s="1273"/>
      <c r="EJ191" s="1273"/>
      <c r="EK191" s="1273"/>
      <c r="EL191" s="1273"/>
      <c r="EM191" s="1313"/>
    </row>
    <row r="192" spans="1:143" s="1271" customFormat="1">
      <c r="B192" s="1272"/>
      <c r="C192" s="1272"/>
      <c r="D192" s="1273"/>
      <c r="E192" s="1273"/>
      <c r="F192" s="1273"/>
      <c r="G192" s="1273"/>
      <c r="H192" s="1273"/>
      <c r="I192" s="1273"/>
      <c r="J192" s="1273"/>
      <c r="K192" s="1273"/>
      <c r="L192" s="1273"/>
      <c r="M192" s="1273"/>
      <c r="N192" s="1273"/>
      <c r="O192" s="1273"/>
      <c r="P192" s="1273"/>
      <c r="Q192" s="1273"/>
      <c r="R192" s="1273"/>
      <c r="S192" s="1273"/>
      <c r="T192" s="1273"/>
      <c r="U192" s="1273"/>
      <c r="V192" s="1273"/>
      <c r="W192" s="1274"/>
      <c r="X192" s="1274"/>
      <c r="Y192" s="1274"/>
      <c r="Z192" s="1274"/>
      <c r="AA192" s="1274"/>
      <c r="AB192" s="1274"/>
      <c r="AC192" s="1274"/>
      <c r="AD192" s="1274"/>
      <c r="AE192" s="1274"/>
      <c r="AF192" s="1274"/>
      <c r="AG192" s="1274"/>
      <c r="AH192" s="1274"/>
      <c r="AI192" s="1274"/>
      <c r="AJ192" s="1274"/>
      <c r="AK192" s="1274"/>
      <c r="AL192" s="1274"/>
      <c r="AM192" s="1274"/>
      <c r="AN192" s="1274"/>
      <c r="AO192" s="1274"/>
      <c r="AP192" s="1274"/>
      <c r="AQ192" s="1274"/>
      <c r="AR192" s="1274"/>
      <c r="AS192" s="1274"/>
      <c r="AT192" s="1274"/>
      <c r="AU192" s="1274"/>
      <c r="AV192" s="1274"/>
      <c r="AW192" s="1274"/>
      <c r="AX192" s="1274"/>
      <c r="AY192" s="1274"/>
      <c r="AZ192" s="1274"/>
      <c r="BA192" s="1274"/>
      <c r="BB192" s="1274"/>
      <c r="BC192" s="1274"/>
      <c r="BD192" s="1274"/>
      <c r="BE192" s="1274"/>
      <c r="BF192" s="1274"/>
      <c r="BG192" s="1274"/>
      <c r="BH192" s="1274"/>
      <c r="BI192" s="1274"/>
      <c r="BJ192" s="1274"/>
      <c r="BK192" s="1274"/>
      <c r="BL192" s="1274"/>
      <c r="BM192" s="1274"/>
      <c r="BN192" s="1274"/>
      <c r="BO192" s="1274"/>
      <c r="BP192" s="1274"/>
      <c r="BQ192" s="1274"/>
      <c r="BR192" s="1274"/>
      <c r="BS192" s="1274"/>
      <c r="BT192" s="1274"/>
      <c r="BU192" s="1274"/>
      <c r="BV192" s="1274"/>
      <c r="BW192" s="1274"/>
      <c r="BX192" s="1274"/>
      <c r="BY192" s="1274"/>
      <c r="BZ192" s="1274"/>
      <c r="CA192" s="1274"/>
      <c r="CB192" s="1274"/>
      <c r="CC192" s="1274"/>
      <c r="CD192" s="1274"/>
      <c r="CE192" s="1274"/>
      <c r="CF192" s="1274"/>
      <c r="CG192" s="1274"/>
      <c r="CH192" s="1269"/>
      <c r="CI192" s="1274"/>
      <c r="CJ192" s="1274"/>
      <c r="CK192" s="1274"/>
      <c r="CL192" s="1274"/>
      <c r="CM192" s="1274"/>
      <c r="CN192" s="1274"/>
      <c r="CO192" s="1274"/>
      <c r="CP192" s="1274"/>
      <c r="CQ192" s="1274"/>
      <c r="CR192" s="1274"/>
      <c r="CS192" s="1274"/>
      <c r="CT192" s="1274"/>
      <c r="CU192" s="1274"/>
      <c r="CV192" s="1274"/>
      <c r="CW192" s="1274"/>
      <c r="CX192" s="1274"/>
      <c r="CY192" s="1274"/>
      <c r="CZ192" s="1274"/>
      <c r="DA192" s="1274"/>
      <c r="DB192" s="1274"/>
      <c r="DC192" s="1274"/>
      <c r="DD192" s="1274"/>
      <c r="DE192" s="1274"/>
      <c r="DF192" s="1274"/>
      <c r="DG192" s="1274"/>
      <c r="DH192" s="1274"/>
      <c r="DI192" s="1274"/>
      <c r="DJ192" s="1274"/>
      <c r="DK192" s="1274"/>
      <c r="DL192" s="1274"/>
      <c r="DM192" s="1274"/>
      <c r="DN192" s="1274"/>
      <c r="DO192" s="1274"/>
      <c r="DP192" s="1274"/>
      <c r="DQ192" s="1274"/>
      <c r="DR192" s="1274"/>
      <c r="DS192" s="1274"/>
      <c r="DT192" s="1274"/>
      <c r="DU192" s="1274"/>
      <c r="DV192" s="1274"/>
      <c r="DW192" s="1274"/>
      <c r="DX192" s="1274"/>
      <c r="DY192" s="1274"/>
      <c r="DZ192" s="1274"/>
      <c r="EA192" s="1274"/>
      <c r="EB192" s="1273"/>
      <c r="EC192" s="1273"/>
      <c r="ED192" s="1273"/>
      <c r="EE192" s="1273"/>
      <c r="EF192" s="1273"/>
      <c r="EG192" s="1273"/>
      <c r="EH192" s="1273"/>
      <c r="EI192" s="1273"/>
      <c r="EJ192" s="1273"/>
      <c r="EK192" s="1273"/>
      <c r="EL192" s="1273"/>
      <c r="EM192" s="1313"/>
    </row>
    <row r="193" spans="1:143" s="1271" customFormat="1">
      <c r="B193" s="1272"/>
      <c r="C193" s="1272"/>
      <c r="D193" s="1273"/>
      <c r="E193" s="1273"/>
      <c r="F193" s="1273"/>
      <c r="G193" s="1273"/>
      <c r="H193" s="1273"/>
      <c r="I193" s="1273"/>
      <c r="J193" s="1273"/>
      <c r="K193" s="1273"/>
      <c r="L193" s="1273"/>
      <c r="M193" s="1273"/>
      <c r="N193" s="1273"/>
      <c r="O193" s="1273"/>
      <c r="P193" s="1273"/>
      <c r="Q193" s="1273"/>
      <c r="R193" s="1273"/>
      <c r="S193" s="1273"/>
      <c r="T193" s="1273"/>
      <c r="U193" s="1273"/>
      <c r="V193" s="1273"/>
      <c r="W193" s="1274"/>
      <c r="X193" s="1274"/>
      <c r="Y193" s="1274"/>
      <c r="Z193" s="1274"/>
      <c r="AA193" s="1274"/>
      <c r="AB193" s="1274"/>
      <c r="AC193" s="1274"/>
      <c r="AD193" s="1274"/>
      <c r="AE193" s="1274"/>
      <c r="AF193" s="1274"/>
      <c r="AG193" s="1274"/>
      <c r="AH193" s="1274"/>
      <c r="AI193" s="1274"/>
      <c r="AJ193" s="1274"/>
      <c r="AK193" s="1274"/>
      <c r="AL193" s="1274"/>
      <c r="AM193" s="1274"/>
      <c r="AN193" s="1274"/>
      <c r="AO193" s="1274"/>
      <c r="AP193" s="1274"/>
      <c r="AQ193" s="1274"/>
      <c r="AR193" s="1274"/>
      <c r="AS193" s="1274"/>
      <c r="AT193" s="1274"/>
      <c r="AU193" s="1274"/>
      <c r="AV193" s="1274"/>
      <c r="AW193" s="1274"/>
      <c r="AX193" s="1274"/>
      <c r="AY193" s="1274"/>
      <c r="AZ193" s="1274"/>
      <c r="BA193" s="1274"/>
      <c r="BB193" s="1274"/>
      <c r="BC193" s="1274"/>
      <c r="BD193" s="1274"/>
      <c r="BE193" s="1274"/>
      <c r="BF193" s="1274"/>
      <c r="BG193" s="1274"/>
      <c r="BH193" s="1274"/>
      <c r="BI193" s="1274"/>
      <c r="BJ193" s="1274"/>
      <c r="BK193" s="1274"/>
      <c r="BL193" s="1274"/>
      <c r="BM193" s="1274"/>
      <c r="BN193" s="1274"/>
      <c r="BO193" s="1274"/>
      <c r="BP193" s="1274"/>
      <c r="BQ193" s="1274"/>
      <c r="BR193" s="1274"/>
      <c r="BS193" s="1274"/>
      <c r="BT193" s="1274"/>
      <c r="BU193" s="1274"/>
      <c r="BV193" s="1274"/>
      <c r="BW193" s="1274"/>
      <c r="BX193" s="1274"/>
      <c r="BY193" s="1274"/>
      <c r="BZ193" s="1274"/>
      <c r="CA193" s="1274"/>
      <c r="CB193" s="1274"/>
      <c r="CC193" s="1274"/>
      <c r="CD193" s="1274"/>
      <c r="CE193" s="1274"/>
      <c r="CF193" s="1274"/>
      <c r="CG193" s="1274"/>
      <c r="CH193" s="1269"/>
      <c r="CI193" s="1274"/>
      <c r="CJ193" s="1274"/>
      <c r="CK193" s="1274"/>
      <c r="CL193" s="1274"/>
      <c r="CM193" s="1274"/>
      <c r="CN193" s="1274"/>
      <c r="CO193" s="1274"/>
      <c r="CP193" s="1274"/>
      <c r="CQ193" s="1274"/>
      <c r="CR193" s="1274"/>
      <c r="CS193" s="1274"/>
      <c r="CT193" s="1274"/>
      <c r="CU193" s="1274"/>
      <c r="CV193" s="1274"/>
      <c r="CW193" s="1274"/>
      <c r="CX193" s="1274"/>
      <c r="CY193" s="1274"/>
      <c r="CZ193" s="1274"/>
      <c r="DA193" s="1274"/>
      <c r="DB193" s="1274"/>
      <c r="DC193" s="1274"/>
      <c r="DD193" s="1274"/>
      <c r="DE193" s="1274"/>
      <c r="DF193" s="1274"/>
      <c r="DG193" s="1274"/>
      <c r="DH193" s="1274"/>
      <c r="DI193" s="1274"/>
      <c r="DJ193" s="1274"/>
      <c r="DK193" s="1274"/>
      <c r="DL193" s="1274"/>
      <c r="DM193" s="1274"/>
      <c r="DN193" s="1274"/>
      <c r="DO193" s="1274"/>
      <c r="DP193" s="1274"/>
      <c r="DQ193" s="1274"/>
      <c r="DR193" s="1274"/>
      <c r="DS193" s="1274"/>
      <c r="DT193" s="1274"/>
      <c r="DU193" s="1274"/>
      <c r="DV193" s="1274"/>
      <c r="DW193" s="1274"/>
      <c r="DX193" s="1274"/>
      <c r="DY193" s="1274"/>
      <c r="DZ193" s="1274"/>
      <c r="EA193" s="1274"/>
      <c r="EB193" s="1273"/>
      <c r="EC193" s="1273"/>
      <c r="ED193" s="1273"/>
      <c r="EE193" s="1273"/>
      <c r="EF193" s="1273"/>
      <c r="EG193" s="1273"/>
      <c r="EH193" s="1273"/>
      <c r="EI193" s="1273"/>
      <c r="EJ193" s="1273"/>
      <c r="EK193" s="1273"/>
      <c r="EL193" s="1273"/>
      <c r="EM193" s="1313"/>
    </row>
    <row r="194" spans="1:143" s="1271" customFormat="1">
      <c r="B194" s="1272"/>
      <c r="C194" s="1272"/>
      <c r="D194" s="1273"/>
      <c r="E194" s="1273"/>
      <c r="F194" s="1273"/>
      <c r="G194" s="1273"/>
      <c r="H194" s="1273"/>
      <c r="I194" s="1273"/>
      <c r="J194" s="1273"/>
      <c r="K194" s="1273"/>
      <c r="L194" s="1273"/>
      <c r="M194" s="1273"/>
      <c r="N194" s="1273"/>
      <c r="O194" s="1273"/>
      <c r="P194" s="1273"/>
      <c r="Q194" s="1273"/>
      <c r="R194" s="1273"/>
      <c r="S194" s="1273"/>
      <c r="T194" s="1273"/>
      <c r="U194" s="1273"/>
      <c r="V194" s="1273"/>
      <c r="W194" s="1274"/>
      <c r="X194" s="1274"/>
      <c r="Y194" s="1274"/>
      <c r="Z194" s="1274"/>
      <c r="AA194" s="1274"/>
      <c r="AB194" s="1274"/>
      <c r="AC194" s="1274"/>
      <c r="AD194" s="1274"/>
      <c r="AE194" s="1274"/>
      <c r="AF194" s="1274"/>
      <c r="AG194" s="1274"/>
      <c r="AH194" s="1274"/>
      <c r="AI194" s="1274"/>
      <c r="AJ194" s="1274"/>
      <c r="AK194" s="1274"/>
      <c r="AL194" s="1274"/>
      <c r="AM194" s="1274"/>
      <c r="AN194" s="1274"/>
      <c r="AO194" s="1274"/>
      <c r="AP194" s="1274"/>
      <c r="AQ194" s="1274"/>
      <c r="AR194" s="1274"/>
      <c r="AS194" s="1274"/>
      <c r="AT194" s="1274"/>
      <c r="AU194" s="1274"/>
      <c r="AV194" s="1274"/>
      <c r="AW194" s="1274"/>
      <c r="AX194" s="1274"/>
      <c r="AY194" s="1274"/>
      <c r="AZ194" s="1274"/>
      <c r="BA194" s="1274"/>
      <c r="BB194" s="1274"/>
      <c r="BC194" s="1274"/>
      <c r="BD194" s="1274"/>
      <c r="BE194" s="1274"/>
      <c r="BF194" s="1274"/>
      <c r="BG194" s="1274"/>
      <c r="BH194" s="1274"/>
      <c r="BI194" s="1274"/>
      <c r="BJ194" s="1274"/>
      <c r="BK194" s="1274"/>
      <c r="BL194" s="1274"/>
      <c r="BM194" s="1274"/>
      <c r="BN194" s="1274"/>
      <c r="BO194" s="1274"/>
      <c r="BP194" s="1274"/>
      <c r="BQ194" s="1274"/>
      <c r="BR194" s="1274"/>
      <c r="BS194" s="1274"/>
      <c r="BT194" s="1274"/>
      <c r="BU194" s="1274"/>
      <c r="BV194" s="1274"/>
      <c r="BW194" s="1274"/>
      <c r="BX194" s="1274"/>
      <c r="BY194" s="1274"/>
      <c r="BZ194" s="1274"/>
      <c r="CA194" s="1274"/>
      <c r="CB194" s="1274"/>
      <c r="CC194" s="1274"/>
      <c r="CD194" s="1274"/>
      <c r="CE194" s="1274"/>
      <c r="CF194" s="1274"/>
      <c r="CG194" s="1274"/>
      <c r="CH194" s="1269"/>
      <c r="CI194" s="1274"/>
      <c r="CJ194" s="1274"/>
      <c r="CK194" s="1274"/>
      <c r="CL194" s="1274"/>
      <c r="CM194" s="1274"/>
      <c r="CN194" s="1274"/>
      <c r="CO194" s="1274"/>
      <c r="CP194" s="1274"/>
      <c r="CQ194" s="1274"/>
      <c r="CR194" s="1274"/>
      <c r="CS194" s="1274"/>
      <c r="CT194" s="1274"/>
      <c r="CU194" s="1274"/>
      <c r="CV194" s="1274"/>
      <c r="CW194" s="1274"/>
      <c r="CX194" s="1274"/>
      <c r="CY194" s="1274"/>
      <c r="CZ194" s="1274"/>
      <c r="DA194" s="1274"/>
      <c r="DB194" s="1274"/>
      <c r="DC194" s="1274"/>
      <c r="DD194" s="1274"/>
      <c r="DE194" s="1274"/>
      <c r="DF194" s="1274"/>
      <c r="DG194" s="1274"/>
      <c r="DH194" s="1274"/>
      <c r="DI194" s="1274"/>
      <c r="DJ194" s="1274"/>
      <c r="DK194" s="1274"/>
      <c r="DL194" s="1274"/>
      <c r="DM194" s="1274"/>
      <c r="DN194" s="1274"/>
      <c r="DO194" s="1274"/>
      <c r="DP194" s="1274"/>
      <c r="DQ194" s="1274"/>
      <c r="DR194" s="1274"/>
      <c r="DS194" s="1274"/>
      <c r="DT194" s="1274"/>
      <c r="DU194" s="1274"/>
      <c r="DV194" s="1274"/>
      <c r="DW194" s="1274"/>
      <c r="DX194" s="1274"/>
      <c r="DY194" s="1274"/>
      <c r="DZ194" s="1274"/>
      <c r="EA194" s="1274"/>
      <c r="EB194" s="1273"/>
      <c r="EC194" s="1273"/>
      <c r="ED194" s="1273"/>
      <c r="EE194" s="1273"/>
      <c r="EF194" s="1273"/>
      <c r="EG194" s="1273"/>
      <c r="EH194" s="1273"/>
      <c r="EI194" s="1273"/>
      <c r="EJ194" s="1273"/>
      <c r="EK194" s="1273"/>
      <c r="EL194" s="1273"/>
      <c r="EM194" s="1313"/>
    </row>
    <row r="195" spans="1:143" s="1271" customFormat="1">
      <c r="B195" s="1272"/>
      <c r="C195" s="1272"/>
      <c r="D195" s="1273"/>
      <c r="E195" s="1273"/>
      <c r="F195" s="1273"/>
      <c r="G195" s="1273"/>
      <c r="H195" s="1273"/>
      <c r="I195" s="1273"/>
      <c r="J195" s="1273"/>
      <c r="K195" s="1273"/>
      <c r="L195" s="1273"/>
      <c r="M195" s="1273"/>
      <c r="N195" s="1273"/>
      <c r="O195" s="1273"/>
      <c r="P195" s="1273"/>
      <c r="Q195" s="1273"/>
      <c r="R195" s="1273"/>
      <c r="S195" s="1273"/>
      <c r="T195" s="1273"/>
      <c r="U195" s="1273"/>
      <c r="V195" s="1273"/>
      <c r="W195" s="1274"/>
      <c r="X195" s="1274"/>
      <c r="Y195" s="1274"/>
      <c r="Z195" s="1274"/>
      <c r="AA195" s="1274"/>
      <c r="AB195" s="1274"/>
      <c r="AC195" s="1274"/>
      <c r="AD195" s="1274"/>
      <c r="AE195" s="1274"/>
      <c r="AF195" s="1274"/>
      <c r="AG195" s="1274"/>
      <c r="AH195" s="1274"/>
      <c r="AI195" s="1274"/>
      <c r="AJ195" s="1274"/>
      <c r="AK195" s="1274"/>
      <c r="AL195" s="1274"/>
      <c r="AM195" s="1274"/>
      <c r="AN195" s="1274"/>
      <c r="AO195" s="1274"/>
      <c r="AP195" s="1274"/>
      <c r="AQ195" s="1274"/>
      <c r="AR195" s="1274"/>
      <c r="AS195" s="1274"/>
      <c r="AT195" s="1274"/>
      <c r="AU195" s="1274"/>
      <c r="AV195" s="1274"/>
      <c r="AW195" s="1274"/>
      <c r="AX195" s="1274"/>
      <c r="AY195" s="1274"/>
      <c r="AZ195" s="1274"/>
      <c r="BA195" s="1274"/>
      <c r="BB195" s="1274"/>
      <c r="BC195" s="1274"/>
      <c r="BD195" s="1274"/>
      <c r="BE195" s="1274"/>
      <c r="BF195" s="1274"/>
      <c r="BG195" s="1274"/>
      <c r="BH195" s="1274"/>
      <c r="BI195" s="1274"/>
      <c r="BJ195" s="1274"/>
      <c r="BK195" s="1274"/>
      <c r="BL195" s="1274"/>
      <c r="BM195" s="1274"/>
      <c r="BN195" s="1274"/>
      <c r="BO195" s="1274"/>
      <c r="BP195" s="1274"/>
      <c r="BQ195" s="1274"/>
      <c r="BR195" s="1274"/>
      <c r="BS195" s="1274"/>
      <c r="BT195" s="1274"/>
      <c r="BU195" s="1274"/>
      <c r="BV195" s="1274"/>
      <c r="BW195" s="1274"/>
      <c r="BX195" s="1274"/>
      <c r="BY195" s="1274"/>
      <c r="BZ195" s="1274"/>
      <c r="CA195" s="1274"/>
      <c r="CB195" s="1274"/>
      <c r="CC195" s="1274"/>
      <c r="CD195" s="1274"/>
      <c r="CE195" s="1274"/>
      <c r="CF195" s="1274"/>
      <c r="CG195" s="1274"/>
      <c r="CH195" s="1269"/>
      <c r="CI195" s="1274"/>
      <c r="CJ195" s="1274"/>
      <c r="CK195" s="1274"/>
      <c r="CL195" s="1274"/>
      <c r="CM195" s="1274"/>
      <c r="CN195" s="1274"/>
      <c r="CO195" s="1274"/>
      <c r="CP195" s="1274"/>
      <c r="CQ195" s="1274"/>
      <c r="CR195" s="1274"/>
      <c r="CS195" s="1274"/>
      <c r="CT195" s="1274"/>
      <c r="CU195" s="1274"/>
      <c r="CV195" s="1274"/>
      <c r="CW195" s="1274"/>
      <c r="CX195" s="1274"/>
      <c r="CY195" s="1274"/>
      <c r="CZ195" s="1274"/>
      <c r="DA195" s="1274"/>
      <c r="DB195" s="1274"/>
      <c r="DC195" s="1274"/>
      <c r="DD195" s="1274"/>
      <c r="DE195" s="1274"/>
      <c r="DF195" s="1274"/>
      <c r="DG195" s="1274"/>
      <c r="DH195" s="1274"/>
      <c r="DI195" s="1274"/>
      <c r="DJ195" s="1274"/>
      <c r="DK195" s="1274"/>
      <c r="DL195" s="1274"/>
      <c r="DM195" s="1274"/>
      <c r="DN195" s="1274"/>
      <c r="DO195" s="1274"/>
      <c r="DP195" s="1274"/>
      <c r="DQ195" s="1274"/>
      <c r="DR195" s="1274"/>
      <c r="DS195" s="1274"/>
      <c r="DT195" s="1274"/>
      <c r="DU195" s="1274"/>
      <c r="DV195" s="1274"/>
      <c r="DW195" s="1274"/>
      <c r="DX195" s="1274"/>
      <c r="DY195" s="1274"/>
      <c r="DZ195" s="1274"/>
      <c r="EA195" s="1274"/>
      <c r="EB195" s="1273"/>
      <c r="EC195" s="1273"/>
      <c r="ED195" s="1273"/>
      <c r="EE195" s="1273"/>
      <c r="EF195" s="1273"/>
      <c r="EG195" s="1273"/>
      <c r="EH195" s="1273"/>
      <c r="EI195" s="1273"/>
      <c r="EJ195" s="1273"/>
      <c r="EK195" s="1273"/>
      <c r="EL195" s="1273"/>
      <c r="EM195" s="1313"/>
    </row>
    <row r="196" spans="1:143" s="1271" customFormat="1">
      <c r="B196" s="1272"/>
      <c r="C196" s="1272"/>
      <c r="D196" s="1273"/>
      <c r="E196" s="1273"/>
      <c r="F196" s="1273"/>
      <c r="G196" s="1273"/>
      <c r="H196" s="1273"/>
      <c r="I196" s="1273"/>
      <c r="J196" s="1273"/>
      <c r="K196" s="1273"/>
      <c r="L196" s="1273"/>
      <c r="M196" s="1273"/>
      <c r="N196" s="1273"/>
      <c r="O196" s="1273"/>
      <c r="P196" s="1273"/>
      <c r="Q196" s="1273"/>
      <c r="R196" s="1273"/>
      <c r="S196" s="1273"/>
      <c r="T196" s="1273"/>
      <c r="U196" s="1273"/>
      <c r="V196" s="1273"/>
      <c r="W196" s="1274"/>
      <c r="X196" s="1274"/>
      <c r="Y196" s="1274"/>
      <c r="Z196" s="1274"/>
      <c r="AA196" s="1274"/>
      <c r="AB196" s="1274"/>
      <c r="AC196" s="1274"/>
      <c r="AD196" s="1274"/>
      <c r="AE196" s="1274"/>
      <c r="AF196" s="1274"/>
      <c r="AG196" s="1274"/>
      <c r="AH196" s="1274"/>
      <c r="AI196" s="1274"/>
      <c r="AJ196" s="1274"/>
      <c r="AK196" s="1274"/>
      <c r="AL196" s="1274"/>
      <c r="AM196" s="1274"/>
      <c r="AN196" s="1274"/>
      <c r="AO196" s="1274"/>
      <c r="AP196" s="1274"/>
      <c r="AQ196" s="1274"/>
      <c r="AR196" s="1274"/>
      <c r="AS196" s="1274"/>
      <c r="AT196" s="1274"/>
      <c r="AU196" s="1274"/>
      <c r="AV196" s="1274"/>
      <c r="AW196" s="1274"/>
      <c r="AX196" s="1274"/>
      <c r="AY196" s="1274"/>
      <c r="AZ196" s="1274"/>
      <c r="BA196" s="1274"/>
      <c r="BB196" s="1274"/>
      <c r="BC196" s="1274"/>
      <c r="BD196" s="1274"/>
      <c r="BE196" s="1274"/>
      <c r="BF196" s="1274"/>
      <c r="BG196" s="1274"/>
      <c r="BH196" s="1274"/>
      <c r="BI196" s="1274"/>
      <c r="BJ196" s="1274"/>
      <c r="BK196" s="1274"/>
      <c r="BL196" s="1274"/>
      <c r="BM196" s="1274"/>
      <c r="BN196" s="1274"/>
      <c r="BO196" s="1274"/>
      <c r="BP196" s="1274"/>
      <c r="BQ196" s="1274"/>
      <c r="BR196" s="1274"/>
      <c r="BS196" s="1274"/>
      <c r="BT196" s="1274"/>
      <c r="BU196" s="1274"/>
      <c r="BV196" s="1274"/>
      <c r="BW196" s="1274"/>
      <c r="BX196" s="1274"/>
      <c r="BY196" s="1274"/>
      <c r="BZ196" s="1274"/>
      <c r="CA196" s="1274"/>
      <c r="CB196" s="1274"/>
      <c r="CC196" s="1274"/>
      <c r="CD196" s="1274"/>
      <c r="CE196" s="1274"/>
      <c r="CF196" s="1274"/>
      <c r="CG196" s="1274"/>
      <c r="CH196" s="1269"/>
      <c r="CI196" s="1274"/>
      <c r="CJ196" s="1274"/>
      <c r="CK196" s="1274"/>
      <c r="CL196" s="1274"/>
      <c r="CM196" s="1274"/>
      <c r="CN196" s="1274"/>
      <c r="CO196" s="1274"/>
      <c r="CP196" s="1274"/>
      <c r="CQ196" s="1274"/>
      <c r="CR196" s="1274"/>
      <c r="CS196" s="1274"/>
      <c r="CT196" s="1274"/>
      <c r="CU196" s="1274"/>
      <c r="CV196" s="1274"/>
      <c r="CW196" s="1274"/>
      <c r="CX196" s="1274"/>
      <c r="CY196" s="1274"/>
      <c r="CZ196" s="1274"/>
      <c r="DA196" s="1274"/>
      <c r="DB196" s="1274"/>
      <c r="DC196" s="1274"/>
      <c r="DD196" s="1274"/>
      <c r="DE196" s="1274"/>
      <c r="DF196" s="1274"/>
      <c r="DG196" s="1274"/>
      <c r="DH196" s="1274"/>
      <c r="DI196" s="1274"/>
      <c r="DJ196" s="1274"/>
      <c r="DK196" s="1274"/>
      <c r="DL196" s="1274"/>
      <c r="DM196" s="1274"/>
      <c r="DN196" s="1274"/>
      <c r="DO196" s="1274"/>
      <c r="DP196" s="1274"/>
      <c r="DQ196" s="1274"/>
      <c r="DR196" s="1274"/>
      <c r="DS196" s="1274"/>
      <c r="DT196" s="1274"/>
      <c r="DU196" s="1274"/>
      <c r="DV196" s="1274"/>
      <c r="DW196" s="1274"/>
      <c r="DX196" s="1274"/>
      <c r="DY196" s="1274"/>
      <c r="DZ196" s="1274"/>
      <c r="EA196" s="1274"/>
      <c r="EB196" s="1273"/>
      <c r="EC196" s="1273"/>
      <c r="ED196" s="1273"/>
      <c r="EE196" s="1273"/>
      <c r="EF196" s="1273"/>
      <c r="EG196" s="1273"/>
      <c r="EH196" s="1273"/>
      <c r="EI196" s="1273"/>
      <c r="EJ196" s="1273"/>
      <c r="EK196" s="1273"/>
      <c r="EL196" s="1273"/>
      <c r="EM196" s="1313"/>
    </row>
    <row r="197" spans="1:143" s="1271" customFormat="1">
      <c r="A197" s="1283"/>
      <c r="B197" s="1272"/>
      <c r="C197" s="1272"/>
      <c r="D197" s="1273"/>
      <c r="E197" s="1273"/>
      <c r="F197" s="1273"/>
      <c r="G197" s="1273"/>
      <c r="H197" s="1273"/>
      <c r="I197" s="1273"/>
      <c r="J197" s="1273"/>
      <c r="K197" s="1273"/>
      <c r="L197" s="1273"/>
      <c r="M197" s="1273"/>
      <c r="N197" s="1273"/>
      <c r="O197" s="1273"/>
      <c r="P197" s="1273"/>
      <c r="Q197" s="1273"/>
      <c r="R197" s="1273"/>
      <c r="S197" s="1273"/>
      <c r="T197" s="1273"/>
      <c r="U197" s="1273"/>
      <c r="V197" s="1273"/>
      <c r="W197" s="1274"/>
      <c r="X197" s="1274"/>
      <c r="Y197" s="1274"/>
      <c r="Z197" s="1274"/>
      <c r="AA197" s="1274"/>
      <c r="AB197" s="1274"/>
      <c r="AC197" s="1274"/>
      <c r="AD197" s="1274"/>
      <c r="AE197" s="1274"/>
      <c r="AF197" s="1274"/>
      <c r="AG197" s="1274"/>
      <c r="AH197" s="1274"/>
      <c r="AI197" s="1274"/>
      <c r="AJ197" s="1274"/>
      <c r="AK197" s="1274"/>
      <c r="AL197" s="1274"/>
      <c r="AM197" s="1274"/>
      <c r="AN197" s="1274"/>
      <c r="AO197" s="1274"/>
      <c r="AP197" s="1274"/>
      <c r="AQ197" s="1274"/>
      <c r="AR197" s="1274"/>
      <c r="AS197" s="1274"/>
      <c r="AT197" s="1274"/>
      <c r="AU197" s="1274"/>
      <c r="AV197" s="1274"/>
      <c r="AW197" s="1274"/>
      <c r="AX197" s="1274"/>
      <c r="AY197" s="1274"/>
      <c r="AZ197" s="1274"/>
      <c r="BA197" s="1274"/>
      <c r="BB197" s="1274"/>
      <c r="BC197" s="1274"/>
      <c r="BD197" s="1274"/>
      <c r="BE197" s="1274"/>
      <c r="BF197" s="1274"/>
      <c r="BG197" s="1274"/>
      <c r="BH197" s="1274"/>
      <c r="BI197" s="1274"/>
      <c r="BJ197" s="1274"/>
      <c r="BK197" s="1274"/>
      <c r="BL197" s="1274"/>
      <c r="BM197" s="1274"/>
      <c r="BN197" s="1274"/>
      <c r="BO197" s="1274"/>
      <c r="BP197" s="1274"/>
      <c r="BQ197" s="1274"/>
      <c r="BR197" s="1274"/>
      <c r="BS197" s="1274"/>
      <c r="BT197" s="1274"/>
      <c r="BU197" s="1274"/>
      <c r="BV197" s="1274"/>
      <c r="BW197" s="1274"/>
      <c r="BX197" s="1274"/>
      <c r="BY197" s="1274"/>
      <c r="BZ197" s="1274"/>
      <c r="CA197" s="1274"/>
      <c r="CB197" s="1274"/>
      <c r="CC197" s="1274"/>
      <c r="CD197" s="1274"/>
      <c r="CE197" s="1274"/>
      <c r="CF197" s="1274"/>
      <c r="CG197" s="1274"/>
      <c r="CH197" s="1269"/>
      <c r="CI197" s="1274"/>
      <c r="CJ197" s="1274"/>
      <c r="CK197" s="1274"/>
      <c r="CL197" s="1274"/>
      <c r="CM197" s="1274"/>
      <c r="CN197" s="1274"/>
      <c r="CO197" s="1274"/>
      <c r="CP197" s="1274"/>
      <c r="CQ197" s="1274"/>
      <c r="CR197" s="1274"/>
      <c r="CS197" s="1274"/>
      <c r="CT197" s="1274"/>
      <c r="CU197" s="1274"/>
      <c r="CV197" s="1274"/>
      <c r="CW197" s="1274"/>
      <c r="CX197" s="1274"/>
      <c r="CY197" s="1274"/>
      <c r="CZ197" s="1274"/>
      <c r="DA197" s="1274"/>
      <c r="DB197" s="1274"/>
      <c r="DC197" s="1274"/>
      <c r="DD197" s="1274"/>
      <c r="DE197" s="1274"/>
      <c r="DF197" s="1274"/>
      <c r="DG197" s="1274"/>
      <c r="DH197" s="1274"/>
      <c r="DI197" s="1274"/>
      <c r="DJ197" s="1274"/>
      <c r="DK197" s="1274"/>
      <c r="DL197" s="1274"/>
      <c r="DM197" s="1274"/>
      <c r="DN197" s="1274"/>
      <c r="DO197" s="1274"/>
      <c r="DP197" s="1274"/>
      <c r="DQ197" s="1274"/>
      <c r="DR197" s="1274"/>
      <c r="DS197" s="1274"/>
      <c r="DT197" s="1274"/>
      <c r="DU197" s="1274"/>
      <c r="DV197" s="1274"/>
      <c r="DW197" s="1274"/>
      <c r="DX197" s="1274"/>
      <c r="DY197" s="1274"/>
      <c r="DZ197" s="1274"/>
      <c r="EA197" s="1274"/>
      <c r="EB197" s="1273"/>
      <c r="EC197" s="1273"/>
      <c r="ED197" s="1273"/>
      <c r="EE197" s="1273"/>
      <c r="EF197" s="1273"/>
      <c r="EG197" s="1273"/>
      <c r="EH197" s="1273"/>
      <c r="EI197" s="1273"/>
      <c r="EJ197" s="1273"/>
      <c r="EK197" s="1273"/>
      <c r="EL197" s="1273"/>
      <c r="EM197" s="1313"/>
    </row>
    <row r="198" spans="1:143" s="1271" customFormat="1">
      <c r="A198" s="1284"/>
      <c r="B198" s="1263"/>
      <c r="C198" s="1264"/>
      <c r="D198" s="1265"/>
      <c r="E198" s="1265"/>
      <c r="F198" s="1285"/>
      <c r="G198" s="1264"/>
      <c r="H198" s="1264"/>
      <c r="I198" s="1285"/>
      <c r="J198" s="1285"/>
      <c r="K198" s="1285"/>
      <c r="L198" s="1285"/>
      <c r="M198" s="1285"/>
      <c r="N198" s="1285"/>
      <c r="O198" s="1285"/>
      <c r="P198" s="1285"/>
      <c r="Q198" s="1285"/>
      <c r="R198" s="1285"/>
      <c r="S198" s="1285"/>
      <c r="T198" s="1285"/>
      <c r="U198" s="1285"/>
      <c r="V198" s="1285"/>
      <c r="W198" s="1286"/>
      <c r="X198" s="1286"/>
      <c r="Y198" s="1286"/>
      <c r="Z198" s="1286"/>
      <c r="AA198" s="1286"/>
      <c r="AB198" s="1286"/>
      <c r="AC198" s="1286"/>
      <c r="AD198" s="1286"/>
      <c r="AE198" s="1286"/>
      <c r="AF198" s="1286"/>
      <c r="AG198" s="1286"/>
      <c r="AH198" s="1286"/>
      <c r="AI198" s="1286"/>
      <c r="AJ198" s="1286"/>
      <c r="AK198" s="1286"/>
      <c r="AL198" s="1286"/>
      <c r="AM198" s="1286"/>
      <c r="AN198" s="1286"/>
      <c r="AO198" s="1286"/>
      <c r="AP198" s="1286"/>
      <c r="AQ198" s="1286"/>
      <c r="AR198" s="1286"/>
      <c r="AS198" s="1286"/>
      <c r="AT198" s="1286"/>
      <c r="AU198" s="1286"/>
      <c r="AV198" s="1286"/>
      <c r="AW198" s="1286"/>
      <c r="AX198" s="1286"/>
      <c r="AY198" s="1286"/>
      <c r="AZ198" s="1286"/>
      <c r="BA198" s="1286"/>
      <c r="BB198" s="1286"/>
      <c r="BC198" s="1286"/>
      <c r="BD198" s="1286"/>
      <c r="BE198" s="1286"/>
      <c r="BF198" s="1286"/>
      <c r="BG198" s="1286"/>
      <c r="BH198" s="1286"/>
      <c r="BI198" s="1286"/>
      <c r="BJ198" s="1286"/>
      <c r="BK198" s="1286"/>
      <c r="BL198" s="1286"/>
      <c r="BM198" s="1286"/>
      <c r="BN198" s="1286"/>
      <c r="BO198" s="1286"/>
      <c r="BP198" s="1286"/>
      <c r="BQ198" s="1286"/>
      <c r="BR198" s="1286"/>
      <c r="BS198" s="1286"/>
      <c r="BT198" s="1286"/>
      <c r="BU198" s="1286"/>
      <c r="BV198" s="1286"/>
      <c r="BW198" s="1286"/>
      <c r="BX198" s="1286"/>
      <c r="BY198" s="1286"/>
      <c r="BZ198" s="1286"/>
      <c r="CA198" s="1286"/>
      <c r="CB198" s="1286"/>
      <c r="CC198" s="1286"/>
      <c r="CD198" s="1286"/>
      <c r="CE198" s="1286"/>
      <c r="CF198" s="1286"/>
      <c r="CG198" s="1286"/>
      <c r="CH198" s="1269"/>
      <c r="CI198" s="1286"/>
      <c r="CJ198" s="1286"/>
      <c r="CK198" s="1286"/>
      <c r="CL198" s="1286"/>
      <c r="CM198" s="1286"/>
      <c r="CN198" s="1286"/>
      <c r="CO198" s="1286"/>
      <c r="CP198" s="1286"/>
      <c r="CQ198" s="1286"/>
      <c r="CR198" s="1286"/>
      <c r="CS198" s="1286"/>
      <c r="CT198" s="1286"/>
      <c r="CU198" s="1286"/>
      <c r="CV198" s="1286"/>
      <c r="CW198" s="1286"/>
      <c r="CX198" s="1286"/>
      <c r="CY198" s="1286"/>
      <c r="CZ198" s="1286"/>
      <c r="DA198" s="1286"/>
      <c r="DB198" s="1286"/>
      <c r="DC198" s="1286"/>
      <c r="DD198" s="1286"/>
      <c r="DE198" s="1286"/>
      <c r="DF198" s="1286"/>
      <c r="DG198" s="1286"/>
      <c r="DH198" s="1286"/>
      <c r="DI198" s="1286"/>
      <c r="DJ198" s="1286"/>
      <c r="DK198" s="1286"/>
      <c r="DL198" s="1286"/>
      <c r="DM198" s="1286"/>
      <c r="DN198" s="1286"/>
      <c r="DO198" s="1286"/>
      <c r="DP198" s="1286"/>
      <c r="DQ198" s="1286"/>
      <c r="DR198" s="1286"/>
      <c r="DS198" s="1286"/>
      <c r="DT198" s="1286"/>
      <c r="DU198" s="1286"/>
      <c r="DV198" s="1286"/>
      <c r="DW198" s="1286"/>
      <c r="DX198" s="1286"/>
      <c r="DY198" s="1286"/>
      <c r="DZ198" s="1286"/>
      <c r="EA198" s="1286"/>
      <c r="EB198" s="1206"/>
      <c r="EC198" s="1206"/>
      <c r="ED198" s="1206"/>
      <c r="EE198" s="1206"/>
      <c r="EF198" s="1206"/>
      <c r="EG198" s="1206"/>
      <c r="EH198" s="1206"/>
      <c r="EI198" s="1206"/>
      <c r="EJ198" s="1206"/>
      <c r="EK198" s="1206"/>
      <c r="EL198" s="1206"/>
      <c r="EM198" s="1313"/>
    </row>
    <row r="199" spans="1:143" s="1271" customFormat="1">
      <c r="B199" s="1276"/>
      <c r="C199" s="1276"/>
      <c r="D199" s="1276"/>
      <c r="E199" s="1276"/>
      <c r="F199" s="1276"/>
      <c r="G199" s="1276"/>
      <c r="H199" s="1276"/>
      <c r="I199" s="1276"/>
      <c r="J199" s="1276"/>
      <c r="K199" s="1276"/>
      <c r="L199" s="1276"/>
      <c r="M199" s="1276"/>
      <c r="N199" s="1276"/>
      <c r="O199" s="1276"/>
      <c r="P199" s="1276"/>
      <c r="Q199" s="1276"/>
      <c r="R199" s="1276"/>
      <c r="S199" s="1276"/>
      <c r="T199" s="1276"/>
      <c r="U199" s="1276"/>
      <c r="V199" s="1276"/>
      <c r="W199" s="1277"/>
      <c r="X199" s="1277"/>
      <c r="Y199" s="1277"/>
      <c r="Z199" s="1277"/>
      <c r="AA199" s="1277"/>
      <c r="AB199" s="1277"/>
      <c r="AC199" s="1277"/>
      <c r="AD199" s="1277"/>
      <c r="AE199" s="1277"/>
      <c r="AF199" s="1277"/>
      <c r="AG199" s="1277"/>
      <c r="AH199" s="1277"/>
      <c r="AI199" s="1277"/>
      <c r="AJ199" s="1277"/>
      <c r="AK199" s="1277"/>
      <c r="AL199" s="1277"/>
      <c r="AM199" s="1277"/>
      <c r="AN199" s="1277"/>
      <c r="AO199" s="1277"/>
      <c r="AP199" s="1277"/>
      <c r="AQ199" s="1277"/>
      <c r="AR199" s="1277"/>
      <c r="AS199" s="1277"/>
      <c r="AT199" s="1277"/>
      <c r="AU199" s="1277"/>
      <c r="AV199" s="1277"/>
      <c r="AW199" s="1277"/>
      <c r="AX199" s="1277"/>
      <c r="AY199" s="1277"/>
      <c r="AZ199" s="1277"/>
      <c r="BA199" s="1277"/>
      <c r="BB199" s="1277"/>
      <c r="BC199" s="1277"/>
      <c r="BD199" s="1277"/>
      <c r="BE199" s="1277"/>
      <c r="BF199" s="1277"/>
      <c r="BG199" s="1277"/>
      <c r="BH199" s="1277"/>
      <c r="BI199" s="1277"/>
      <c r="BJ199" s="1277"/>
      <c r="BK199" s="1277"/>
      <c r="BL199" s="1277"/>
      <c r="BM199" s="1277"/>
      <c r="BN199" s="1277"/>
      <c r="BO199" s="1277"/>
      <c r="BP199" s="1277"/>
      <c r="BQ199" s="1277"/>
      <c r="BR199" s="1277"/>
      <c r="BS199" s="1277"/>
      <c r="BT199" s="1277"/>
      <c r="BU199" s="1277"/>
      <c r="BV199" s="1277"/>
      <c r="BW199" s="1277"/>
      <c r="BX199" s="1277"/>
      <c r="BY199" s="1277"/>
      <c r="BZ199" s="1277"/>
      <c r="CA199" s="1277"/>
      <c r="CB199" s="1277"/>
      <c r="CC199" s="1277"/>
      <c r="CD199" s="1277"/>
      <c r="CE199" s="1277"/>
      <c r="CF199" s="1277"/>
      <c r="CG199" s="1277"/>
      <c r="CH199" s="1269"/>
      <c r="CI199" s="1277"/>
      <c r="CJ199" s="1277"/>
      <c r="CK199" s="1277"/>
      <c r="CL199" s="1277"/>
      <c r="CM199" s="1277"/>
      <c r="CN199" s="1277"/>
      <c r="CO199" s="1277"/>
      <c r="CP199" s="1277"/>
      <c r="CQ199" s="1277"/>
      <c r="CR199" s="1277"/>
      <c r="CS199" s="1277"/>
      <c r="CT199" s="1277"/>
      <c r="CU199" s="1277"/>
      <c r="CV199" s="1277"/>
      <c r="CW199" s="1277"/>
      <c r="CX199" s="1277"/>
      <c r="CY199" s="1277"/>
      <c r="CZ199" s="1277"/>
      <c r="DA199" s="1277"/>
      <c r="DB199" s="1277"/>
      <c r="DC199" s="1277"/>
      <c r="DD199" s="1277"/>
      <c r="DE199" s="1277"/>
      <c r="DF199" s="1277"/>
      <c r="DG199" s="1277"/>
      <c r="DH199" s="1277"/>
      <c r="DI199" s="1277"/>
      <c r="DJ199" s="1277"/>
      <c r="DK199" s="1277"/>
      <c r="DL199" s="1277"/>
      <c r="DM199" s="1277"/>
      <c r="DN199" s="1277"/>
      <c r="DO199" s="1277"/>
      <c r="DP199" s="1277"/>
      <c r="DQ199" s="1277"/>
      <c r="DR199" s="1277"/>
      <c r="DS199" s="1277"/>
      <c r="DT199" s="1277"/>
      <c r="DU199" s="1277"/>
      <c r="DV199" s="1277"/>
      <c r="DW199" s="1277"/>
      <c r="DX199" s="1277"/>
      <c r="DY199" s="1277"/>
      <c r="DZ199" s="1277"/>
      <c r="EA199" s="1277"/>
      <c r="EB199" s="1276"/>
      <c r="EC199" s="1276"/>
      <c r="ED199" s="1276"/>
      <c r="EE199" s="1276"/>
      <c r="EF199" s="1276"/>
      <c r="EG199" s="1276"/>
      <c r="EH199" s="1276"/>
      <c r="EI199" s="1276"/>
      <c r="EJ199" s="1276"/>
      <c r="EK199" s="1275"/>
      <c r="EL199" s="1275"/>
      <c r="EM199" s="1313"/>
    </row>
    <row r="200" spans="1:143" s="1271" customFormat="1">
      <c r="B200" s="1276"/>
      <c r="C200" s="1276"/>
      <c r="D200" s="1276"/>
      <c r="E200" s="1276"/>
      <c r="F200" s="1276"/>
      <c r="G200" s="1276"/>
      <c r="H200" s="1276"/>
      <c r="I200" s="1276"/>
      <c r="J200" s="1276"/>
      <c r="K200" s="1276"/>
      <c r="L200" s="1276"/>
      <c r="M200" s="1276"/>
      <c r="N200" s="1276"/>
      <c r="O200" s="1276"/>
      <c r="P200" s="1276"/>
      <c r="Q200" s="1276"/>
      <c r="R200" s="1276"/>
      <c r="S200" s="1276"/>
      <c r="T200" s="1276"/>
      <c r="U200" s="1276"/>
      <c r="V200" s="1276"/>
      <c r="W200" s="1277"/>
      <c r="X200" s="1277"/>
      <c r="Y200" s="1277"/>
      <c r="Z200" s="1277"/>
      <c r="AA200" s="1277"/>
      <c r="AB200" s="1277"/>
      <c r="AC200" s="1277"/>
      <c r="AD200" s="1277"/>
      <c r="AE200" s="1277"/>
      <c r="AF200" s="1277"/>
      <c r="AG200" s="1277"/>
      <c r="AH200" s="1277"/>
      <c r="AI200" s="1277"/>
      <c r="AJ200" s="1277"/>
      <c r="AK200" s="1277"/>
      <c r="AL200" s="1277"/>
      <c r="AM200" s="1277"/>
      <c r="AN200" s="1277"/>
      <c r="AO200" s="1277"/>
      <c r="AP200" s="1277"/>
      <c r="AQ200" s="1277"/>
      <c r="AR200" s="1277"/>
      <c r="AS200" s="1277"/>
      <c r="AT200" s="1277"/>
      <c r="AU200" s="1277"/>
      <c r="AV200" s="1277"/>
      <c r="AW200" s="1277"/>
      <c r="AX200" s="1277"/>
      <c r="AY200" s="1277"/>
      <c r="AZ200" s="1277"/>
      <c r="BA200" s="1277"/>
      <c r="BB200" s="1277"/>
      <c r="BC200" s="1277"/>
      <c r="BD200" s="1277"/>
      <c r="BE200" s="1277"/>
      <c r="BF200" s="1277"/>
      <c r="BG200" s="1277"/>
      <c r="BH200" s="1277"/>
      <c r="BI200" s="1277"/>
      <c r="BJ200" s="1277"/>
      <c r="BK200" s="1277"/>
      <c r="BL200" s="1277"/>
      <c r="BM200" s="1277"/>
      <c r="BN200" s="1277"/>
      <c r="BO200" s="1277"/>
      <c r="BP200" s="1277"/>
      <c r="BQ200" s="1277"/>
      <c r="BR200" s="1277"/>
      <c r="BS200" s="1277"/>
      <c r="BT200" s="1277"/>
      <c r="BU200" s="1277"/>
      <c r="BV200" s="1277"/>
      <c r="BW200" s="1277"/>
      <c r="BX200" s="1277"/>
      <c r="BY200" s="1277"/>
      <c r="BZ200" s="1277"/>
      <c r="CA200" s="1277"/>
      <c r="CB200" s="1277"/>
      <c r="CC200" s="1277"/>
      <c r="CD200" s="1277"/>
      <c r="CE200" s="1277"/>
      <c r="CF200" s="1277"/>
      <c r="CG200" s="1277"/>
      <c r="CH200" s="1269"/>
      <c r="CI200" s="1277"/>
      <c r="CJ200" s="1277"/>
      <c r="CK200" s="1277"/>
      <c r="CL200" s="1277"/>
      <c r="CM200" s="1277"/>
      <c r="CN200" s="1277"/>
      <c r="CO200" s="1277"/>
      <c r="CP200" s="1277"/>
      <c r="CQ200" s="1277"/>
      <c r="CR200" s="1277"/>
      <c r="CS200" s="1277"/>
      <c r="CT200" s="1277"/>
      <c r="CU200" s="1277"/>
      <c r="CV200" s="1277"/>
      <c r="CW200" s="1277"/>
      <c r="CX200" s="1277"/>
      <c r="CY200" s="1277"/>
      <c r="CZ200" s="1277"/>
      <c r="DA200" s="1277"/>
      <c r="DB200" s="1277"/>
      <c r="DC200" s="1277"/>
      <c r="DD200" s="1277"/>
      <c r="DE200" s="1277"/>
      <c r="DF200" s="1277"/>
      <c r="DG200" s="1277"/>
      <c r="DH200" s="1277"/>
      <c r="DI200" s="1277"/>
      <c r="DJ200" s="1277"/>
      <c r="DK200" s="1277"/>
      <c r="DL200" s="1277"/>
      <c r="DM200" s="1277"/>
      <c r="DN200" s="1277"/>
      <c r="DO200" s="1277"/>
      <c r="DP200" s="1277"/>
      <c r="DQ200" s="1277"/>
      <c r="DR200" s="1277"/>
      <c r="DS200" s="1277"/>
      <c r="DT200" s="1277"/>
      <c r="DU200" s="1277"/>
      <c r="DV200" s="1277"/>
      <c r="DW200" s="1277"/>
      <c r="DX200" s="1277"/>
      <c r="DY200" s="1277"/>
      <c r="DZ200" s="1277"/>
      <c r="EA200" s="1277"/>
      <c r="EB200" s="1276"/>
      <c r="EC200" s="1276"/>
      <c r="ED200" s="1276"/>
      <c r="EE200" s="1276"/>
      <c r="EF200" s="1276"/>
      <c r="EG200" s="1276"/>
      <c r="EH200" s="1276"/>
      <c r="EI200" s="1276"/>
      <c r="EJ200" s="1276"/>
      <c r="EK200" s="1275"/>
      <c r="EL200" s="1275"/>
      <c r="EM200" s="1313"/>
    </row>
    <row r="201" spans="1:143" s="1271" customFormat="1">
      <c r="A201" s="1262"/>
      <c r="B201" s="1276"/>
      <c r="C201" s="1276"/>
      <c r="D201" s="1276"/>
      <c r="E201" s="1276"/>
      <c r="F201" s="1276"/>
      <c r="G201" s="1276"/>
      <c r="H201" s="1276"/>
      <c r="I201" s="1276"/>
      <c r="J201" s="1276"/>
      <c r="K201" s="1276"/>
      <c r="L201" s="1276"/>
      <c r="M201" s="1276"/>
      <c r="N201" s="1276"/>
      <c r="O201" s="1276"/>
      <c r="P201" s="1276"/>
      <c r="Q201" s="1276"/>
      <c r="R201" s="1276"/>
      <c r="S201" s="1276"/>
      <c r="T201" s="1276"/>
      <c r="U201" s="1276"/>
      <c r="V201" s="1276"/>
      <c r="W201" s="1277"/>
      <c r="X201" s="1277"/>
      <c r="Y201" s="1277"/>
      <c r="Z201" s="1277"/>
      <c r="AA201" s="1277"/>
      <c r="AB201" s="1277"/>
      <c r="AC201" s="1277"/>
      <c r="AD201" s="1277"/>
      <c r="AE201" s="1277"/>
      <c r="AF201" s="1277"/>
      <c r="AG201" s="1277"/>
      <c r="AH201" s="1277"/>
      <c r="AI201" s="1277"/>
      <c r="AJ201" s="1277"/>
      <c r="AK201" s="1277"/>
      <c r="AL201" s="1277"/>
      <c r="AM201" s="1277"/>
      <c r="AN201" s="1277"/>
      <c r="AO201" s="1277"/>
      <c r="AP201" s="1277"/>
      <c r="AQ201" s="1277"/>
      <c r="AR201" s="1277"/>
      <c r="AS201" s="1277"/>
      <c r="AT201" s="1277"/>
      <c r="AU201" s="1277"/>
      <c r="AV201" s="1277"/>
      <c r="AW201" s="1277"/>
      <c r="AX201" s="1277"/>
      <c r="AY201" s="1277"/>
      <c r="AZ201" s="1277"/>
      <c r="BA201" s="1277"/>
      <c r="BB201" s="1277"/>
      <c r="BC201" s="1277"/>
      <c r="BD201" s="1277"/>
      <c r="BE201" s="1277"/>
      <c r="BF201" s="1277"/>
      <c r="BG201" s="1277"/>
      <c r="BH201" s="1277"/>
      <c r="BI201" s="1277"/>
      <c r="BJ201" s="1277"/>
      <c r="BK201" s="1277"/>
      <c r="BL201" s="1277"/>
      <c r="BM201" s="1277"/>
      <c r="BN201" s="1277"/>
      <c r="BO201" s="1277"/>
      <c r="BP201" s="1277"/>
      <c r="BQ201" s="1277"/>
      <c r="BR201" s="1277"/>
      <c r="BS201" s="1277"/>
      <c r="BT201" s="1277"/>
      <c r="BU201" s="1277"/>
      <c r="BV201" s="1277"/>
      <c r="BW201" s="1277"/>
      <c r="BX201" s="1277"/>
      <c r="BY201" s="1277"/>
      <c r="BZ201" s="1277"/>
      <c r="CA201" s="1277"/>
      <c r="CB201" s="1277"/>
      <c r="CC201" s="1277"/>
      <c r="CD201" s="1277"/>
      <c r="CE201" s="1277"/>
      <c r="CF201" s="1277"/>
      <c r="CG201" s="1277"/>
      <c r="CH201" s="1269"/>
      <c r="CI201" s="1277"/>
      <c r="CJ201" s="1277"/>
      <c r="CK201" s="1277"/>
      <c r="CL201" s="1277"/>
      <c r="CM201" s="1277"/>
      <c r="CN201" s="1277"/>
      <c r="CO201" s="1277"/>
      <c r="CP201" s="1277"/>
      <c r="CQ201" s="1277"/>
      <c r="CR201" s="1277"/>
      <c r="CS201" s="1277"/>
      <c r="CT201" s="1277"/>
      <c r="CU201" s="1277"/>
      <c r="CV201" s="1277"/>
      <c r="CW201" s="1277"/>
      <c r="CX201" s="1277"/>
      <c r="CY201" s="1277"/>
      <c r="CZ201" s="1277"/>
      <c r="DA201" s="1277"/>
      <c r="DB201" s="1277"/>
      <c r="DC201" s="1277"/>
      <c r="DD201" s="1277"/>
      <c r="DE201" s="1277"/>
      <c r="DF201" s="1277"/>
      <c r="DG201" s="1277"/>
      <c r="DH201" s="1277"/>
      <c r="DI201" s="1277"/>
      <c r="DJ201" s="1277"/>
      <c r="DK201" s="1277"/>
      <c r="DL201" s="1277"/>
      <c r="DM201" s="1277"/>
      <c r="DN201" s="1277"/>
      <c r="DO201" s="1277"/>
      <c r="DP201" s="1277"/>
      <c r="DQ201" s="1277"/>
      <c r="DR201" s="1277"/>
      <c r="DS201" s="1277"/>
      <c r="DT201" s="1277"/>
      <c r="DU201" s="1277"/>
      <c r="DV201" s="1277"/>
      <c r="DW201" s="1277"/>
      <c r="DX201" s="1277"/>
      <c r="DY201" s="1277"/>
      <c r="DZ201" s="1277"/>
      <c r="EA201" s="1277"/>
      <c r="EB201" s="1276"/>
      <c r="EC201" s="1276"/>
      <c r="ED201" s="1276"/>
      <c r="EE201" s="1276"/>
      <c r="EF201" s="1276"/>
      <c r="EG201" s="1276"/>
      <c r="EH201" s="1276"/>
      <c r="EI201" s="1276"/>
      <c r="EJ201" s="1276"/>
      <c r="EK201" s="1275"/>
      <c r="EL201" s="1275"/>
      <c r="EM201" s="1313"/>
    </row>
    <row r="202" spans="1:143" s="1271" customFormat="1">
      <c r="B202" s="1272"/>
      <c r="C202" s="1272"/>
      <c r="D202" s="1273"/>
      <c r="E202" s="1273"/>
      <c r="F202" s="1273"/>
      <c r="G202" s="1273"/>
      <c r="H202" s="1273"/>
      <c r="I202" s="1273"/>
      <c r="J202" s="1273"/>
      <c r="K202" s="1273"/>
      <c r="L202" s="1273"/>
      <c r="M202" s="1273"/>
      <c r="N202" s="1273"/>
      <c r="O202" s="1273"/>
      <c r="P202" s="1273"/>
      <c r="Q202" s="1273"/>
      <c r="R202" s="1273"/>
      <c r="S202" s="1273"/>
      <c r="T202" s="1273"/>
      <c r="U202" s="1273"/>
      <c r="V202" s="1273"/>
      <c r="W202" s="1274"/>
      <c r="X202" s="1274"/>
      <c r="Y202" s="1274"/>
      <c r="Z202" s="1274"/>
      <c r="AA202" s="1274"/>
      <c r="AB202" s="1274"/>
      <c r="AC202" s="1274"/>
      <c r="AD202" s="1274"/>
      <c r="AE202" s="1274"/>
      <c r="AF202" s="1274"/>
      <c r="AG202" s="1274"/>
      <c r="AH202" s="1274"/>
      <c r="AI202" s="1274"/>
      <c r="AJ202" s="1274"/>
      <c r="AK202" s="1274"/>
      <c r="AL202" s="1274"/>
      <c r="AM202" s="1274"/>
      <c r="AN202" s="1274"/>
      <c r="AO202" s="1274"/>
      <c r="AP202" s="1274"/>
      <c r="AQ202" s="1274"/>
      <c r="AR202" s="1274"/>
      <c r="AS202" s="1274"/>
      <c r="AT202" s="1274"/>
      <c r="AU202" s="1274"/>
      <c r="AV202" s="1274"/>
      <c r="AW202" s="1274"/>
      <c r="AX202" s="1274"/>
      <c r="AY202" s="1274"/>
      <c r="AZ202" s="1274"/>
      <c r="BA202" s="1274"/>
      <c r="BB202" s="1274"/>
      <c r="BC202" s="1274"/>
      <c r="BD202" s="1274"/>
      <c r="BE202" s="1274"/>
      <c r="BF202" s="1274"/>
      <c r="BG202" s="1274"/>
      <c r="BH202" s="1274"/>
      <c r="BI202" s="1274"/>
      <c r="BJ202" s="1274"/>
      <c r="BK202" s="1274"/>
      <c r="BL202" s="1274"/>
      <c r="BM202" s="1274"/>
      <c r="BN202" s="1274"/>
      <c r="BO202" s="1274"/>
      <c r="BP202" s="1274"/>
      <c r="BQ202" s="1274"/>
      <c r="BR202" s="1274"/>
      <c r="BS202" s="1274"/>
      <c r="BT202" s="1274"/>
      <c r="BU202" s="1274"/>
      <c r="BV202" s="1274"/>
      <c r="BW202" s="1274"/>
      <c r="BX202" s="1274"/>
      <c r="BY202" s="1274"/>
      <c r="BZ202" s="1274"/>
      <c r="CA202" s="1274"/>
      <c r="CB202" s="1274"/>
      <c r="CC202" s="1274"/>
      <c r="CD202" s="1274"/>
      <c r="CE202" s="1274"/>
      <c r="CF202" s="1274"/>
      <c r="CG202" s="1274"/>
      <c r="CH202" s="1269"/>
      <c r="CI202" s="1274"/>
      <c r="CJ202" s="1274"/>
      <c r="CK202" s="1274"/>
      <c r="CL202" s="1274"/>
      <c r="CM202" s="1274"/>
      <c r="CN202" s="1274"/>
      <c r="CO202" s="1274"/>
      <c r="CP202" s="1274"/>
      <c r="CQ202" s="1274"/>
      <c r="CR202" s="1274"/>
      <c r="CS202" s="1274"/>
      <c r="CT202" s="1274"/>
      <c r="CU202" s="1274"/>
      <c r="CV202" s="1274"/>
      <c r="CW202" s="1274"/>
      <c r="CX202" s="1274"/>
      <c r="CY202" s="1274"/>
      <c r="CZ202" s="1274"/>
      <c r="DA202" s="1274"/>
      <c r="DB202" s="1274"/>
      <c r="DC202" s="1274"/>
      <c r="DD202" s="1274"/>
      <c r="DE202" s="1274"/>
      <c r="DF202" s="1274"/>
      <c r="DG202" s="1274"/>
      <c r="DH202" s="1274"/>
      <c r="DI202" s="1274"/>
      <c r="DJ202" s="1274"/>
      <c r="DK202" s="1274"/>
      <c r="DL202" s="1274"/>
      <c r="DM202" s="1274"/>
      <c r="DN202" s="1274"/>
      <c r="DO202" s="1274"/>
      <c r="DP202" s="1274"/>
      <c r="DQ202" s="1274"/>
      <c r="DR202" s="1274"/>
      <c r="DS202" s="1274"/>
      <c r="DT202" s="1274"/>
      <c r="DU202" s="1274"/>
      <c r="DV202" s="1274"/>
      <c r="DW202" s="1274"/>
      <c r="DX202" s="1274"/>
      <c r="DY202" s="1274"/>
      <c r="DZ202" s="1274"/>
      <c r="EA202" s="1274"/>
      <c r="EB202" s="1273"/>
      <c r="EC202" s="1273"/>
      <c r="ED202" s="1273"/>
      <c r="EE202" s="1273"/>
      <c r="EF202" s="1273"/>
      <c r="EG202" s="1273"/>
      <c r="EH202" s="1273"/>
      <c r="EI202" s="1273"/>
      <c r="EJ202" s="1273"/>
      <c r="EK202" s="1273"/>
      <c r="EL202" s="1273"/>
      <c r="EM202" s="1313"/>
    </row>
    <row r="203" spans="1:143" s="1271" customFormat="1">
      <c r="B203" s="1272"/>
      <c r="C203" s="1272"/>
      <c r="D203" s="1273"/>
      <c r="E203" s="1273"/>
      <c r="F203" s="1273"/>
      <c r="G203" s="1273"/>
      <c r="H203" s="1273"/>
      <c r="I203" s="1273"/>
      <c r="J203" s="1273"/>
      <c r="K203" s="1273"/>
      <c r="L203" s="1273"/>
      <c r="M203" s="1273"/>
      <c r="N203" s="1273"/>
      <c r="O203" s="1273"/>
      <c r="P203" s="1273"/>
      <c r="Q203" s="1273"/>
      <c r="R203" s="1273"/>
      <c r="S203" s="1273"/>
      <c r="T203" s="1273"/>
      <c r="U203" s="1273"/>
      <c r="V203" s="1273"/>
      <c r="W203" s="1274"/>
      <c r="X203" s="1274"/>
      <c r="Y203" s="1274"/>
      <c r="Z203" s="1274"/>
      <c r="AA203" s="1274"/>
      <c r="AB203" s="1274"/>
      <c r="AC203" s="1274"/>
      <c r="AD203" s="1274"/>
      <c r="AE203" s="1274"/>
      <c r="AF203" s="1274"/>
      <c r="AG203" s="1274"/>
      <c r="AH203" s="1274"/>
      <c r="AI203" s="1274"/>
      <c r="AJ203" s="1274"/>
      <c r="AK203" s="1274"/>
      <c r="AL203" s="1274"/>
      <c r="AM203" s="1274"/>
      <c r="AN203" s="1274"/>
      <c r="AO203" s="1274"/>
      <c r="AP203" s="1274"/>
      <c r="AQ203" s="1274"/>
      <c r="AR203" s="1274"/>
      <c r="AS203" s="1274"/>
      <c r="AT203" s="1274"/>
      <c r="AU203" s="1274"/>
      <c r="AV203" s="1274"/>
      <c r="AW203" s="1274"/>
      <c r="AX203" s="1274"/>
      <c r="AY203" s="1274"/>
      <c r="AZ203" s="1274"/>
      <c r="BA203" s="1274"/>
      <c r="BB203" s="1274"/>
      <c r="BC203" s="1274"/>
      <c r="BD203" s="1274"/>
      <c r="BE203" s="1274"/>
      <c r="BF203" s="1274"/>
      <c r="BG203" s="1274"/>
      <c r="BH203" s="1274"/>
      <c r="BI203" s="1274"/>
      <c r="BJ203" s="1274"/>
      <c r="BK203" s="1274"/>
      <c r="BL203" s="1274"/>
      <c r="BM203" s="1274"/>
      <c r="BN203" s="1274"/>
      <c r="BO203" s="1274"/>
      <c r="BP203" s="1274"/>
      <c r="BQ203" s="1274"/>
      <c r="BR203" s="1274"/>
      <c r="BS203" s="1274"/>
      <c r="BT203" s="1274"/>
      <c r="BU203" s="1274"/>
      <c r="BV203" s="1274"/>
      <c r="BW203" s="1274"/>
      <c r="BX203" s="1274"/>
      <c r="BY203" s="1274"/>
      <c r="BZ203" s="1274"/>
      <c r="CA203" s="1274"/>
      <c r="CB203" s="1274"/>
      <c r="CC203" s="1274"/>
      <c r="CD203" s="1274"/>
      <c r="CE203" s="1274"/>
      <c r="CF203" s="1274"/>
      <c r="CG203" s="1274"/>
      <c r="CH203" s="1269"/>
      <c r="CI203" s="1274"/>
      <c r="CJ203" s="1274"/>
      <c r="CK203" s="1274"/>
      <c r="CL203" s="1274"/>
      <c r="CM203" s="1274"/>
      <c r="CN203" s="1274"/>
      <c r="CO203" s="1274"/>
      <c r="CP203" s="1274"/>
      <c r="CQ203" s="1274"/>
      <c r="CR203" s="1274"/>
      <c r="CS203" s="1274"/>
      <c r="CT203" s="1274"/>
      <c r="CU203" s="1274"/>
      <c r="CV203" s="1274"/>
      <c r="CW203" s="1274"/>
      <c r="CX203" s="1274"/>
      <c r="CY203" s="1274"/>
      <c r="CZ203" s="1274"/>
      <c r="DA203" s="1274"/>
      <c r="DB203" s="1274"/>
      <c r="DC203" s="1274"/>
      <c r="DD203" s="1274"/>
      <c r="DE203" s="1274"/>
      <c r="DF203" s="1274"/>
      <c r="DG203" s="1274"/>
      <c r="DH203" s="1274"/>
      <c r="DI203" s="1274"/>
      <c r="DJ203" s="1274"/>
      <c r="DK203" s="1274"/>
      <c r="DL203" s="1274"/>
      <c r="DM203" s="1274"/>
      <c r="DN203" s="1274"/>
      <c r="DO203" s="1274"/>
      <c r="DP203" s="1274"/>
      <c r="DQ203" s="1274"/>
      <c r="DR203" s="1274"/>
      <c r="DS203" s="1274"/>
      <c r="DT203" s="1274"/>
      <c r="DU203" s="1274"/>
      <c r="DV203" s="1274"/>
      <c r="DW203" s="1274"/>
      <c r="DX203" s="1274"/>
      <c r="DY203" s="1274"/>
      <c r="DZ203" s="1274"/>
      <c r="EA203" s="1274"/>
      <c r="EB203" s="1273"/>
      <c r="EC203" s="1273"/>
      <c r="ED203" s="1273"/>
      <c r="EE203" s="1273"/>
      <c r="EF203" s="1273"/>
      <c r="EG203" s="1273"/>
      <c r="EH203" s="1273"/>
      <c r="EI203" s="1273"/>
      <c r="EJ203" s="1273"/>
      <c r="EK203" s="1273"/>
      <c r="EL203" s="1273"/>
      <c r="EM203" s="1313"/>
    </row>
    <row r="204" spans="1:143" s="1271" customFormat="1">
      <c r="B204" s="1272"/>
      <c r="C204" s="1272"/>
      <c r="D204" s="1273"/>
      <c r="E204" s="1273"/>
      <c r="F204" s="1273"/>
      <c r="G204" s="1273"/>
      <c r="H204" s="1273"/>
      <c r="I204" s="1273"/>
      <c r="J204" s="1273"/>
      <c r="K204" s="1273"/>
      <c r="L204" s="1273"/>
      <c r="M204" s="1273"/>
      <c r="N204" s="1273"/>
      <c r="O204" s="1273"/>
      <c r="P204" s="1273"/>
      <c r="Q204" s="1273"/>
      <c r="R204" s="1273"/>
      <c r="S204" s="1273"/>
      <c r="T204" s="1273"/>
      <c r="U204" s="1273"/>
      <c r="V204" s="1273"/>
      <c r="W204" s="1274"/>
      <c r="X204" s="1274"/>
      <c r="Y204" s="1274"/>
      <c r="Z204" s="1274"/>
      <c r="AA204" s="1274"/>
      <c r="AB204" s="1274"/>
      <c r="AC204" s="1274"/>
      <c r="AD204" s="1274"/>
      <c r="AE204" s="1274"/>
      <c r="AF204" s="1274"/>
      <c r="AG204" s="1274"/>
      <c r="AH204" s="1274"/>
      <c r="AI204" s="1274"/>
      <c r="AJ204" s="1274"/>
      <c r="AK204" s="1274"/>
      <c r="AL204" s="1274"/>
      <c r="AM204" s="1274"/>
      <c r="AN204" s="1274"/>
      <c r="AO204" s="1274"/>
      <c r="AP204" s="1274"/>
      <c r="AQ204" s="1274"/>
      <c r="AR204" s="1274"/>
      <c r="AS204" s="1274"/>
      <c r="AT204" s="1274"/>
      <c r="AU204" s="1274"/>
      <c r="AV204" s="1274"/>
      <c r="AW204" s="1274"/>
      <c r="AX204" s="1274"/>
      <c r="AY204" s="1274"/>
      <c r="AZ204" s="1274"/>
      <c r="BA204" s="1274"/>
      <c r="BB204" s="1274"/>
      <c r="BC204" s="1274"/>
      <c r="BD204" s="1274"/>
      <c r="BE204" s="1274"/>
      <c r="BF204" s="1274"/>
      <c r="BG204" s="1274"/>
      <c r="BH204" s="1274"/>
      <c r="BI204" s="1274"/>
      <c r="BJ204" s="1274"/>
      <c r="BK204" s="1274"/>
      <c r="BL204" s="1274"/>
      <c r="BM204" s="1274"/>
      <c r="BN204" s="1274"/>
      <c r="BO204" s="1274"/>
      <c r="BP204" s="1274"/>
      <c r="BQ204" s="1274"/>
      <c r="BR204" s="1274"/>
      <c r="BS204" s="1274"/>
      <c r="BT204" s="1274"/>
      <c r="BU204" s="1274"/>
      <c r="BV204" s="1274"/>
      <c r="BW204" s="1274"/>
      <c r="BX204" s="1274"/>
      <c r="BY204" s="1274"/>
      <c r="BZ204" s="1274"/>
      <c r="CA204" s="1274"/>
      <c r="CB204" s="1274"/>
      <c r="CC204" s="1274"/>
      <c r="CD204" s="1274"/>
      <c r="CE204" s="1274"/>
      <c r="CF204" s="1274"/>
      <c r="CG204" s="1274"/>
      <c r="CH204" s="1269"/>
      <c r="CI204" s="1274"/>
      <c r="CJ204" s="1274"/>
      <c r="CK204" s="1274"/>
      <c r="CL204" s="1274"/>
      <c r="CM204" s="1274"/>
      <c r="CN204" s="1274"/>
      <c r="CO204" s="1274"/>
      <c r="CP204" s="1274"/>
      <c r="CQ204" s="1274"/>
      <c r="CR204" s="1274"/>
      <c r="CS204" s="1274"/>
      <c r="CT204" s="1274"/>
      <c r="CU204" s="1274"/>
      <c r="CV204" s="1274"/>
      <c r="CW204" s="1274"/>
      <c r="CX204" s="1274"/>
      <c r="CY204" s="1274"/>
      <c r="CZ204" s="1274"/>
      <c r="DA204" s="1274"/>
      <c r="DB204" s="1274"/>
      <c r="DC204" s="1274"/>
      <c r="DD204" s="1274"/>
      <c r="DE204" s="1274"/>
      <c r="DF204" s="1274"/>
      <c r="DG204" s="1274"/>
      <c r="DH204" s="1274"/>
      <c r="DI204" s="1274"/>
      <c r="DJ204" s="1274"/>
      <c r="DK204" s="1274"/>
      <c r="DL204" s="1274"/>
      <c r="DM204" s="1274"/>
      <c r="DN204" s="1274"/>
      <c r="DO204" s="1274"/>
      <c r="DP204" s="1274"/>
      <c r="DQ204" s="1274"/>
      <c r="DR204" s="1274"/>
      <c r="DS204" s="1274"/>
      <c r="DT204" s="1274"/>
      <c r="DU204" s="1274"/>
      <c r="DV204" s="1274"/>
      <c r="DW204" s="1274"/>
      <c r="DX204" s="1274"/>
      <c r="DY204" s="1274"/>
      <c r="DZ204" s="1274"/>
      <c r="EA204" s="1274"/>
      <c r="EB204" s="1273"/>
      <c r="EC204" s="1273"/>
      <c r="ED204" s="1273"/>
      <c r="EE204" s="1273"/>
      <c r="EF204" s="1273"/>
      <c r="EG204" s="1273"/>
      <c r="EH204" s="1273"/>
      <c r="EI204" s="1273"/>
      <c r="EJ204" s="1273"/>
      <c r="EK204" s="1273"/>
      <c r="EL204" s="1273"/>
      <c r="EM204" s="1313"/>
    </row>
    <row r="205" spans="1:143" s="1271" customFormat="1">
      <c r="B205" s="1272"/>
      <c r="C205" s="1272"/>
      <c r="D205" s="1273"/>
      <c r="E205" s="1273"/>
      <c r="F205" s="1273"/>
      <c r="G205" s="1273"/>
      <c r="H205" s="1273"/>
      <c r="I205" s="1273"/>
      <c r="J205" s="1273"/>
      <c r="K205" s="1273"/>
      <c r="L205" s="1273"/>
      <c r="M205" s="1273"/>
      <c r="N205" s="1273"/>
      <c r="O205" s="1273"/>
      <c r="P205" s="1273"/>
      <c r="Q205" s="1273"/>
      <c r="R205" s="1273"/>
      <c r="S205" s="1273"/>
      <c r="T205" s="1273"/>
      <c r="U205" s="1273"/>
      <c r="V205" s="1273"/>
      <c r="W205" s="1274"/>
      <c r="X205" s="1274"/>
      <c r="Y205" s="1274"/>
      <c r="Z205" s="1274"/>
      <c r="AA205" s="1274"/>
      <c r="AB205" s="1274"/>
      <c r="AC205" s="1274"/>
      <c r="AD205" s="1274"/>
      <c r="AE205" s="1274"/>
      <c r="AF205" s="1274"/>
      <c r="AG205" s="1274"/>
      <c r="AH205" s="1274"/>
      <c r="AI205" s="1274"/>
      <c r="AJ205" s="1274"/>
      <c r="AK205" s="1274"/>
      <c r="AL205" s="1274"/>
      <c r="AM205" s="1274"/>
      <c r="AN205" s="1274"/>
      <c r="AO205" s="1274"/>
      <c r="AP205" s="1274"/>
      <c r="AQ205" s="1274"/>
      <c r="AR205" s="1274"/>
      <c r="AS205" s="1274"/>
      <c r="AT205" s="1274"/>
      <c r="AU205" s="1274"/>
      <c r="AV205" s="1274"/>
      <c r="AW205" s="1274"/>
      <c r="AX205" s="1274"/>
      <c r="AY205" s="1274"/>
      <c r="AZ205" s="1274"/>
      <c r="BA205" s="1274"/>
      <c r="BB205" s="1274"/>
      <c r="BC205" s="1274"/>
      <c r="BD205" s="1274"/>
      <c r="BE205" s="1274"/>
      <c r="BF205" s="1274"/>
      <c r="BG205" s="1274"/>
      <c r="BH205" s="1274"/>
      <c r="BI205" s="1274"/>
      <c r="BJ205" s="1274"/>
      <c r="BK205" s="1274"/>
      <c r="BL205" s="1274"/>
      <c r="BM205" s="1274"/>
      <c r="BN205" s="1274"/>
      <c r="BO205" s="1274"/>
      <c r="BP205" s="1274"/>
      <c r="BQ205" s="1274"/>
      <c r="BR205" s="1274"/>
      <c r="BS205" s="1274"/>
      <c r="BT205" s="1274"/>
      <c r="BU205" s="1274"/>
      <c r="BV205" s="1274"/>
      <c r="BW205" s="1274"/>
      <c r="BX205" s="1274"/>
      <c r="BY205" s="1274"/>
      <c r="BZ205" s="1274"/>
      <c r="CA205" s="1274"/>
      <c r="CB205" s="1274"/>
      <c r="CC205" s="1274"/>
      <c r="CD205" s="1274"/>
      <c r="CE205" s="1274"/>
      <c r="CF205" s="1274"/>
      <c r="CG205" s="1274"/>
      <c r="CH205" s="1269"/>
      <c r="CI205" s="1274"/>
      <c r="CJ205" s="1274"/>
      <c r="CK205" s="1274"/>
      <c r="CL205" s="1274"/>
      <c r="CM205" s="1274"/>
      <c r="CN205" s="1274"/>
      <c r="CO205" s="1274"/>
      <c r="CP205" s="1274"/>
      <c r="CQ205" s="1274"/>
      <c r="CR205" s="1274"/>
      <c r="CS205" s="1274"/>
      <c r="CT205" s="1274"/>
      <c r="CU205" s="1274"/>
      <c r="CV205" s="1274"/>
      <c r="CW205" s="1274"/>
      <c r="CX205" s="1274"/>
      <c r="CY205" s="1274"/>
      <c r="CZ205" s="1274"/>
      <c r="DA205" s="1274"/>
      <c r="DB205" s="1274"/>
      <c r="DC205" s="1274"/>
      <c r="DD205" s="1274"/>
      <c r="DE205" s="1274"/>
      <c r="DF205" s="1274"/>
      <c r="DG205" s="1274"/>
      <c r="DH205" s="1274"/>
      <c r="DI205" s="1274"/>
      <c r="DJ205" s="1274"/>
      <c r="DK205" s="1274"/>
      <c r="DL205" s="1274"/>
      <c r="DM205" s="1274"/>
      <c r="DN205" s="1274"/>
      <c r="DO205" s="1274"/>
      <c r="DP205" s="1274"/>
      <c r="DQ205" s="1274"/>
      <c r="DR205" s="1274"/>
      <c r="DS205" s="1274"/>
      <c r="DT205" s="1274"/>
      <c r="DU205" s="1274"/>
      <c r="DV205" s="1274"/>
      <c r="DW205" s="1274"/>
      <c r="DX205" s="1274"/>
      <c r="DY205" s="1274"/>
      <c r="DZ205" s="1274"/>
      <c r="EA205" s="1274"/>
      <c r="EB205" s="1273"/>
      <c r="EC205" s="1273"/>
      <c r="ED205" s="1273"/>
      <c r="EE205" s="1273"/>
      <c r="EF205" s="1273"/>
      <c r="EG205" s="1273"/>
      <c r="EH205" s="1273"/>
      <c r="EI205" s="1273"/>
      <c r="EJ205" s="1273"/>
      <c r="EK205" s="1273"/>
      <c r="EL205" s="1273"/>
      <c r="EM205" s="1313"/>
    </row>
    <row r="206" spans="1:143" s="1271" customFormat="1">
      <c r="B206" s="1272"/>
      <c r="C206" s="1272"/>
      <c r="D206" s="1273"/>
      <c r="E206" s="1273"/>
      <c r="F206" s="1273"/>
      <c r="G206" s="1273"/>
      <c r="H206" s="1273"/>
      <c r="I206" s="1273"/>
      <c r="J206" s="1273"/>
      <c r="K206" s="1273"/>
      <c r="L206" s="1273"/>
      <c r="M206" s="1273"/>
      <c r="N206" s="1273"/>
      <c r="O206" s="1273"/>
      <c r="P206" s="1273"/>
      <c r="Q206" s="1273"/>
      <c r="R206" s="1273"/>
      <c r="S206" s="1273"/>
      <c r="T206" s="1273"/>
      <c r="U206" s="1273"/>
      <c r="V206" s="1273"/>
      <c r="W206" s="1274"/>
      <c r="X206" s="1274"/>
      <c r="Y206" s="1274"/>
      <c r="Z206" s="1274"/>
      <c r="AA206" s="1274"/>
      <c r="AB206" s="1274"/>
      <c r="AC206" s="1274"/>
      <c r="AD206" s="1274"/>
      <c r="AE206" s="1274"/>
      <c r="AF206" s="1274"/>
      <c r="AG206" s="1274"/>
      <c r="AH206" s="1274"/>
      <c r="AI206" s="1274"/>
      <c r="AJ206" s="1274"/>
      <c r="AK206" s="1274"/>
      <c r="AL206" s="1274"/>
      <c r="AM206" s="1274"/>
      <c r="AN206" s="1274"/>
      <c r="AO206" s="1274"/>
      <c r="AP206" s="1274"/>
      <c r="AQ206" s="1274"/>
      <c r="AR206" s="1274"/>
      <c r="AS206" s="1274"/>
      <c r="AT206" s="1274"/>
      <c r="AU206" s="1274"/>
      <c r="AV206" s="1274"/>
      <c r="AW206" s="1274"/>
      <c r="AX206" s="1274"/>
      <c r="AY206" s="1274"/>
      <c r="AZ206" s="1274"/>
      <c r="BA206" s="1274"/>
      <c r="BB206" s="1274"/>
      <c r="BC206" s="1274"/>
      <c r="BD206" s="1274"/>
      <c r="BE206" s="1274"/>
      <c r="BF206" s="1274"/>
      <c r="BG206" s="1274"/>
      <c r="BH206" s="1274"/>
      <c r="BI206" s="1274"/>
      <c r="BJ206" s="1274"/>
      <c r="BK206" s="1274"/>
      <c r="BL206" s="1274"/>
      <c r="BM206" s="1274"/>
      <c r="BN206" s="1274"/>
      <c r="BO206" s="1274"/>
      <c r="BP206" s="1274"/>
      <c r="BQ206" s="1274"/>
      <c r="BR206" s="1274"/>
      <c r="BS206" s="1274"/>
      <c r="BT206" s="1274"/>
      <c r="BU206" s="1274"/>
      <c r="BV206" s="1274"/>
      <c r="BW206" s="1274"/>
      <c r="BX206" s="1274"/>
      <c r="BY206" s="1274"/>
      <c r="BZ206" s="1274"/>
      <c r="CA206" s="1274"/>
      <c r="CB206" s="1274"/>
      <c r="CC206" s="1274"/>
      <c r="CD206" s="1274"/>
      <c r="CE206" s="1274"/>
      <c r="CF206" s="1274"/>
      <c r="CG206" s="1274"/>
      <c r="CH206" s="1269"/>
      <c r="CI206" s="1274"/>
      <c r="CJ206" s="1274"/>
      <c r="CK206" s="1274"/>
      <c r="CL206" s="1274"/>
      <c r="CM206" s="1274"/>
      <c r="CN206" s="1274"/>
      <c r="CO206" s="1274"/>
      <c r="CP206" s="1274"/>
      <c r="CQ206" s="1274"/>
      <c r="CR206" s="1274"/>
      <c r="CS206" s="1274"/>
      <c r="CT206" s="1274"/>
      <c r="CU206" s="1274"/>
      <c r="CV206" s="1274"/>
      <c r="CW206" s="1274"/>
      <c r="CX206" s="1274"/>
      <c r="CY206" s="1274"/>
      <c r="CZ206" s="1274"/>
      <c r="DA206" s="1274"/>
      <c r="DB206" s="1274"/>
      <c r="DC206" s="1274"/>
      <c r="DD206" s="1274"/>
      <c r="DE206" s="1274"/>
      <c r="DF206" s="1274"/>
      <c r="DG206" s="1274"/>
      <c r="DH206" s="1274"/>
      <c r="DI206" s="1274"/>
      <c r="DJ206" s="1274"/>
      <c r="DK206" s="1274"/>
      <c r="DL206" s="1274"/>
      <c r="DM206" s="1274"/>
      <c r="DN206" s="1274"/>
      <c r="DO206" s="1274"/>
      <c r="DP206" s="1274"/>
      <c r="DQ206" s="1274"/>
      <c r="DR206" s="1274"/>
      <c r="DS206" s="1274"/>
      <c r="DT206" s="1274"/>
      <c r="DU206" s="1274"/>
      <c r="DV206" s="1274"/>
      <c r="DW206" s="1274"/>
      <c r="DX206" s="1274"/>
      <c r="DY206" s="1274"/>
      <c r="DZ206" s="1274"/>
      <c r="EA206" s="1274"/>
      <c r="EB206" s="1273"/>
      <c r="EC206" s="1273"/>
      <c r="ED206" s="1273"/>
      <c r="EE206" s="1273"/>
      <c r="EF206" s="1273"/>
      <c r="EG206" s="1273"/>
      <c r="EH206" s="1273"/>
      <c r="EI206" s="1273"/>
      <c r="EJ206" s="1273"/>
      <c r="EK206" s="1273"/>
      <c r="EL206" s="1273"/>
      <c r="EM206" s="1313"/>
    </row>
    <row r="207" spans="1:143" s="1271" customFormat="1">
      <c r="B207" s="1272"/>
      <c r="C207" s="1272"/>
      <c r="D207" s="1273"/>
      <c r="E207" s="1273"/>
      <c r="F207" s="1273"/>
      <c r="G207" s="1273"/>
      <c r="H207" s="1273"/>
      <c r="I207" s="1273"/>
      <c r="J207" s="1273"/>
      <c r="K207" s="1273"/>
      <c r="L207" s="1273"/>
      <c r="M207" s="1273"/>
      <c r="N207" s="1273"/>
      <c r="O207" s="1273"/>
      <c r="P207" s="1273"/>
      <c r="Q207" s="1273"/>
      <c r="R207" s="1273"/>
      <c r="S207" s="1273"/>
      <c r="T207" s="1273"/>
      <c r="U207" s="1273"/>
      <c r="V207" s="1273"/>
      <c r="W207" s="1274"/>
      <c r="X207" s="1274"/>
      <c r="Y207" s="1274"/>
      <c r="Z207" s="1274"/>
      <c r="AA207" s="1274"/>
      <c r="AB207" s="1274"/>
      <c r="AC207" s="1274"/>
      <c r="AD207" s="1274"/>
      <c r="AE207" s="1274"/>
      <c r="AF207" s="1274"/>
      <c r="AG207" s="1274"/>
      <c r="AH207" s="1274"/>
      <c r="AI207" s="1274"/>
      <c r="AJ207" s="1274"/>
      <c r="AK207" s="1274"/>
      <c r="AL207" s="1274"/>
      <c r="AM207" s="1274"/>
      <c r="AN207" s="1274"/>
      <c r="AO207" s="1274"/>
      <c r="AP207" s="1274"/>
      <c r="AQ207" s="1274"/>
      <c r="AR207" s="1274"/>
      <c r="AS207" s="1274"/>
      <c r="AT207" s="1274"/>
      <c r="AU207" s="1274"/>
      <c r="AV207" s="1274"/>
      <c r="AW207" s="1274"/>
      <c r="AX207" s="1274"/>
      <c r="AY207" s="1274"/>
      <c r="AZ207" s="1274"/>
      <c r="BA207" s="1274"/>
      <c r="BB207" s="1274"/>
      <c r="BC207" s="1274"/>
      <c r="BD207" s="1274"/>
      <c r="BE207" s="1274"/>
      <c r="BF207" s="1274"/>
      <c r="BG207" s="1274"/>
      <c r="BH207" s="1274"/>
      <c r="BI207" s="1274"/>
      <c r="BJ207" s="1274"/>
      <c r="BK207" s="1274"/>
      <c r="BL207" s="1274"/>
      <c r="BM207" s="1274"/>
      <c r="BN207" s="1274"/>
      <c r="BO207" s="1274"/>
      <c r="BP207" s="1274"/>
      <c r="BQ207" s="1274"/>
      <c r="BR207" s="1274"/>
      <c r="BS207" s="1274"/>
      <c r="BT207" s="1274"/>
      <c r="BU207" s="1274"/>
      <c r="BV207" s="1274"/>
      <c r="BW207" s="1274"/>
      <c r="BX207" s="1274"/>
      <c r="BY207" s="1274"/>
      <c r="BZ207" s="1274"/>
      <c r="CA207" s="1274"/>
      <c r="CB207" s="1274"/>
      <c r="CC207" s="1274"/>
      <c r="CD207" s="1274"/>
      <c r="CE207" s="1274"/>
      <c r="CF207" s="1274"/>
      <c r="CG207" s="1274"/>
      <c r="CH207" s="1269"/>
      <c r="CI207" s="1274"/>
      <c r="CJ207" s="1274"/>
      <c r="CK207" s="1274"/>
      <c r="CL207" s="1274"/>
      <c r="CM207" s="1274"/>
      <c r="CN207" s="1274"/>
      <c r="CO207" s="1274"/>
      <c r="CP207" s="1274"/>
      <c r="CQ207" s="1274"/>
      <c r="CR207" s="1274"/>
      <c r="CS207" s="1274"/>
      <c r="CT207" s="1274"/>
      <c r="CU207" s="1274"/>
      <c r="CV207" s="1274"/>
      <c r="CW207" s="1274"/>
      <c r="CX207" s="1274"/>
      <c r="CY207" s="1274"/>
      <c r="CZ207" s="1274"/>
      <c r="DA207" s="1274"/>
      <c r="DB207" s="1274"/>
      <c r="DC207" s="1274"/>
      <c r="DD207" s="1274"/>
      <c r="DE207" s="1274"/>
      <c r="DF207" s="1274"/>
      <c r="DG207" s="1274"/>
      <c r="DH207" s="1274"/>
      <c r="DI207" s="1274"/>
      <c r="DJ207" s="1274"/>
      <c r="DK207" s="1274"/>
      <c r="DL207" s="1274"/>
      <c r="DM207" s="1274"/>
      <c r="DN207" s="1274"/>
      <c r="DO207" s="1274"/>
      <c r="DP207" s="1274"/>
      <c r="DQ207" s="1274"/>
      <c r="DR207" s="1274"/>
      <c r="DS207" s="1274"/>
      <c r="DT207" s="1274"/>
      <c r="DU207" s="1274"/>
      <c r="DV207" s="1274"/>
      <c r="DW207" s="1274"/>
      <c r="DX207" s="1274"/>
      <c r="DY207" s="1274"/>
      <c r="DZ207" s="1274"/>
      <c r="EA207" s="1274"/>
      <c r="EB207" s="1273"/>
      <c r="EC207" s="1273"/>
      <c r="ED207" s="1273"/>
      <c r="EE207" s="1273"/>
      <c r="EF207" s="1273"/>
      <c r="EG207" s="1273"/>
      <c r="EH207" s="1273"/>
      <c r="EI207" s="1273"/>
      <c r="EJ207" s="1273"/>
      <c r="EK207" s="1273"/>
      <c r="EL207" s="1273"/>
      <c r="EM207" s="1313"/>
    </row>
    <row r="208" spans="1:143" s="1271" customFormat="1">
      <c r="B208" s="1272"/>
      <c r="C208" s="1272"/>
      <c r="D208" s="1273"/>
      <c r="E208" s="1273"/>
      <c r="F208" s="1273"/>
      <c r="G208" s="1273"/>
      <c r="H208" s="1273"/>
      <c r="I208" s="1273"/>
      <c r="J208" s="1273"/>
      <c r="K208" s="1273"/>
      <c r="L208" s="1273"/>
      <c r="M208" s="1273"/>
      <c r="N208" s="1273"/>
      <c r="O208" s="1273"/>
      <c r="P208" s="1273"/>
      <c r="Q208" s="1273"/>
      <c r="R208" s="1273"/>
      <c r="S208" s="1273"/>
      <c r="T208" s="1273"/>
      <c r="U208" s="1273"/>
      <c r="V208" s="1273"/>
      <c r="W208" s="1274"/>
      <c r="X208" s="1274"/>
      <c r="Y208" s="1274"/>
      <c r="Z208" s="1274"/>
      <c r="AA208" s="1274"/>
      <c r="AB208" s="1274"/>
      <c r="AC208" s="1274"/>
      <c r="AD208" s="1274"/>
      <c r="AE208" s="1274"/>
      <c r="AF208" s="1274"/>
      <c r="AG208" s="1274"/>
      <c r="AH208" s="1274"/>
      <c r="AI208" s="1274"/>
      <c r="AJ208" s="1274"/>
      <c r="AK208" s="1274"/>
      <c r="AL208" s="1274"/>
      <c r="AM208" s="1274"/>
      <c r="AN208" s="1274"/>
      <c r="AO208" s="1274"/>
      <c r="AP208" s="1274"/>
      <c r="AQ208" s="1274"/>
      <c r="AR208" s="1274"/>
      <c r="AS208" s="1274"/>
      <c r="AT208" s="1274"/>
      <c r="AU208" s="1274"/>
      <c r="AV208" s="1274"/>
      <c r="AW208" s="1274"/>
      <c r="AX208" s="1274"/>
      <c r="AY208" s="1274"/>
      <c r="AZ208" s="1274"/>
      <c r="BA208" s="1274"/>
      <c r="BB208" s="1274"/>
      <c r="BC208" s="1274"/>
      <c r="BD208" s="1274"/>
      <c r="BE208" s="1274"/>
      <c r="BF208" s="1274"/>
      <c r="BG208" s="1274"/>
      <c r="BH208" s="1274"/>
      <c r="BI208" s="1274"/>
      <c r="BJ208" s="1274"/>
      <c r="BK208" s="1274"/>
      <c r="BL208" s="1274"/>
      <c r="BM208" s="1274"/>
      <c r="BN208" s="1274"/>
      <c r="BO208" s="1274"/>
      <c r="BP208" s="1274"/>
      <c r="BQ208" s="1274"/>
      <c r="BR208" s="1274"/>
      <c r="BS208" s="1274"/>
      <c r="BT208" s="1274"/>
      <c r="BU208" s="1274"/>
      <c r="BV208" s="1274"/>
      <c r="BW208" s="1274"/>
      <c r="BX208" s="1274"/>
      <c r="BY208" s="1274"/>
      <c r="BZ208" s="1274"/>
      <c r="CA208" s="1274"/>
      <c r="CB208" s="1274"/>
      <c r="CC208" s="1274"/>
      <c r="CD208" s="1274"/>
      <c r="CE208" s="1274"/>
      <c r="CF208" s="1274"/>
      <c r="CG208" s="1274"/>
      <c r="CH208" s="1269"/>
      <c r="CI208" s="1274"/>
      <c r="CJ208" s="1274"/>
      <c r="CK208" s="1274"/>
      <c r="CL208" s="1274"/>
      <c r="CM208" s="1274"/>
      <c r="CN208" s="1274"/>
      <c r="CO208" s="1274"/>
      <c r="CP208" s="1274"/>
      <c r="CQ208" s="1274"/>
      <c r="CR208" s="1274"/>
      <c r="CS208" s="1274"/>
      <c r="CT208" s="1274"/>
      <c r="CU208" s="1274"/>
      <c r="CV208" s="1274"/>
      <c r="CW208" s="1274"/>
      <c r="CX208" s="1274"/>
      <c r="CY208" s="1274"/>
      <c r="CZ208" s="1274"/>
      <c r="DA208" s="1274"/>
      <c r="DB208" s="1274"/>
      <c r="DC208" s="1274"/>
      <c r="DD208" s="1274"/>
      <c r="DE208" s="1274"/>
      <c r="DF208" s="1274"/>
      <c r="DG208" s="1274"/>
      <c r="DH208" s="1274"/>
      <c r="DI208" s="1274"/>
      <c r="DJ208" s="1274"/>
      <c r="DK208" s="1274"/>
      <c r="DL208" s="1274"/>
      <c r="DM208" s="1274"/>
      <c r="DN208" s="1274"/>
      <c r="DO208" s="1274"/>
      <c r="DP208" s="1274"/>
      <c r="DQ208" s="1274"/>
      <c r="DR208" s="1274"/>
      <c r="DS208" s="1274"/>
      <c r="DT208" s="1274"/>
      <c r="DU208" s="1274"/>
      <c r="DV208" s="1274"/>
      <c r="DW208" s="1274"/>
      <c r="DX208" s="1274"/>
      <c r="DY208" s="1274"/>
      <c r="DZ208" s="1274"/>
      <c r="EA208" s="1274"/>
      <c r="EB208" s="1273"/>
      <c r="EC208" s="1273"/>
      <c r="ED208" s="1273"/>
      <c r="EE208" s="1273"/>
      <c r="EF208" s="1273"/>
      <c r="EG208" s="1273"/>
      <c r="EH208" s="1273"/>
      <c r="EI208" s="1273"/>
      <c r="EJ208" s="1273"/>
      <c r="EK208" s="1273"/>
      <c r="EL208" s="1273"/>
      <c r="EM208" s="1313"/>
    </row>
    <row r="209" spans="1:143" s="1271" customFormat="1">
      <c r="A209" s="1284"/>
      <c r="B209" s="1272"/>
      <c r="C209" s="1272"/>
      <c r="D209" s="1273"/>
      <c r="E209" s="1273"/>
      <c r="F209" s="1273"/>
      <c r="G209" s="1273"/>
      <c r="H209" s="1273"/>
      <c r="I209" s="1273"/>
      <c r="J209" s="1273"/>
      <c r="K209" s="1273"/>
      <c r="L209" s="1273"/>
      <c r="M209" s="1273"/>
      <c r="N209" s="1273"/>
      <c r="O209" s="1273"/>
      <c r="P209" s="1273"/>
      <c r="Q209" s="1273"/>
      <c r="R209" s="1273"/>
      <c r="S209" s="1273"/>
      <c r="T209" s="1273"/>
      <c r="U209" s="1273"/>
      <c r="V209" s="1273"/>
      <c r="W209" s="1274"/>
      <c r="X209" s="1274"/>
      <c r="Y209" s="1274"/>
      <c r="Z209" s="1274"/>
      <c r="AA209" s="1274"/>
      <c r="AB209" s="1274"/>
      <c r="AC209" s="1274"/>
      <c r="AD209" s="1274"/>
      <c r="AE209" s="1274"/>
      <c r="AF209" s="1274"/>
      <c r="AG209" s="1274"/>
      <c r="AH209" s="1274"/>
      <c r="AI209" s="1274"/>
      <c r="AJ209" s="1274"/>
      <c r="AK209" s="1274"/>
      <c r="AL209" s="1274"/>
      <c r="AM209" s="1274"/>
      <c r="AN209" s="1274"/>
      <c r="AO209" s="1274"/>
      <c r="AP209" s="1274"/>
      <c r="AQ209" s="1274"/>
      <c r="AR209" s="1274"/>
      <c r="AS209" s="1274"/>
      <c r="AT209" s="1274"/>
      <c r="AU209" s="1274"/>
      <c r="AV209" s="1274"/>
      <c r="AW209" s="1274"/>
      <c r="AX209" s="1274"/>
      <c r="AY209" s="1274"/>
      <c r="AZ209" s="1274"/>
      <c r="BA209" s="1274"/>
      <c r="BB209" s="1274"/>
      <c r="BC209" s="1274"/>
      <c r="BD209" s="1274"/>
      <c r="BE209" s="1274"/>
      <c r="BF209" s="1274"/>
      <c r="BG209" s="1274"/>
      <c r="BH209" s="1274"/>
      <c r="BI209" s="1274"/>
      <c r="BJ209" s="1274"/>
      <c r="BK209" s="1274"/>
      <c r="BL209" s="1274"/>
      <c r="BM209" s="1274"/>
      <c r="BN209" s="1274"/>
      <c r="BO209" s="1274"/>
      <c r="BP209" s="1274"/>
      <c r="BQ209" s="1274"/>
      <c r="BR209" s="1274"/>
      <c r="BS209" s="1274"/>
      <c r="BT209" s="1274"/>
      <c r="BU209" s="1274"/>
      <c r="BV209" s="1274"/>
      <c r="BW209" s="1274"/>
      <c r="BX209" s="1274"/>
      <c r="BY209" s="1274"/>
      <c r="BZ209" s="1274"/>
      <c r="CA209" s="1274"/>
      <c r="CB209" s="1274"/>
      <c r="CC209" s="1274"/>
      <c r="CD209" s="1274"/>
      <c r="CE209" s="1274"/>
      <c r="CF209" s="1274"/>
      <c r="CG209" s="1274"/>
      <c r="CH209" s="1269"/>
      <c r="CI209" s="1274"/>
      <c r="CJ209" s="1274"/>
      <c r="CK209" s="1274"/>
      <c r="CL209" s="1274"/>
      <c r="CM209" s="1274"/>
      <c r="CN209" s="1274"/>
      <c r="CO209" s="1274"/>
      <c r="CP209" s="1274"/>
      <c r="CQ209" s="1274"/>
      <c r="CR209" s="1274"/>
      <c r="CS209" s="1274"/>
      <c r="CT209" s="1274"/>
      <c r="CU209" s="1274"/>
      <c r="CV209" s="1274"/>
      <c r="CW209" s="1274"/>
      <c r="CX209" s="1274"/>
      <c r="CY209" s="1274"/>
      <c r="CZ209" s="1274"/>
      <c r="DA209" s="1274"/>
      <c r="DB209" s="1274"/>
      <c r="DC209" s="1274"/>
      <c r="DD209" s="1274"/>
      <c r="DE209" s="1274"/>
      <c r="DF209" s="1274"/>
      <c r="DG209" s="1274"/>
      <c r="DH209" s="1274"/>
      <c r="DI209" s="1274"/>
      <c r="DJ209" s="1274"/>
      <c r="DK209" s="1274"/>
      <c r="DL209" s="1274"/>
      <c r="DM209" s="1274"/>
      <c r="DN209" s="1274"/>
      <c r="DO209" s="1274"/>
      <c r="DP209" s="1274"/>
      <c r="DQ209" s="1274"/>
      <c r="DR209" s="1274"/>
      <c r="DS209" s="1274"/>
      <c r="DT209" s="1274"/>
      <c r="DU209" s="1274"/>
      <c r="DV209" s="1274"/>
      <c r="DW209" s="1274"/>
      <c r="DX209" s="1274"/>
      <c r="DY209" s="1274"/>
      <c r="DZ209" s="1274"/>
      <c r="EA209" s="1274"/>
      <c r="EB209" s="1273"/>
      <c r="EC209" s="1273"/>
      <c r="ED209" s="1273"/>
      <c r="EE209" s="1273"/>
      <c r="EF209" s="1273"/>
      <c r="EG209" s="1273"/>
      <c r="EH209" s="1273"/>
      <c r="EI209" s="1273"/>
      <c r="EJ209" s="1273"/>
      <c r="EK209" s="1273"/>
      <c r="EL209" s="1273"/>
      <c r="EM209" s="1313"/>
    </row>
    <row r="210" spans="1:143" s="1271" customFormat="1">
      <c r="B210" s="1276"/>
      <c r="C210" s="1276"/>
      <c r="D210" s="1276"/>
      <c r="E210" s="1276"/>
      <c r="F210" s="1276"/>
      <c r="G210" s="1276"/>
      <c r="H210" s="1276"/>
      <c r="I210" s="1276"/>
      <c r="J210" s="1276"/>
      <c r="K210" s="1276"/>
      <c r="L210" s="1276"/>
      <c r="M210" s="1276"/>
      <c r="N210" s="1276"/>
      <c r="O210" s="1276"/>
      <c r="P210" s="1276"/>
      <c r="Q210" s="1276"/>
      <c r="R210" s="1276"/>
      <c r="S210" s="1276"/>
      <c r="T210" s="1276"/>
      <c r="U210" s="1276"/>
      <c r="V210" s="1276"/>
      <c r="W210" s="1277"/>
      <c r="X210" s="1277"/>
      <c r="Y210" s="1277"/>
      <c r="Z210" s="1277"/>
      <c r="AA210" s="1277"/>
      <c r="AB210" s="1277"/>
      <c r="AC210" s="1277"/>
      <c r="AD210" s="1277"/>
      <c r="AE210" s="1277"/>
      <c r="AF210" s="1277"/>
      <c r="AG210" s="1277"/>
      <c r="AH210" s="1277"/>
      <c r="AI210" s="1277"/>
      <c r="AJ210" s="1277"/>
      <c r="AK210" s="1277"/>
      <c r="AL210" s="1277"/>
      <c r="AM210" s="1277"/>
      <c r="AN210" s="1277"/>
      <c r="AO210" s="1277"/>
      <c r="AP210" s="1277"/>
      <c r="AQ210" s="1277"/>
      <c r="AR210" s="1277"/>
      <c r="AS210" s="1277"/>
      <c r="AT210" s="1277"/>
      <c r="AU210" s="1277"/>
      <c r="AV210" s="1277"/>
      <c r="AW210" s="1277"/>
      <c r="AX210" s="1277"/>
      <c r="AY210" s="1277"/>
      <c r="AZ210" s="1277"/>
      <c r="BA210" s="1277"/>
      <c r="BB210" s="1277"/>
      <c r="BC210" s="1277"/>
      <c r="BD210" s="1277"/>
      <c r="BE210" s="1277"/>
      <c r="BF210" s="1277"/>
      <c r="BG210" s="1277"/>
      <c r="BH210" s="1277"/>
      <c r="BI210" s="1277"/>
      <c r="BJ210" s="1277"/>
      <c r="BK210" s="1277"/>
      <c r="BL210" s="1277"/>
      <c r="BM210" s="1277"/>
      <c r="BN210" s="1277"/>
      <c r="BO210" s="1277"/>
      <c r="BP210" s="1277"/>
      <c r="BQ210" s="1277"/>
      <c r="BR210" s="1277"/>
      <c r="BS210" s="1277"/>
      <c r="BT210" s="1277"/>
      <c r="BU210" s="1277"/>
      <c r="BV210" s="1277"/>
      <c r="BW210" s="1277"/>
      <c r="BX210" s="1277"/>
      <c r="BY210" s="1277"/>
      <c r="BZ210" s="1277"/>
      <c r="CA210" s="1277"/>
      <c r="CB210" s="1277"/>
      <c r="CC210" s="1277"/>
      <c r="CD210" s="1277"/>
      <c r="CE210" s="1277"/>
      <c r="CF210" s="1277"/>
      <c r="CG210" s="1277"/>
      <c r="CH210" s="1269"/>
      <c r="CI210" s="1277"/>
      <c r="CJ210" s="1277"/>
      <c r="CK210" s="1277"/>
      <c r="CL210" s="1277"/>
      <c r="CM210" s="1277"/>
      <c r="CN210" s="1277"/>
      <c r="CO210" s="1277"/>
      <c r="CP210" s="1277"/>
      <c r="CQ210" s="1277"/>
      <c r="CR210" s="1277"/>
      <c r="CS210" s="1277"/>
      <c r="CT210" s="1277"/>
      <c r="CU210" s="1277"/>
      <c r="CV210" s="1277"/>
      <c r="CW210" s="1277"/>
      <c r="CX210" s="1277"/>
      <c r="CY210" s="1277"/>
      <c r="CZ210" s="1277"/>
      <c r="DA210" s="1277"/>
      <c r="DB210" s="1277"/>
      <c r="DC210" s="1277"/>
      <c r="DD210" s="1277"/>
      <c r="DE210" s="1277"/>
      <c r="DF210" s="1277"/>
      <c r="DG210" s="1277"/>
      <c r="DH210" s="1277"/>
      <c r="DI210" s="1277"/>
      <c r="DJ210" s="1277"/>
      <c r="DK210" s="1277"/>
      <c r="DL210" s="1277"/>
      <c r="DM210" s="1277"/>
      <c r="DN210" s="1277"/>
      <c r="DO210" s="1277"/>
      <c r="DP210" s="1277"/>
      <c r="DQ210" s="1277"/>
      <c r="DR210" s="1277"/>
      <c r="DS210" s="1277"/>
      <c r="DT210" s="1277"/>
      <c r="DU210" s="1277"/>
      <c r="DV210" s="1277"/>
      <c r="DW210" s="1277"/>
      <c r="DX210" s="1277"/>
      <c r="DY210" s="1277"/>
      <c r="DZ210" s="1277"/>
      <c r="EA210" s="1277"/>
      <c r="EB210" s="1276"/>
      <c r="EC210" s="1276"/>
      <c r="ED210" s="1276"/>
      <c r="EE210" s="1276"/>
      <c r="EF210" s="1276"/>
      <c r="EG210" s="1276"/>
      <c r="EH210" s="1276"/>
      <c r="EI210" s="1276"/>
      <c r="EJ210" s="1276"/>
      <c r="EK210" s="1275"/>
      <c r="EL210" s="1275"/>
      <c r="EM210" s="1313"/>
    </row>
    <row r="211" spans="1:143" s="1271" customFormat="1">
      <c r="B211" s="1276"/>
      <c r="C211" s="1276"/>
      <c r="D211" s="1276"/>
      <c r="E211" s="1276"/>
      <c r="F211" s="1276"/>
      <c r="G211" s="1276"/>
      <c r="H211" s="1276"/>
      <c r="I211" s="1276"/>
      <c r="J211" s="1276"/>
      <c r="K211" s="1276"/>
      <c r="L211" s="1276"/>
      <c r="M211" s="1276"/>
      <c r="N211" s="1276"/>
      <c r="O211" s="1276"/>
      <c r="P211" s="1276"/>
      <c r="Q211" s="1276"/>
      <c r="R211" s="1276"/>
      <c r="S211" s="1276"/>
      <c r="T211" s="1276"/>
      <c r="U211" s="1276"/>
      <c r="V211" s="1276"/>
      <c r="W211" s="1277"/>
      <c r="X211" s="1277"/>
      <c r="Y211" s="1277"/>
      <c r="Z211" s="1277"/>
      <c r="AA211" s="1277"/>
      <c r="AB211" s="1277"/>
      <c r="AC211" s="1277"/>
      <c r="AD211" s="1277"/>
      <c r="AE211" s="1277"/>
      <c r="AF211" s="1277"/>
      <c r="AG211" s="1277"/>
      <c r="AH211" s="1277"/>
      <c r="AI211" s="1277"/>
      <c r="AJ211" s="1277"/>
      <c r="AK211" s="1277"/>
      <c r="AL211" s="1277"/>
      <c r="AM211" s="1277"/>
      <c r="AN211" s="1277"/>
      <c r="AO211" s="1277"/>
      <c r="AP211" s="1277"/>
      <c r="AQ211" s="1277"/>
      <c r="AR211" s="1277"/>
      <c r="AS211" s="1277"/>
      <c r="AT211" s="1277"/>
      <c r="AU211" s="1277"/>
      <c r="AV211" s="1277"/>
      <c r="AW211" s="1277"/>
      <c r="AX211" s="1277"/>
      <c r="AY211" s="1277"/>
      <c r="AZ211" s="1277"/>
      <c r="BA211" s="1277"/>
      <c r="BB211" s="1277"/>
      <c r="BC211" s="1277"/>
      <c r="BD211" s="1277"/>
      <c r="BE211" s="1277"/>
      <c r="BF211" s="1277"/>
      <c r="BG211" s="1277"/>
      <c r="BH211" s="1277"/>
      <c r="BI211" s="1277"/>
      <c r="BJ211" s="1277"/>
      <c r="BK211" s="1277"/>
      <c r="BL211" s="1277"/>
      <c r="BM211" s="1277"/>
      <c r="BN211" s="1277"/>
      <c r="BO211" s="1277"/>
      <c r="BP211" s="1277"/>
      <c r="BQ211" s="1277"/>
      <c r="BR211" s="1277"/>
      <c r="BS211" s="1277"/>
      <c r="BT211" s="1277"/>
      <c r="BU211" s="1277"/>
      <c r="BV211" s="1277"/>
      <c r="BW211" s="1277"/>
      <c r="BX211" s="1277"/>
      <c r="BY211" s="1277"/>
      <c r="BZ211" s="1277"/>
      <c r="CA211" s="1277"/>
      <c r="CB211" s="1277"/>
      <c r="CC211" s="1277"/>
      <c r="CD211" s="1277"/>
      <c r="CE211" s="1277"/>
      <c r="CF211" s="1277"/>
      <c r="CG211" s="1277"/>
      <c r="CH211" s="1269"/>
      <c r="CI211" s="1277"/>
      <c r="CJ211" s="1277"/>
      <c r="CK211" s="1277"/>
      <c r="CL211" s="1277"/>
      <c r="CM211" s="1277"/>
      <c r="CN211" s="1277"/>
      <c r="CO211" s="1277"/>
      <c r="CP211" s="1277"/>
      <c r="CQ211" s="1277"/>
      <c r="CR211" s="1277"/>
      <c r="CS211" s="1277"/>
      <c r="CT211" s="1277"/>
      <c r="CU211" s="1277"/>
      <c r="CV211" s="1277"/>
      <c r="CW211" s="1277"/>
      <c r="CX211" s="1277"/>
      <c r="CY211" s="1277"/>
      <c r="CZ211" s="1277"/>
      <c r="DA211" s="1277"/>
      <c r="DB211" s="1277"/>
      <c r="DC211" s="1277"/>
      <c r="DD211" s="1277"/>
      <c r="DE211" s="1277"/>
      <c r="DF211" s="1277"/>
      <c r="DG211" s="1277"/>
      <c r="DH211" s="1277"/>
      <c r="DI211" s="1277"/>
      <c r="DJ211" s="1277"/>
      <c r="DK211" s="1277"/>
      <c r="DL211" s="1277"/>
      <c r="DM211" s="1277"/>
      <c r="DN211" s="1277"/>
      <c r="DO211" s="1277"/>
      <c r="DP211" s="1277"/>
      <c r="DQ211" s="1277"/>
      <c r="DR211" s="1277"/>
      <c r="DS211" s="1277"/>
      <c r="DT211" s="1277"/>
      <c r="DU211" s="1277"/>
      <c r="DV211" s="1277"/>
      <c r="DW211" s="1277"/>
      <c r="DX211" s="1277"/>
      <c r="DY211" s="1277"/>
      <c r="DZ211" s="1277"/>
      <c r="EA211" s="1277"/>
      <c r="EB211" s="1276"/>
      <c r="EC211" s="1276"/>
      <c r="ED211" s="1276"/>
      <c r="EE211" s="1276"/>
      <c r="EF211" s="1276"/>
      <c r="EG211" s="1276"/>
      <c r="EH211" s="1276"/>
      <c r="EI211" s="1276"/>
      <c r="EJ211" s="1276"/>
      <c r="EK211" s="1275"/>
      <c r="EL211" s="1275"/>
      <c r="EM211" s="1313"/>
    </row>
    <row r="212" spans="1:143" s="1271" customFormat="1">
      <c r="B212" s="1276"/>
      <c r="C212" s="1276"/>
      <c r="D212" s="1276"/>
      <c r="E212" s="1276"/>
      <c r="F212" s="1276"/>
      <c r="G212" s="1276"/>
      <c r="H212" s="1276"/>
      <c r="I212" s="1276"/>
      <c r="J212" s="1276"/>
      <c r="K212" s="1276"/>
      <c r="L212" s="1276"/>
      <c r="M212" s="1276"/>
      <c r="N212" s="1276"/>
      <c r="O212" s="1276"/>
      <c r="P212" s="1276"/>
      <c r="Q212" s="1276"/>
      <c r="R212" s="1276"/>
      <c r="S212" s="1276"/>
      <c r="T212" s="1276"/>
      <c r="U212" s="1276"/>
      <c r="V212" s="1276"/>
      <c r="W212" s="1277"/>
      <c r="X212" s="1277"/>
      <c r="Y212" s="1277"/>
      <c r="Z212" s="1277"/>
      <c r="AA212" s="1277"/>
      <c r="AB212" s="1277"/>
      <c r="AC212" s="1277"/>
      <c r="AD212" s="1277"/>
      <c r="AE212" s="1277"/>
      <c r="AF212" s="1277"/>
      <c r="AG212" s="1277"/>
      <c r="AH212" s="1277"/>
      <c r="AI212" s="1277"/>
      <c r="AJ212" s="1277"/>
      <c r="AK212" s="1277"/>
      <c r="AL212" s="1277"/>
      <c r="AM212" s="1277"/>
      <c r="AN212" s="1277"/>
      <c r="AO212" s="1277"/>
      <c r="AP212" s="1277"/>
      <c r="AQ212" s="1277"/>
      <c r="AR212" s="1277"/>
      <c r="AS212" s="1277"/>
      <c r="AT212" s="1277"/>
      <c r="AU212" s="1277"/>
      <c r="AV212" s="1277"/>
      <c r="AW212" s="1277"/>
      <c r="AX212" s="1277"/>
      <c r="AY212" s="1277"/>
      <c r="AZ212" s="1277"/>
      <c r="BA212" s="1277"/>
      <c r="BB212" s="1277"/>
      <c r="BC212" s="1277"/>
      <c r="BD212" s="1277"/>
      <c r="BE212" s="1277"/>
      <c r="BF212" s="1277"/>
      <c r="BG212" s="1277"/>
      <c r="BH212" s="1277"/>
      <c r="BI212" s="1277"/>
      <c r="BJ212" s="1277"/>
      <c r="BK212" s="1277"/>
      <c r="BL212" s="1277"/>
      <c r="BM212" s="1277"/>
      <c r="BN212" s="1277"/>
      <c r="BO212" s="1277"/>
      <c r="BP212" s="1277"/>
      <c r="BQ212" s="1277"/>
      <c r="BR212" s="1277"/>
      <c r="BS212" s="1277"/>
      <c r="BT212" s="1277"/>
      <c r="BU212" s="1277"/>
      <c r="BV212" s="1277"/>
      <c r="BW212" s="1277"/>
      <c r="BX212" s="1277"/>
      <c r="BY212" s="1277"/>
      <c r="BZ212" s="1277"/>
      <c r="CA212" s="1277"/>
      <c r="CB212" s="1277"/>
      <c r="CC212" s="1277"/>
      <c r="CD212" s="1277"/>
      <c r="CE212" s="1277"/>
      <c r="CF212" s="1277"/>
      <c r="CG212" s="1277"/>
      <c r="CH212" s="1269"/>
      <c r="CI212" s="1277"/>
      <c r="CJ212" s="1277"/>
      <c r="CK212" s="1277"/>
      <c r="CL212" s="1277"/>
      <c r="CM212" s="1277"/>
      <c r="CN212" s="1277"/>
      <c r="CO212" s="1277"/>
      <c r="CP212" s="1277"/>
      <c r="CQ212" s="1277"/>
      <c r="CR212" s="1277"/>
      <c r="CS212" s="1277"/>
      <c r="CT212" s="1277"/>
      <c r="CU212" s="1277"/>
      <c r="CV212" s="1277"/>
      <c r="CW212" s="1277"/>
      <c r="CX212" s="1277"/>
      <c r="CY212" s="1277"/>
      <c r="CZ212" s="1277"/>
      <c r="DA212" s="1277"/>
      <c r="DB212" s="1277"/>
      <c r="DC212" s="1277"/>
      <c r="DD212" s="1277"/>
      <c r="DE212" s="1277"/>
      <c r="DF212" s="1277"/>
      <c r="DG212" s="1277"/>
      <c r="DH212" s="1277"/>
      <c r="DI212" s="1277"/>
      <c r="DJ212" s="1277"/>
      <c r="DK212" s="1277"/>
      <c r="DL212" s="1277"/>
      <c r="DM212" s="1277"/>
      <c r="DN212" s="1277"/>
      <c r="DO212" s="1277"/>
      <c r="DP212" s="1277"/>
      <c r="DQ212" s="1277"/>
      <c r="DR212" s="1277"/>
      <c r="DS212" s="1277"/>
      <c r="DT212" s="1277"/>
      <c r="DU212" s="1277"/>
      <c r="DV212" s="1277"/>
      <c r="DW212" s="1277"/>
      <c r="DX212" s="1277"/>
      <c r="DY212" s="1277"/>
      <c r="DZ212" s="1277"/>
      <c r="EA212" s="1277"/>
      <c r="EB212" s="1276"/>
      <c r="EC212" s="1276"/>
      <c r="ED212" s="1276"/>
      <c r="EE212" s="1276"/>
      <c r="EF212" s="1276"/>
      <c r="EG212" s="1276"/>
      <c r="EH212" s="1276"/>
      <c r="EI212" s="1276"/>
      <c r="EJ212" s="1276"/>
      <c r="EK212" s="1275"/>
      <c r="EL212" s="1275"/>
      <c r="EM212" s="1313"/>
    </row>
    <row r="213" spans="1:143" s="1271" customFormat="1">
      <c r="B213" s="1276"/>
      <c r="C213" s="1276"/>
      <c r="D213" s="1276"/>
      <c r="E213" s="1276"/>
      <c r="F213" s="1276"/>
      <c r="G213" s="1276"/>
      <c r="H213" s="1276"/>
      <c r="I213" s="1276"/>
      <c r="J213" s="1276"/>
      <c r="K213" s="1276"/>
      <c r="L213" s="1276"/>
      <c r="M213" s="1276"/>
      <c r="N213" s="1276"/>
      <c r="O213" s="1276"/>
      <c r="P213" s="1276"/>
      <c r="Q213" s="1276"/>
      <c r="R213" s="1276"/>
      <c r="S213" s="1276"/>
      <c r="T213" s="1276"/>
      <c r="U213" s="1276"/>
      <c r="V213" s="1276"/>
      <c r="W213" s="1277"/>
      <c r="X213" s="1277"/>
      <c r="Y213" s="1277"/>
      <c r="Z213" s="1277"/>
      <c r="AA213" s="1277"/>
      <c r="AB213" s="1277"/>
      <c r="AC213" s="1277"/>
      <c r="AD213" s="1277"/>
      <c r="AE213" s="1277"/>
      <c r="AF213" s="1277"/>
      <c r="AG213" s="1277"/>
      <c r="AH213" s="1277"/>
      <c r="AI213" s="1277"/>
      <c r="AJ213" s="1277"/>
      <c r="AK213" s="1277"/>
      <c r="AL213" s="1277"/>
      <c r="AM213" s="1277"/>
      <c r="AN213" s="1277"/>
      <c r="AO213" s="1277"/>
      <c r="AP213" s="1277"/>
      <c r="AQ213" s="1277"/>
      <c r="AR213" s="1277"/>
      <c r="AS213" s="1277"/>
      <c r="AT213" s="1277"/>
      <c r="AU213" s="1277"/>
      <c r="AV213" s="1277"/>
      <c r="AW213" s="1277"/>
      <c r="AX213" s="1277"/>
      <c r="AY213" s="1277"/>
      <c r="AZ213" s="1277"/>
      <c r="BA213" s="1277"/>
      <c r="BB213" s="1277"/>
      <c r="BC213" s="1277"/>
      <c r="BD213" s="1277"/>
      <c r="BE213" s="1277"/>
      <c r="BF213" s="1277"/>
      <c r="BG213" s="1277"/>
      <c r="BH213" s="1277"/>
      <c r="BI213" s="1277"/>
      <c r="BJ213" s="1277"/>
      <c r="BK213" s="1277"/>
      <c r="BL213" s="1277"/>
      <c r="BM213" s="1277"/>
      <c r="BN213" s="1277"/>
      <c r="BO213" s="1277"/>
      <c r="BP213" s="1277"/>
      <c r="BQ213" s="1277"/>
      <c r="BR213" s="1277"/>
      <c r="BS213" s="1277"/>
      <c r="BT213" s="1277"/>
      <c r="BU213" s="1277"/>
      <c r="BV213" s="1277"/>
      <c r="BW213" s="1277"/>
      <c r="BX213" s="1277"/>
      <c r="BY213" s="1277"/>
      <c r="BZ213" s="1277"/>
      <c r="CA213" s="1277"/>
      <c r="CB213" s="1277"/>
      <c r="CC213" s="1277"/>
      <c r="CD213" s="1277"/>
      <c r="CE213" s="1277"/>
      <c r="CF213" s="1277"/>
      <c r="CG213" s="1277"/>
      <c r="CH213" s="1269"/>
      <c r="CI213" s="1277"/>
      <c r="CJ213" s="1277"/>
      <c r="CK213" s="1277"/>
      <c r="CL213" s="1277"/>
      <c r="CM213" s="1277"/>
      <c r="CN213" s="1277"/>
      <c r="CO213" s="1277"/>
      <c r="CP213" s="1277"/>
      <c r="CQ213" s="1277"/>
      <c r="CR213" s="1277"/>
      <c r="CS213" s="1277"/>
      <c r="CT213" s="1277"/>
      <c r="CU213" s="1277"/>
      <c r="CV213" s="1277"/>
      <c r="CW213" s="1277"/>
      <c r="CX213" s="1277"/>
      <c r="CY213" s="1277"/>
      <c r="CZ213" s="1277"/>
      <c r="DA213" s="1277"/>
      <c r="DB213" s="1277"/>
      <c r="DC213" s="1277"/>
      <c r="DD213" s="1277"/>
      <c r="DE213" s="1277"/>
      <c r="DF213" s="1277"/>
      <c r="DG213" s="1277"/>
      <c r="DH213" s="1277"/>
      <c r="DI213" s="1277"/>
      <c r="DJ213" s="1277"/>
      <c r="DK213" s="1277"/>
      <c r="DL213" s="1277"/>
      <c r="DM213" s="1277"/>
      <c r="DN213" s="1277"/>
      <c r="DO213" s="1277"/>
      <c r="DP213" s="1277"/>
      <c r="DQ213" s="1277"/>
      <c r="DR213" s="1277"/>
      <c r="DS213" s="1277"/>
      <c r="DT213" s="1277"/>
      <c r="DU213" s="1277"/>
      <c r="DV213" s="1277"/>
      <c r="DW213" s="1277"/>
      <c r="DX213" s="1277"/>
      <c r="DY213" s="1277"/>
      <c r="DZ213" s="1277"/>
      <c r="EA213" s="1277"/>
      <c r="EB213" s="1276"/>
      <c r="EC213" s="1276"/>
      <c r="ED213" s="1276"/>
      <c r="EE213" s="1276"/>
      <c r="EF213" s="1276"/>
      <c r="EG213" s="1276"/>
      <c r="EH213" s="1276"/>
      <c r="EI213" s="1276"/>
      <c r="EJ213" s="1276"/>
      <c r="EK213" s="1275"/>
      <c r="EL213" s="1275"/>
      <c r="EM213" s="1313"/>
    </row>
    <row r="214" spans="1:143" s="1271" customFormat="1">
      <c r="B214" s="1276"/>
      <c r="C214" s="1276"/>
      <c r="D214" s="1276"/>
      <c r="E214" s="1276"/>
      <c r="F214" s="1276"/>
      <c r="G214" s="1276"/>
      <c r="H214" s="1276"/>
      <c r="I214" s="1276"/>
      <c r="J214" s="1276"/>
      <c r="K214" s="1276"/>
      <c r="L214" s="1276"/>
      <c r="M214" s="1276"/>
      <c r="N214" s="1276"/>
      <c r="O214" s="1276"/>
      <c r="P214" s="1276"/>
      <c r="Q214" s="1276"/>
      <c r="R214" s="1276"/>
      <c r="S214" s="1276"/>
      <c r="T214" s="1276"/>
      <c r="U214" s="1276"/>
      <c r="V214" s="1276"/>
      <c r="W214" s="1277"/>
      <c r="X214" s="1277"/>
      <c r="Y214" s="1277"/>
      <c r="Z214" s="1277"/>
      <c r="AA214" s="1277"/>
      <c r="AB214" s="1277"/>
      <c r="AC214" s="1277"/>
      <c r="AD214" s="1277"/>
      <c r="AE214" s="1277"/>
      <c r="AF214" s="1277"/>
      <c r="AG214" s="1277"/>
      <c r="AH214" s="1277"/>
      <c r="AI214" s="1277"/>
      <c r="AJ214" s="1277"/>
      <c r="AK214" s="1277"/>
      <c r="AL214" s="1277"/>
      <c r="AM214" s="1277"/>
      <c r="AN214" s="1277"/>
      <c r="AO214" s="1277"/>
      <c r="AP214" s="1277"/>
      <c r="AQ214" s="1277"/>
      <c r="AR214" s="1277"/>
      <c r="AS214" s="1277"/>
      <c r="AT214" s="1277"/>
      <c r="AU214" s="1277"/>
      <c r="AV214" s="1277"/>
      <c r="AW214" s="1277"/>
      <c r="AX214" s="1277"/>
      <c r="AY214" s="1277"/>
      <c r="AZ214" s="1277"/>
      <c r="BA214" s="1277"/>
      <c r="BB214" s="1277"/>
      <c r="BC214" s="1277"/>
      <c r="BD214" s="1277"/>
      <c r="BE214" s="1277"/>
      <c r="BF214" s="1277"/>
      <c r="BG214" s="1277"/>
      <c r="BH214" s="1277"/>
      <c r="BI214" s="1277"/>
      <c r="BJ214" s="1277"/>
      <c r="BK214" s="1277"/>
      <c r="BL214" s="1277"/>
      <c r="BM214" s="1277"/>
      <c r="BN214" s="1277"/>
      <c r="BO214" s="1277"/>
      <c r="BP214" s="1277"/>
      <c r="BQ214" s="1277"/>
      <c r="BR214" s="1277"/>
      <c r="BS214" s="1277"/>
      <c r="BT214" s="1277"/>
      <c r="BU214" s="1277"/>
      <c r="BV214" s="1277"/>
      <c r="BW214" s="1277"/>
      <c r="BX214" s="1277"/>
      <c r="BY214" s="1277"/>
      <c r="BZ214" s="1277"/>
      <c r="CA214" s="1277"/>
      <c r="CB214" s="1277"/>
      <c r="CC214" s="1277"/>
      <c r="CD214" s="1277"/>
      <c r="CE214" s="1277"/>
      <c r="CF214" s="1277"/>
      <c r="CG214" s="1277"/>
      <c r="CH214" s="1269"/>
      <c r="CI214" s="1277"/>
      <c r="CJ214" s="1277"/>
      <c r="CK214" s="1277"/>
      <c r="CL214" s="1277"/>
      <c r="CM214" s="1277"/>
      <c r="CN214" s="1277"/>
      <c r="CO214" s="1277"/>
      <c r="CP214" s="1277"/>
      <c r="CQ214" s="1277"/>
      <c r="CR214" s="1277"/>
      <c r="CS214" s="1277"/>
      <c r="CT214" s="1277"/>
      <c r="CU214" s="1277"/>
      <c r="CV214" s="1277"/>
      <c r="CW214" s="1277"/>
      <c r="CX214" s="1277"/>
      <c r="CY214" s="1277"/>
      <c r="CZ214" s="1277"/>
      <c r="DA214" s="1277"/>
      <c r="DB214" s="1277"/>
      <c r="DC214" s="1277"/>
      <c r="DD214" s="1277"/>
      <c r="DE214" s="1277"/>
      <c r="DF214" s="1277"/>
      <c r="DG214" s="1277"/>
      <c r="DH214" s="1277"/>
      <c r="DI214" s="1277"/>
      <c r="DJ214" s="1277"/>
      <c r="DK214" s="1277"/>
      <c r="DL214" s="1277"/>
      <c r="DM214" s="1277"/>
      <c r="DN214" s="1277"/>
      <c r="DO214" s="1277"/>
      <c r="DP214" s="1277"/>
      <c r="DQ214" s="1277"/>
      <c r="DR214" s="1277"/>
      <c r="DS214" s="1277"/>
      <c r="DT214" s="1277"/>
      <c r="DU214" s="1277"/>
      <c r="DV214" s="1277"/>
      <c r="DW214" s="1277"/>
      <c r="DX214" s="1277"/>
      <c r="DY214" s="1277"/>
      <c r="DZ214" s="1277"/>
      <c r="EA214" s="1277"/>
      <c r="EB214" s="1276"/>
      <c r="EC214" s="1276"/>
      <c r="ED214" s="1276"/>
      <c r="EE214" s="1276"/>
      <c r="EF214" s="1276"/>
      <c r="EG214" s="1276"/>
      <c r="EH214" s="1276"/>
      <c r="EI214" s="1276"/>
      <c r="EJ214" s="1276"/>
      <c r="EK214" s="1275"/>
      <c r="EL214" s="1275"/>
      <c r="EM214" s="1313"/>
    </row>
    <row r="215" spans="1:143" s="1271" customFormat="1">
      <c r="B215" s="1276"/>
      <c r="C215" s="1276"/>
      <c r="D215" s="1276"/>
      <c r="E215" s="1276"/>
      <c r="F215" s="1276"/>
      <c r="G215" s="1276"/>
      <c r="H215" s="1276"/>
      <c r="I215" s="1276"/>
      <c r="J215" s="1276"/>
      <c r="K215" s="1276"/>
      <c r="L215" s="1276"/>
      <c r="M215" s="1276"/>
      <c r="N215" s="1276"/>
      <c r="O215" s="1276"/>
      <c r="P215" s="1276"/>
      <c r="Q215" s="1276"/>
      <c r="R215" s="1276"/>
      <c r="S215" s="1276"/>
      <c r="T215" s="1276"/>
      <c r="U215" s="1276"/>
      <c r="V215" s="1276"/>
      <c r="W215" s="1277"/>
      <c r="X215" s="1277"/>
      <c r="Y215" s="1277"/>
      <c r="Z215" s="1277"/>
      <c r="AA215" s="1277"/>
      <c r="AB215" s="1277"/>
      <c r="AC215" s="1277"/>
      <c r="AD215" s="1277"/>
      <c r="AE215" s="1277"/>
      <c r="AF215" s="1277"/>
      <c r="AG215" s="1277"/>
      <c r="AH215" s="1277"/>
      <c r="AI215" s="1277"/>
      <c r="AJ215" s="1277"/>
      <c r="AK215" s="1277"/>
      <c r="AL215" s="1277"/>
      <c r="AM215" s="1277"/>
      <c r="AN215" s="1277"/>
      <c r="AO215" s="1277"/>
      <c r="AP215" s="1277"/>
      <c r="AQ215" s="1277"/>
      <c r="AR215" s="1277"/>
      <c r="AS215" s="1277"/>
      <c r="AT215" s="1277"/>
      <c r="AU215" s="1277"/>
      <c r="AV215" s="1277"/>
      <c r="AW215" s="1277"/>
      <c r="AX215" s="1277"/>
      <c r="AY215" s="1277"/>
      <c r="AZ215" s="1277"/>
      <c r="BA215" s="1277"/>
      <c r="BB215" s="1277"/>
      <c r="BC215" s="1277"/>
      <c r="BD215" s="1277"/>
      <c r="BE215" s="1277"/>
      <c r="BF215" s="1277"/>
      <c r="BG215" s="1277"/>
      <c r="BH215" s="1277"/>
      <c r="BI215" s="1277"/>
      <c r="BJ215" s="1277"/>
      <c r="BK215" s="1277"/>
      <c r="BL215" s="1277"/>
      <c r="BM215" s="1277"/>
      <c r="BN215" s="1277"/>
      <c r="BO215" s="1277"/>
      <c r="BP215" s="1277"/>
      <c r="BQ215" s="1277"/>
      <c r="BR215" s="1277"/>
      <c r="BS215" s="1277"/>
      <c r="BT215" s="1277"/>
      <c r="BU215" s="1277"/>
      <c r="BV215" s="1277"/>
      <c r="BW215" s="1277"/>
      <c r="BX215" s="1277"/>
      <c r="BY215" s="1277"/>
      <c r="BZ215" s="1277"/>
      <c r="CA215" s="1277"/>
      <c r="CB215" s="1277"/>
      <c r="CC215" s="1277"/>
      <c r="CD215" s="1277"/>
      <c r="CE215" s="1277"/>
      <c r="CF215" s="1277"/>
      <c r="CG215" s="1277"/>
      <c r="CH215" s="1269"/>
      <c r="CI215" s="1277"/>
      <c r="CJ215" s="1277"/>
      <c r="CK215" s="1277"/>
      <c r="CL215" s="1277"/>
      <c r="CM215" s="1277"/>
      <c r="CN215" s="1277"/>
      <c r="CO215" s="1277"/>
      <c r="CP215" s="1277"/>
      <c r="CQ215" s="1277"/>
      <c r="CR215" s="1277"/>
      <c r="CS215" s="1277"/>
      <c r="CT215" s="1277"/>
      <c r="CU215" s="1277"/>
      <c r="CV215" s="1277"/>
      <c r="CW215" s="1277"/>
      <c r="CX215" s="1277"/>
      <c r="CY215" s="1277"/>
      <c r="CZ215" s="1277"/>
      <c r="DA215" s="1277"/>
      <c r="DB215" s="1277"/>
      <c r="DC215" s="1277"/>
      <c r="DD215" s="1277"/>
      <c r="DE215" s="1277"/>
      <c r="DF215" s="1277"/>
      <c r="DG215" s="1277"/>
      <c r="DH215" s="1277"/>
      <c r="DI215" s="1277"/>
      <c r="DJ215" s="1277"/>
      <c r="DK215" s="1277"/>
      <c r="DL215" s="1277"/>
      <c r="DM215" s="1277"/>
      <c r="DN215" s="1277"/>
      <c r="DO215" s="1277"/>
      <c r="DP215" s="1277"/>
      <c r="DQ215" s="1277"/>
      <c r="DR215" s="1277"/>
      <c r="DS215" s="1277"/>
      <c r="DT215" s="1277"/>
      <c r="DU215" s="1277"/>
      <c r="DV215" s="1277"/>
      <c r="DW215" s="1277"/>
      <c r="DX215" s="1277"/>
      <c r="DY215" s="1277"/>
      <c r="DZ215" s="1277"/>
      <c r="EA215" s="1277"/>
      <c r="EB215" s="1276"/>
      <c r="EC215" s="1276"/>
      <c r="ED215" s="1276"/>
      <c r="EE215" s="1276"/>
      <c r="EF215" s="1276"/>
      <c r="EG215" s="1276"/>
      <c r="EH215" s="1276"/>
      <c r="EI215" s="1276"/>
      <c r="EJ215" s="1276"/>
      <c r="EK215" s="1275"/>
      <c r="EL215" s="1275"/>
      <c r="EM215" s="1313"/>
    </row>
    <row r="216" spans="1:143" s="1271" customFormat="1">
      <c r="B216" s="1276"/>
      <c r="C216" s="1276"/>
      <c r="D216" s="1276"/>
      <c r="E216" s="1276"/>
      <c r="F216" s="1276"/>
      <c r="G216" s="1276"/>
      <c r="H216" s="1276"/>
      <c r="I216" s="1276"/>
      <c r="J216" s="1276"/>
      <c r="K216" s="1276"/>
      <c r="L216" s="1276"/>
      <c r="M216" s="1276"/>
      <c r="N216" s="1276"/>
      <c r="O216" s="1276"/>
      <c r="P216" s="1276"/>
      <c r="Q216" s="1276"/>
      <c r="R216" s="1276"/>
      <c r="S216" s="1276"/>
      <c r="T216" s="1276"/>
      <c r="U216" s="1276"/>
      <c r="V216" s="1276"/>
      <c r="W216" s="1277"/>
      <c r="X216" s="1277"/>
      <c r="Y216" s="1277"/>
      <c r="Z216" s="1277"/>
      <c r="AA216" s="1277"/>
      <c r="AB216" s="1277"/>
      <c r="AC216" s="1277"/>
      <c r="AD216" s="1277"/>
      <c r="AE216" s="1277"/>
      <c r="AF216" s="1277"/>
      <c r="AG216" s="1277"/>
      <c r="AH216" s="1277"/>
      <c r="AI216" s="1277"/>
      <c r="AJ216" s="1277"/>
      <c r="AK216" s="1277"/>
      <c r="AL216" s="1277"/>
      <c r="AM216" s="1277"/>
      <c r="AN216" s="1277"/>
      <c r="AO216" s="1277"/>
      <c r="AP216" s="1277"/>
      <c r="AQ216" s="1277"/>
      <c r="AR216" s="1277"/>
      <c r="AS216" s="1277"/>
      <c r="AT216" s="1277"/>
      <c r="AU216" s="1277"/>
      <c r="AV216" s="1277"/>
      <c r="AW216" s="1277"/>
      <c r="AX216" s="1277"/>
      <c r="AY216" s="1277"/>
      <c r="AZ216" s="1277"/>
      <c r="BA216" s="1277"/>
      <c r="BB216" s="1277"/>
      <c r="BC216" s="1277"/>
      <c r="BD216" s="1277"/>
      <c r="BE216" s="1277"/>
      <c r="BF216" s="1277"/>
      <c r="BG216" s="1277"/>
      <c r="BH216" s="1277"/>
      <c r="BI216" s="1277"/>
      <c r="BJ216" s="1277"/>
      <c r="BK216" s="1277"/>
      <c r="BL216" s="1277"/>
      <c r="BM216" s="1277"/>
      <c r="BN216" s="1277"/>
      <c r="BO216" s="1277"/>
      <c r="BP216" s="1277"/>
      <c r="BQ216" s="1277"/>
      <c r="BR216" s="1277"/>
      <c r="BS216" s="1277"/>
      <c r="BT216" s="1277"/>
      <c r="BU216" s="1277"/>
      <c r="BV216" s="1277"/>
      <c r="BW216" s="1277"/>
      <c r="BX216" s="1277"/>
      <c r="BY216" s="1277"/>
      <c r="BZ216" s="1277"/>
      <c r="CA216" s="1277"/>
      <c r="CB216" s="1277"/>
      <c r="CC216" s="1277"/>
      <c r="CD216" s="1277"/>
      <c r="CE216" s="1277"/>
      <c r="CF216" s="1277"/>
      <c r="CG216" s="1277"/>
      <c r="CH216" s="1269"/>
      <c r="CI216" s="1277"/>
      <c r="CJ216" s="1277"/>
      <c r="CK216" s="1277"/>
      <c r="CL216" s="1277"/>
      <c r="CM216" s="1277"/>
      <c r="CN216" s="1277"/>
      <c r="CO216" s="1277"/>
      <c r="CP216" s="1277"/>
      <c r="CQ216" s="1277"/>
      <c r="CR216" s="1277"/>
      <c r="CS216" s="1277"/>
      <c r="CT216" s="1277"/>
      <c r="CU216" s="1277"/>
      <c r="CV216" s="1277"/>
      <c r="CW216" s="1277"/>
      <c r="CX216" s="1277"/>
      <c r="CY216" s="1277"/>
      <c r="CZ216" s="1277"/>
      <c r="DA216" s="1277"/>
      <c r="DB216" s="1277"/>
      <c r="DC216" s="1277"/>
      <c r="DD216" s="1277"/>
      <c r="DE216" s="1277"/>
      <c r="DF216" s="1277"/>
      <c r="DG216" s="1277"/>
      <c r="DH216" s="1277"/>
      <c r="DI216" s="1277"/>
      <c r="DJ216" s="1277"/>
      <c r="DK216" s="1277"/>
      <c r="DL216" s="1277"/>
      <c r="DM216" s="1277"/>
      <c r="DN216" s="1277"/>
      <c r="DO216" s="1277"/>
      <c r="DP216" s="1277"/>
      <c r="DQ216" s="1277"/>
      <c r="DR216" s="1277"/>
      <c r="DS216" s="1277"/>
      <c r="DT216" s="1277"/>
      <c r="DU216" s="1277"/>
      <c r="DV216" s="1277"/>
      <c r="DW216" s="1277"/>
      <c r="DX216" s="1277"/>
      <c r="DY216" s="1277"/>
      <c r="DZ216" s="1277"/>
      <c r="EA216" s="1277"/>
      <c r="EB216" s="1276"/>
      <c r="EC216" s="1276"/>
      <c r="ED216" s="1276"/>
      <c r="EE216" s="1276"/>
      <c r="EF216" s="1276"/>
      <c r="EG216" s="1276"/>
      <c r="EH216" s="1276"/>
      <c r="EI216" s="1276"/>
      <c r="EJ216" s="1276"/>
      <c r="EK216" s="1275"/>
      <c r="EL216" s="1275"/>
      <c r="EM216" s="1313"/>
    </row>
    <row r="217" spans="1:143" s="1271" customFormat="1">
      <c r="B217" s="1276"/>
      <c r="C217" s="1276"/>
      <c r="D217" s="1276"/>
      <c r="E217" s="1276"/>
      <c r="F217" s="1276"/>
      <c r="G217" s="1276"/>
      <c r="H217" s="1276"/>
      <c r="I217" s="1276"/>
      <c r="J217" s="1276"/>
      <c r="K217" s="1276"/>
      <c r="L217" s="1276"/>
      <c r="M217" s="1276"/>
      <c r="N217" s="1276"/>
      <c r="O217" s="1276"/>
      <c r="P217" s="1276"/>
      <c r="Q217" s="1276"/>
      <c r="R217" s="1276"/>
      <c r="S217" s="1276"/>
      <c r="T217" s="1276"/>
      <c r="U217" s="1276"/>
      <c r="V217" s="1276"/>
      <c r="W217" s="1277"/>
      <c r="X217" s="1277"/>
      <c r="Y217" s="1277"/>
      <c r="Z217" s="1277"/>
      <c r="AA217" s="1277"/>
      <c r="AB217" s="1277"/>
      <c r="AC217" s="1277"/>
      <c r="AD217" s="1277"/>
      <c r="AE217" s="1277"/>
      <c r="AF217" s="1277"/>
      <c r="AG217" s="1277"/>
      <c r="AH217" s="1277"/>
      <c r="AI217" s="1277"/>
      <c r="AJ217" s="1277"/>
      <c r="AK217" s="1277"/>
      <c r="AL217" s="1277"/>
      <c r="AM217" s="1277"/>
      <c r="AN217" s="1277"/>
      <c r="AO217" s="1277"/>
      <c r="AP217" s="1277"/>
      <c r="AQ217" s="1277"/>
      <c r="AR217" s="1277"/>
      <c r="AS217" s="1277"/>
      <c r="AT217" s="1277"/>
      <c r="AU217" s="1277"/>
      <c r="AV217" s="1277"/>
      <c r="AW217" s="1277"/>
      <c r="AX217" s="1277"/>
      <c r="AY217" s="1277"/>
      <c r="AZ217" s="1277"/>
      <c r="BA217" s="1277"/>
      <c r="BB217" s="1277"/>
      <c r="BC217" s="1277"/>
      <c r="BD217" s="1277"/>
      <c r="BE217" s="1277"/>
      <c r="BF217" s="1277"/>
      <c r="BG217" s="1277"/>
      <c r="BH217" s="1277"/>
      <c r="BI217" s="1277"/>
      <c r="BJ217" s="1277"/>
      <c r="BK217" s="1277"/>
      <c r="BL217" s="1277"/>
      <c r="BM217" s="1277"/>
      <c r="BN217" s="1277"/>
      <c r="BO217" s="1277"/>
      <c r="BP217" s="1277"/>
      <c r="BQ217" s="1277"/>
      <c r="BR217" s="1277"/>
      <c r="BS217" s="1277"/>
      <c r="BT217" s="1277"/>
      <c r="BU217" s="1277"/>
      <c r="BV217" s="1277"/>
      <c r="BW217" s="1277"/>
      <c r="BX217" s="1277"/>
      <c r="BY217" s="1277"/>
      <c r="BZ217" s="1277"/>
      <c r="CA217" s="1277"/>
      <c r="CB217" s="1277"/>
      <c r="CC217" s="1277"/>
      <c r="CD217" s="1277"/>
      <c r="CE217" s="1277"/>
      <c r="CF217" s="1277"/>
      <c r="CG217" s="1277"/>
      <c r="CH217" s="1269"/>
      <c r="CI217" s="1277"/>
      <c r="CJ217" s="1277"/>
      <c r="CK217" s="1277"/>
      <c r="CL217" s="1277"/>
      <c r="CM217" s="1277"/>
      <c r="CN217" s="1277"/>
      <c r="CO217" s="1277"/>
      <c r="CP217" s="1277"/>
      <c r="CQ217" s="1277"/>
      <c r="CR217" s="1277"/>
      <c r="CS217" s="1277"/>
      <c r="CT217" s="1277"/>
      <c r="CU217" s="1277"/>
      <c r="CV217" s="1277"/>
      <c r="CW217" s="1277"/>
      <c r="CX217" s="1277"/>
      <c r="CY217" s="1277"/>
      <c r="CZ217" s="1277"/>
      <c r="DA217" s="1277"/>
      <c r="DB217" s="1277"/>
      <c r="DC217" s="1277"/>
      <c r="DD217" s="1277"/>
      <c r="DE217" s="1277"/>
      <c r="DF217" s="1277"/>
      <c r="DG217" s="1277"/>
      <c r="DH217" s="1277"/>
      <c r="DI217" s="1277"/>
      <c r="DJ217" s="1277"/>
      <c r="DK217" s="1277"/>
      <c r="DL217" s="1277"/>
      <c r="DM217" s="1277"/>
      <c r="DN217" s="1277"/>
      <c r="DO217" s="1277"/>
      <c r="DP217" s="1277"/>
      <c r="DQ217" s="1277"/>
      <c r="DR217" s="1277"/>
      <c r="DS217" s="1277"/>
      <c r="DT217" s="1277"/>
      <c r="DU217" s="1277"/>
      <c r="DV217" s="1277"/>
      <c r="DW217" s="1277"/>
      <c r="DX217" s="1277"/>
      <c r="DY217" s="1277"/>
      <c r="DZ217" s="1277"/>
      <c r="EA217" s="1277"/>
      <c r="EB217" s="1276"/>
      <c r="EC217" s="1276"/>
      <c r="ED217" s="1276"/>
      <c r="EE217" s="1276"/>
      <c r="EF217" s="1276"/>
      <c r="EG217" s="1276"/>
      <c r="EH217" s="1276"/>
      <c r="EI217" s="1276"/>
      <c r="EJ217" s="1276"/>
      <c r="EK217" s="1275"/>
      <c r="EL217" s="1275"/>
      <c r="EM217" s="1313"/>
    </row>
    <row r="218" spans="1:143" s="1271" customFormat="1">
      <c r="B218" s="1276"/>
      <c r="C218" s="1276"/>
      <c r="D218" s="1276"/>
      <c r="E218" s="1276"/>
      <c r="F218" s="1276"/>
      <c r="G218" s="1276"/>
      <c r="H218" s="1276"/>
      <c r="I218" s="1276"/>
      <c r="J218" s="1276"/>
      <c r="K218" s="1276"/>
      <c r="L218" s="1276"/>
      <c r="M218" s="1276"/>
      <c r="N218" s="1276"/>
      <c r="O218" s="1276"/>
      <c r="P218" s="1276"/>
      <c r="Q218" s="1276"/>
      <c r="R218" s="1276"/>
      <c r="S218" s="1276"/>
      <c r="T218" s="1276"/>
      <c r="U218" s="1276"/>
      <c r="V218" s="1276"/>
      <c r="W218" s="1277"/>
      <c r="X218" s="1277"/>
      <c r="Y218" s="1277"/>
      <c r="Z218" s="1277"/>
      <c r="AA218" s="1277"/>
      <c r="AB218" s="1277"/>
      <c r="AC218" s="1277"/>
      <c r="AD218" s="1277"/>
      <c r="AE218" s="1277"/>
      <c r="AF218" s="1277"/>
      <c r="AG218" s="1277"/>
      <c r="AH218" s="1277"/>
      <c r="AI218" s="1277"/>
      <c r="AJ218" s="1277"/>
      <c r="AK218" s="1277"/>
      <c r="AL218" s="1277"/>
      <c r="AM218" s="1277"/>
      <c r="AN218" s="1277"/>
      <c r="AO218" s="1277"/>
      <c r="AP218" s="1277"/>
      <c r="AQ218" s="1277"/>
      <c r="AR218" s="1277"/>
      <c r="AS218" s="1277"/>
      <c r="AT218" s="1277"/>
      <c r="AU218" s="1277"/>
      <c r="AV218" s="1277"/>
      <c r="AW218" s="1277"/>
      <c r="AX218" s="1277"/>
      <c r="AY218" s="1277"/>
      <c r="AZ218" s="1277"/>
      <c r="BA218" s="1277"/>
      <c r="BB218" s="1277"/>
      <c r="BC218" s="1277"/>
      <c r="BD218" s="1277"/>
      <c r="BE218" s="1277"/>
      <c r="BF218" s="1277"/>
      <c r="BG218" s="1277"/>
      <c r="BH218" s="1277"/>
      <c r="BI218" s="1277"/>
      <c r="BJ218" s="1277"/>
      <c r="BK218" s="1277"/>
      <c r="BL218" s="1277"/>
      <c r="BM218" s="1277"/>
      <c r="BN218" s="1277"/>
      <c r="BO218" s="1277"/>
      <c r="BP218" s="1277"/>
      <c r="BQ218" s="1277"/>
      <c r="BR218" s="1277"/>
      <c r="BS218" s="1277"/>
      <c r="BT218" s="1277"/>
      <c r="BU218" s="1277"/>
      <c r="BV218" s="1277"/>
      <c r="BW218" s="1277"/>
      <c r="BX218" s="1277"/>
      <c r="BY218" s="1277"/>
      <c r="BZ218" s="1277"/>
      <c r="CA218" s="1277"/>
      <c r="CB218" s="1277"/>
      <c r="CC218" s="1277"/>
      <c r="CD218" s="1277"/>
      <c r="CE218" s="1277"/>
      <c r="CF218" s="1277"/>
      <c r="CG218" s="1277"/>
      <c r="CH218" s="1269"/>
      <c r="CI218" s="1277"/>
      <c r="CJ218" s="1277"/>
      <c r="CK218" s="1277"/>
      <c r="CL218" s="1277"/>
      <c r="CM218" s="1277"/>
      <c r="CN218" s="1277"/>
      <c r="CO218" s="1277"/>
      <c r="CP218" s="1277"/>
      <c r="CQ218" s="1277"/>
      <c r="CR218" s="1277"/>
      <c r="CS218" s="1277"/>
      <c r="CT218" s="1277"/>
      <c r="CU218" s="1277"/>
      <c r="CV218" s="1277"/>
      <c r="CW218" s="1277"/>
      <c r="CX218" s="1277"/>
      <c r="CY218" s="1277"/>
      <c r="CZ218" s="1277"/>
      <c r="DA218" s="1277"/>
      <c r="DB218" s="1277"/>
      <c r="DC218" s="1277"/>
      <c r="DD218" s="1277"/>
      <c r="DE218" s="1277"/>
      <c r="DF218" s="1277"/>
      <c r="DG218" s="1277"/>
      <c r="DH218" s="1277"/>
      <c r="DI218" s="1277"/>
      <c r="DJ218" s="1277"/>
      <c r="DK218" s="1277"/>
      <c r="DL218" s="1277"/>
      <c r="DM218" s="1277"/>
      <c r="DN218" s="1277"/>
      <c r="DO218" s="1277"/>
      <c r="DP218" s="1277"/>
      <c r="DQ218" s="1277"/>
      <c r="DR218" s="1277"/>
      <c r="DS218" s="1277"/>
      <c r="DT218" s="1277"/>
      <c r="DU218" s="1277"/>
      <c r="DV218" s="1277"/>
      <c r="DW218" s="1277"/>
      <c r="DX218" s="1277"/>
      <c r="DY218" s="1277"/>
      <c r="DZ218" s="1277"/>
      <c r="EA218" s="1277"/>
      <c r="EB218" s="1276"/>
      <c r="EC218" s="1276"/>
      <c r="ED218" s="1276"/>
      <c r="EE218" s="1276"/>
      <c r="EF218" s="1276"/>
      <c r="EG218" s="1276"/>
      <c r="EH218" s="1276"/>
      <c r="EI218" s="1276"/>
      <c r="EJ218" s="1276"/>
      <c r="EK218" s="1275"/>
      <c r="EL218" s="1275"/>
      <c r="EM218" s="1313"/>
    </row>
    <row r="219" spans="1:143" s="1271" customFormat="1">
      <c r="B219" s="1276"/>
      <c r="C219" s="1276"/>
      <c r="D219" s="1276"/>
      <c r="E219" s="1276"/>
      <c r="F219" s="1276"/>
      <c r="G219" s="1276"/>
      <c r="H219" s="1276"/>
      <c r="I219" s="1276"/>
      <c r="J219" s="1276"/>
      <c r="K219" s="1276"/>
      <c r="L219" s="1276"/>
      <c r="M219" s="1276"/>
      <c r="N219" s="1276"/>
      <c r="O219" s="1276"/>
      <c r="P219" s="1276"/>
      <c r="Q219" s="1276"/>
      <c r="R219" s="1276"/>
      <c r="S219" s="1276"/>
      <c r="T219" s="1276"/>
      <c r="U219" s="1276"/>
      <c r="V219" s="1276"/>
      <c r="W219" s="1277"/>
      <c r="X219" s="1277"/>
      <c r="Y219" s="1277"/>
      <c r="Z219" s="1277"/>
      <c r="AA219" s="1277"/>
      <c r="AB219" s="1277"/>
      <c r="AC219" s="1277"/>
      <c r="AD219" s="1277"/>
      <c r="AE219" s="1277"/>
      <c r="AF219" s="1277"/>
      <c r="AG219" s="1277"/>
      <c r="AH219" s="1277"/>
      <c r="AI219" s="1277"/>
      <c r="AJ219" s="1277"/>
      <c r="AK219" s="1277"/>
      <c r="AL219" s="1277"/>
      <c r="AM219" s="1277"/>
      <c r="AN219" s="1277"/>
      <c r="AO219" s="1277"/>
      <c r="AP219" s="1277"/>
      <c r="AQ219" s="1277"/>
      <c r="AR219" s="1277"/>
      <c r="AS219" s="1277"/>
      <c r="AT219" s="1277"/>
      <c r="AU219" s="1277"/>
      <c r="AV219" s="1277"/>
      <c r="AW219" s="1277"/>
      <c r="AX219" s="1277"/>
      <c r="AY219" s="1277"/>
      <c r="AZ219" s="1277"/>
      <c r="BA219" s="1277"/>
      <c r="BB219" s="1277"/>
      <c r="BC219" s="1277"/>
      <c r="BD219" s="1277"/>
      <c r="BE219" s="1277"/>
      <c r="BF219" s="1277"/>
      <c r="BG219" s="1277"/>
      <c r="BH219" s="1277"/>
      <c r="BI219" s="1277"/>
      <c r="BJ219" s="1277"/>
      <c r="BK219" s="1277"/>
      <c r="BL219" s="1277"/>
      <c r="BM219" s="1277"/>
      <c r="BN219" s="1277"/>
      <c r="BO219" s="1277"/>
      <c r="BP219" s="1277"/>
      <c r="BQ219" s="1277"/>
      <c r="BR219" s="1277"/>
      <c r="BS219" s="1277"/>
      <c r="BT219" s="1277"/>
      <c r="BU219" s="1277"/>
      <c r="BV219" s="1277"/>
      <c r="BW219" s="1277"/>
      <c r="BX219" s="1277"/>
      <c r="BY219" s="1277"/>
      <c r="BZ219" s="1277"/>
      <c r="CA219" s="1277"/>
      <c r="CB219" s="1277"/>
      <c r="CC219" s="1277"/>
      <c r="CD219" s="1277"/>
      <c r="CE219" s="1277"/>
      <c r="CF219" s="1277"/>
      <c r="CG219" s="1277"/>
      <c r="CH219" s="1269"/>
      <c r="CI219" s="1277"/>
      <c r="CJ219" s="1277"/>
      <c r="CK219" s="1277"/>
      <c r="CL219" s="1277"/>
      <c r="CM219" s="1277"/>
      <c r="CN219" s="1277"/>
      <c r="CO219" s="1277"/>
      <c r="CP219" s="1277"/>
      <c r="CQ219" s="1277"/>
      <c r="CR219" s="1277"/>
      <c r="CS219" s="1277"/>
      <c r="CT219" s="1277"/>
      <c r="CU219" s="1277"/>
      <c r="CV219" s="1277"/>
      <c r="CW219" s="1277"/>
      <c r="CX219" s="1277"/>
      <c r="CY219" s="1277"/>
      <c r="CZ219" s="1277"/>
      <c r="DA219" s="1277"/>
      <c r="DB219" s="1277"/>
      <c r="DC219" s="1277"/>
      <c r="DD219" s="1277"/>
      <c r="DE219" s="1277"/>
      <c r="DF219" s="1277"/>
      <c r="DG219" s="1277"/>
      <c r="DH219" s="1277"/>
      <c r="DI219" s="1277"/>
      <c r="DJ219" s="1277"/>
      <c r="DK219" s="1277"/>
      <c r="DL219" s="1277"/>
      <c r="DM219" s="1277"/>
      <c r="DN219" s="1277"/>
      <c r="DO219" s="1277"/>
      <c r="DP219" s="1277"/>
      <c r="DQ219" s="1277"/>
      <c r="DR219" s="1277"/>
      <c r="DS219" s="1277"/>
      <c r="DT219" s="1277"/>
      <c r="DU219" s="1277"/>
      <c r="DV219" s="1277"/>
      <c r="DW219" s="1277"/>
      <c r="DX219" s="1277"/>
      <c r="DY219" s="1277"/>
      <c r="DZ219" s="1277"/>
      <c r="EA219" s="1277"/>
      <c r="EB219" s="1276"/>
      <c r="EC219" s="1276"/>
      <c r="ED219" s="1276"/>
      <c r="EE219" s="1276"/>
      <c r="EF219" s="1276"/>
      <c r="EG219" s="1276"/>
      <c r="EH219" s="1276"/>
      <c r="EI219" s="1276"/>
      <c r="EJ219" s="1276"/>
      <c r="EK219" s="1275"/>
      <c r="EL219" s="1275"/>
      <c r="EM219" s="1313"/>
    </row>
    <row r="220" spans="1:143" s="1271" customFormat="1">
      <c r="B220" s="1276"/>
      <c r="C220" s="1276"/>
      <c r="D220" s="1276"/>
      <c r="E220" s="1276"/>
      <c r="F220" s="1276"/>
      <c r="G220" s="1276"/>
      <c r="H220" s="1276"/>
      <c r="I220" s="1276"/>
      <c r="J220" s="1276"/>
      <c r="K220" s="1276"/>
      <c r="L220" s="1276"/>
      <c r="M220" s="1276"/>
      <c r="N220" s="1276"/>
      <c r="O220" s="1276"/>
      <c r="P220" s="1276"/>
      <c r="Q220" s="1276"/>
      <c r="R220" s="1276"/>
      <c r="S220" s="1276"/>
      <c r="T220" s="1276"/>
      <c r="U220" s="1276"/>
      <c r="V220" s="1276"/>
      <c r="W220" s="1277"/>
      <c r="X220" s="1277"/>
      <c r="Y220" s="1277"/>
      <c r="Z220" s="1277"/>
      <c r="AA220" s="1277"/>
      <c r="AB220" s="1277"/>
      <c r="AC220" s="1277"/>
      <c r="AD220" s="1277"/>
      <c r="AE220" s="1277"/>
      <c r="AF220" s="1277"/>
      <c r="AG220" s="1277"/>
      <c r="AH220" s="1277"/>
      <c r="AI220" s="1277"/>
      <c r="AJ220" s="1277"/>
      <c r="AK220" s="1277"/>
      <c r="AL220" s="1277"/>
      <c r="AM220" s="1277"/>
      <c r="AN220" s="1277"/>
      <c r="AO220" s="1277"/>
      <c r="AP220" s="1277"/>
      <c r="AQ220" s="1277"/>
      <c r="AR220" s="1277"/>
      <c r="AS220" s="1277"/>
      <c r="AT220" s="1277"/>
      <c r="AU220" s="1277"/>
      <c r="AV220" s="1277"/>
      <c r="AW220" s="1277"/>
      <c r="AX220" s="1277"/>
      <c r="AY220" s="1277"/>
      <c r="AZ220" s="1277"/>
      <c r="BA220" s="1277"/>
      <c r="BB220" s="1277"/>
      <c r="BC220" s="1277"/>
      <c r="BD220" s="1277"/>
      <c r="BE220" s="1277"/>
      <c r="BF220" s="1277"/>
      <c r="BG220" s="1277"/>
      <c r="BH220" s="1277"/>
      <c r="BI220" s="1277"/>
      <c r="BJ220" s="1277"/>
      <c r="BK220" s="1277"/>
      <c r="BL220" s="1277"/>
      <c r="BM220" s="1277"/>
      <c r="BN220" s="1277"/>
      <c r="BO220" s="1277"/>
      <c r="BP220" s="1277"/>
      <c r="BQ220" s="1277"/>
      <c r="BR220" s="1277"/>
      <c r="BS220" s="1277"/>
      <c r="BT220" s="1277"/>
      <c r="BU220" s="1277"/>
      <c r="BV220" s="1277"/>
      <c r="BW220" s="1277"/>
      <c r="BX220" s="1277"/>
      <c r="BY220" s="1277"/>
      <c r="BZ220" s="1277"/>
      <c r="CA220" s="1277"/>
      <c r="CB220" s="1277"/>
      <c r="CC220" s="1277"/>
      <c r="CD220" s="1277"/>
      <c r="CE220" s="1277"/>
      <c r="CF220" s="1277"/>
      <c r="CG220" s="1277"/>
      <c r="CH220" s="1269"/>
      <c r="CI220" s="1277"/>
      <c r="CJ220" s="1277"/>
      <c r="CK220" s="1277"/>
      <c r="CL220" s="1277"/>
      <c r="CM220" s="1277"/>
      <c r="CN220" s="1277"/>
      <c r="CO220" s="1277"/>
      <c r="CP220" s="1277"/>
      <c r="CQ220" s="1277"/>
      <c r="CR220" s="1277"/>
      <c r="CS220" s="1277"/>
      <c r="CT220" s="1277"/>
      <c r="CU220" s="1277"/>
      <c r="CV220" s="1277"/>
      <c r="CW220" s="1277"/>
      <c r="CX220" s="1277"/>
      <c r="CY220" s="1277"/>
      <c r="CZ220" s="1277"/>
      <c r="DA220" s="1277"/>
      <c r="DB220" s="1277"/>
      <c r="DC220" s="1277"/>
      <c r="DD220" s="1277"/>
      <c r="DE220" s="1277"/>
      <c r="DF220" s="1277"/>
      <c r="DG220" s="1277"/>
      <c r="DH220" s="1277"/>
      <c r="DI220" s="1277"/>
      <c r="DJ220" s="1277"/>
      <c r="DK220" s="1277"/>
      <c r="DL220" s="1277"/>
      <c r="DM220" s="1277"/>
      <c r="DN220" s="1277"/>
      <c r="DO220" s="1277"/>
      <c r="DP220" s="1277"/>
      <c r="DQ220" s="1277"/>
      <c r="DR220" s="1277"/>
      <c r="DS220" s="1277"/>
      <c r="DT220" s="1277"/>
      <c r="DU220" s="1277"/>
      <c r="DV220" s="1277"/>
      <c r="DW220" s="1277"/>
      <c r="DX220" s="1277"/>
      <c r="DY220" s="1277"/>
      <c r="DZ220" s="1277"/>
      <c r="EA220" s="1277"/>
      <c r="EB220" s="1276"/>
      <c r="EC220" s="1276"/>
      <c r="ED220" s="1276"/>
      <c r="EE220" s="1276"/>
      <c r="EF220" s="1276"/>
      <c r="EG220" s="1276"/>
      <c r="EH220" s="1276"/>
      <c r="EI220" s="1276"/>
      <c r="EJ220" s="1276"/>
      <c r="EK220" s="1275"/>
      <c r="EL220" s="1275"/>
      <c r="EM220" s="1313"/>
    </row>
    <row r="221" spans="1:143" s="1271" customFormat="1">
      <c r="B221" s="1276"/>
      <c r="C221" s="1276"/>
      <c r="D221" s="1276"/>
      <c r="E221" s="1276"/>
      <c r="F221" s="1276"/>
      <c r="G221" s="1276"/>
      <c r="H221" s="1276"/>
      <c r="I221" s="1276"/>
      <c r="J221" s="1276"/>
      <c r="K221" s="1276"/>
      <c r="L221" s="1276"/>
      <c r="M221" s="1276"/>
      <c r="N221" s="1276"/>
      <c r="O221" s="1276"/>
      <c r="P221" s="1276"/>
      <c r="Q221" s="1276"/>
      <c r="R221" s="1276"/>
      <c r="S221" s="1276"/>
      <c r="T221" s="1276"/>
      <c r="U221" s="1276"/>
      <c r="V221" s="1276"/>
      <c r="W221" s="1277"/>
      <c r="X221" s="1277"/>
      <c r="Y221" s="1277"/>
      <c r="Z221" s="1277"/>
      <c r="AA221" s="1277"/>
      <c r="AB221" s="1277"/>
      <c r="AC221" s="1277"/>
      <c r="AD221" s="1277"/>
      <c r="AE221" s="1277"/>
      <c r="AF221" s="1277"/>
      <c r="AG221" s="1277"/>
      <c r="AH221" s="1277"/>
      <c r="AI221" s="1277"/>
      <c r="AJ221" s="1277"/>
      <c r="AK221" s="1277"/>
      <c r="AL221" s="1277"/>
      <c r="AM221" s="1277"/>
      <c r="AN221" s="1277"/>
      <c r="AO221" s="1277"/>
      <c r="AP221" s="1277"/>
      <c r="AQ221" s="1277"/>
      <c r="AR221" s="1277"/>
      <c r="AS221" s="1277"/>
      <c r="AT221" s="1277"/>
      <c r="AU221" s="1277"/>
      <c r="AV221" s="1277"/>
      <c r="AW221" s="1277"/>
      <c r="AX221" s="1277"/>
      <c r="AY221" s="1277"/>
      <c r="AZ221" s="1277"/>
      <c r="BA221" s="1277"/>
      <c r="BB221" s="1277"/>
      <c r="BC221" s="1277"/>
      <c r="BD221" s="1277"/>
      <c r="BE221" s="1277"/>
      <c r="BF221" s="1277"/>
      <c r="BG221" s="1277"/>
      <c r="BH221" s="1277"/>
      <c r="BI221" s="1277"/>
      <c r="BJ221" s="1277"/>
      <c r="BK221" s="1277"/>
      <c r="BL221" s="1277"/>
      <c r="BM221" s="1277"/>
      <c r="BN221" s="1277"/>
      <c r="BO221" s="1277"/>
      <c r="BP221" s="1277"/>
      <c r="BQ221" s="1277"/>
      <c r="BR221" s="1277"/>
      <c r="BS221" s="1277"/>
      <c r="BT221" s="1277"/>
      <c r="BU221" s="1277"/>
      <c r="BV221" s="1277"/>
      <c r="BW221" s="1277"/>
      <c r="BX221" s="1277"/>
      <c r="BY221" s="1277"/>
      <c r="BZ221" s="1277"/>
      <c r="CA221" s="1277"/>
      <c r="CB221" s="1277"/>
      <c r="CC221" s="1277"/>
      <c r="CD221" s="1277"/>
      <c r="CE221" s="1277"/>
      <c r="CF221" s="1277"/>
      <c r="CG221" s="1277"/>
      <c r="CH221" s="1269"/>
      <c r="CI221" s="1277"/>
      <c r="CJ221" s="1277"/>
      <c r="CK221" s="1277"/>
      <c r="CL221" s="1277"/>
      <c r="CM221" s="1277"/>
      <c r="CN221" s="1277"/>
      <c r="CO221" s="1277"/>
      <c r="CP221" s="1277"/>
      <c r="CQ221" s="1277"/>
      <c r="CR221" s="1277"/>
      <c r="CS221" s="1277"/>
      <c r="CT221" s="1277"/>
      <c r="CU221" s="1277"/>
      <c r="CV221" s="1277"/>
      <c r="CW221" s="1277"/>
      <c r="CX221" s="1277"/>
      <c r="CY221" s="1277"/>
      <c r="CZ221" s="1277"/>
      <c r="DA221" s="1277"/>
      <c r="DB221" s="1277"/>
      <c r="DC221" s="1277"/>
      <c r="DD221" s="1277"/>
      <c r="DE221" s="1277"/>
      <c r="DF221" s="1277"/>
      <c r="DG221" s="1277"/>
      <c r="DH221" s="1277"/>
      <c r="DI221" s="1277"/>
      <c r="DJ221" s="1277"/>
      <c r="DK221" s="1277"/>
      <c r="DL221" s="1277"/>
      <c r="DM221" s="1277"/>
      <c r="DN221" s="1277"/>
      <c r="DO221" s="1277"/>
      <c r="DP221" s="1277"/>
      <c r="DQ221" s="1277"/>
      <c r="DR221" s="1277"/>
      <c r="DS221" s="1277"/>
      <c r="DT221" s="1277"/>
      <c r="DU221" s="1277"/>
      <c r="DV221" s="1277"/>
      <c r="DW221" s="1277"/>
      <c r="DX221" s="1277"/>
      <c r="DY221" s="1277"/>
      <c r="DZ221" s="1277"/>
      <c r="EA221" s="1277"/>
      <c r="EB221" s="1276"/>
      <c r="EC221" s="1276"/>
      <c r="ED221" s="1276"/>
      <c r="EE221" s="1276"/>
      <c r="EF221" s="1276"/>
      <c r="EG221" s="1276"/>
      <c r="EH221" s="1276"/>
      <c r="EI221" s="1276"/>
      <c r="EJ221" s="1276"/>
      <c r="EK221" s="1275"/>
      <c r="EL221" s="1275"/>
      <c r="EM221" s="1313"/>
    </row>
    <row r="222" spans="1:143" s="1271" customFormat="1">
      <c r="A222" s="1262"/>
      <c r="B222" s="1276"/>
      <c r="C222" s="1276"/>
      <c r="D222" s="1276"/>
      <c r="E222" s="1276"/>
      <c r="F222" s="1276"/>
      <c r="G222" s="1276"/>
      <c r="H222" s="1276"/>
      <c r="I222" s="1276"/>
      <c r="J222" s="1276"/>
      <c r="K222" s="1276"/>
      <c r="L222" s="1276"/>
      <c r="M222" s="1276"/>
      <c r="N222" s="1276"/>
      <c r="O222" s="1276"/>
      <c r="P222" s="1276"/>
      <c r="Q222" s="1276"/>
      <c r="R222" s="1276"/>
      <c r="S222" s="1276"/>
      <c r="T222" s="1276"/>
      <c r="U222" s="1276"/>
      <c r="V222" s="1276"/>
      <c r="W222" s="1277"/>
      <c r="X222" s="1277"/>
      <c r="Y222" s="1277"/>
      <c r="Z222" s="1277"/>
      <c r="AA222" s="1277"/>
      <c r="AB222" s="1277"/>
      <c r="AC222" s="1277"/>
      <c r="AD222" s="1277"/>
      <c r="AE222" s="1277"/>
      <c r="AF222" s="1277"/>
      <c r="AG222" s="1277"/>
      <c r="AH222" s="1277"/>
      <c r="AI222" s="1277"/>
      <c r="AJ222" s="1277"/>
      <c r="AK222" s="1277"/>
      <c r="AL222" s="1277"/>
      <c r="AM222" s="1277"/>
      <c r="AN222" s="1277"/>
      <c r="AO222" s="1277"/>
      <c r="AP222" s="1277"/>
      <c r="AQ222" s="1277"/>
      <c r="AR222" s="1277"/>
      <c r="AS222" s="1277"/>
      <c r="AT222" s="1277"/>
      <c r="AU222" s="1277"/>
      <c r="AV222" s="1277"/>
      <c r="AW222" s="1277"/>
      <c r="AX222" s="1277"/>
      <c r="AY222" s="1277"/>
      <c r="AZ222" s="1277"/>
      <c r="BA222" s="1277"/>
      <c r="BB222" s="1277"/>
      <c r="BC222" s="1277"/>
      <c r="BD222" s="1277"/>
      <c r="BE222" s="1277"/>
      <c r="BF222" s="1277"/>
      <c r="BG222" s="1277"/>
      <c r="BH222" s="1277"/>
      <c r="BI222" s="1277"/>
      <c r="BJ222" s="1277"/>
      <c r="BK222" s="1277"/>
      <c r="BL222" s="1277"/>
      <c r="BM222" s="1277"/>
      <c r="BN222" s="1277"/>
      <c r="BO222" s="1277"/>
      <c r="BP222" s="1277"/>
      <c r="BQ222" s="1277"/>
      <c r="BR222" s="1277"/>
      <c r="BS222" s="1277"/>
      <c r="BT222" s="1277"/>
      <c r="BU222" s="1277"/>
      <c r="BV222" s="1277"/>
      <c r="BW222" s="1277"/>
      <c r="BX222" s="1277"/>
      <c r="BY222" s="1277"/>
      <c r="BZ222" s="1277"/>
      <c r="CA222" s="1277"/>
      <c r="CB222" s="1277"/>
      <c r="CC222" s="1277"/>
      <c r="CD222" s="1277"/>
      <c r="CE222" s="1277"/>
      <c r="CF222" s="1277"/>
      <c r="CG222" s="1277"/>
      <c r="CH222" s="1269"/>
      <c r="CI222" s="1277"/>
      <c r="CJ222" s="1277"/>
      <c r="CK222" s="1277"/>
      <c r="CL222" s="1277"/>
      <c r="CM222" s="1277"/>
      <c r="CN222" s="1277"/>
      <c r="CO222" s="1277"/>
      <c r="CP222" s="1277"/>
      <c r="CQ222" s="1277"/>
      <c r="CR222" s="1277"/>
      <c r="CS222" s="1277"/>
      <c r="CT222" s="1277"/>
      <c r="CU222" s="1277"/>
      <c r="CV222" s="1277"/>
      <c r="CW222" s="1277"/>
      <c r="CX222" s="1277"/>
      <c r="CY222" s="1277"/>
      <c r="CZ222" s="1277"/>
      <c r="DA222" s="1277"/>
      <c r="DB222" s="1277"/>
      <c r="DC222" s="1277"/>
      <c r="DD222" s="1277"/>
      <c r="DE222" s="1277"/>
      <c r="DF222" s="1277"/>
      <c r="DG222" s="1277"/>
      <c r="DH222" s="1277"/>
      <c r="DI222" s="1277"/>
      <c r="DJ222" s="1277"/>
      <c r="DK222" s="1277"/>
      <c r="DL222" s="1277"/>
      <c r="DM222" s="1277"/>
      <c r="DN222" s="1277"/>
      <c r="DO222" s="1277"/>
      <c r="DP222" s="1277"/>
      <c r="DQ222" s="1277"/>
      <c r="DR222" s="1277"/>
      <c r="DS222" s="1277"/>
      <c r="DT222" s="1277"/>
      <c r="DU222" s="1277"/>
      <c r="DV222" s="1277"/>
      <c r="DW222" s="1277"/>
      <c r="DX222" s="1277"/>
      <c r="DY222" s="1277"/>
      <c r="DZ222" s="1277"/>
      <c r="EA222" s="1277"/>
      <c r="EB222" s="1276"/>
      <c r="EC222" s="1276"/>
      <c r="ED222" s="1276"/>
      <c r="EE222" s="1276"/>
      <c r="EF222" s="1276"/>
      <c r="EG222" s="1276"/>
      <c r="EH222" s="1276"/>
      <c r="EI222" s="1276"/>
      <c r="EJ222" s="1276"/>
      <c r="EK222" s="1275"/>
      <c r="EL222" s="1275"/>
      <c r="EM222" s="1313"/>
    </row>
    <row r="223" spans="1:143" s="1271" customFormat="1">
      <c r="B223" s="1272"/>
      <c r="C223" s="1272"/>
      <c r="D223" s="1273"/>
      <c r="E223" s="1273"/>
      <c r="F223" s="1273"/>
      <c r="G223" s="1273"/>
      <c r="H223" s="1273"/>
      <c r="I223" s="1273"/>
      <c r="J223" s="1273"/>
      <c r="K223" s="1273"/>
      <c r="L223" s="1273"/>
      <c r="M223" s="1273"/>
      <c r="N223" s="1273"/>
      <c r="O223" s="1273"/>
      <c r="P223" s="1273"/>
      <c r="Q223" s="1273"/>
      <c r="R223" s="1273"/>
      <c r="S223" s="1273"/>
      <c r="T223" s="1273"/>
      <c r="U223" s="1273"/>
      <c r="V223" s="1273"/>
      <c r="W223" s="1274"/>
      <c r="X223" s="1274"/>
      <c r="Y223" s="1274"/>
      <c r="Z223" s="1274"/>
      <c r="AA223" s="1274"/>
      <c r="AB223" s="1274"/>
      <c r="AC223" s="1274"/>
      <c r="AD223" s="1274"/>
      <c r="AE223" s="1274"/>
      <c r="AF223" s="1274"/>
      <c r="AG223" s="1274"/>
      <c r="AH223" s="1274"/>
      <c r="AI223" s="1274"/>
      <c r="AJ223" s="1274"/>
      <c r="AK223" s="1274"/>
      <c r="AL223" s="1274"/>
      <c r="AM223" s="1274"/>
      <c r="AN223" s="1274"/>
      <c r="AO223" s="1274"/>
      <c r="AP223" s="1274"/>
      <c r="AQ223" s="1274"/>
      <c r="AR223" s="1274"/>
      <c r="AS223" s="1274"/>
      <c r="AT223" s="1274"/>
      <c r="AU223" s="1274"/>
      <c r="AV223" s="1274"/>
      <c r="AW223" s="1274"/>
      <c r="AX223" s="1274"/>
      <c r="AY223" s="1274"/>
      <c r="AZ223" s="1274"/>
      <c r="BA223" s="1274"/>
      <c r="BB223" s="1274"/>
      <c r="BC223" s="1274"/>
      <c r="BD223" s="1274"/>
      <c r="BE223" s="1274"/>
      <c r="BF223" s="1274"/>
      <c r="BG223" s="1274"/>
      <c r="BH223" s="1274"/>
      <c r="BI223" s="1274"/>
      <c r="BJ223" s="1274"/>
      <c r="BK223" s="1274"/>
      <c r="BL223" s="1274"/>
      <c r="BM223" s="1274"/>
      <c r="BN223" s="1274"/>
      <c r="BO223" s="1274"/>
      <c r="BP223" s="1274"/>
      <c r="BQ223" s="1274"/>
      <c r="BR223" s="1274"/>
      <c r="BS223" s="1274"/>
      <c r="BT223" s="1274"/>
      <c r="BU223" s="1274"/>
      <c r="BV223" s="1274"/>
      <c r="BW223" s="1274"/>
      <c r="BX223" s="1274"/>
      <c r="BY223" s="1274"/>
      <c r="BZ223" s="1274"/>
      <c r="CA223" s="1274"/>
      <c r="CB223" s="1274"/>
      <c r="CC223" s="1274"/>
      <c r="CD223" s="1274"/>
      <c r="CE223" s="1274"/>
      <c r="CF223" s="1274"/>
      <c r="CG223" s="1274"/>
      <c r="CH223" s="1269"/>
      <c r="CI223" s="1274"/>
      <c r="CJ223" s="1274"/>
      <c r="CK223" s="1274"/>
      <c r="CL223" s="1274"/>
      <c r="CM223" s="1274"/>
      <c r="CN223" s="1274"/>
      <c r="CO223" s="1274"/>
      <c r="CP223" s="1274"/>
      <c r="CQ223" s="1274"/>
      <c r="CR223" s="1274"/>
      <c r="CS223" s="1274"/>
      <c r="CT223" s="1274"/>
      <c r="CU223" s="1274"/>
      <c r="CV223" s="1274"/>
      <c r="CW223" s="1274"/>
      <c r="CX223" s="1274"/>
      <c r="CY223" s="1274"/>
      <c r="CZ223" s="1274"/>
      <c r="DA223" s="1274"/>
      <c r="DB223" s="1274"/>
      <c r="DC223" s="1274"/>
      <c r="DD223" s="1274"/>
      <c r="DE223" s="1274"/>
      <c r="DF223" s="1274"/>
      <c r="DG223" s="1274"/>
      <c r="DH223" s="1274"/>
      <c r="DI223" s="1274"/>
      <c r="DJ223" s="1274"/>
      <c r="DK223" s="1274"/>
      <c r="DL223" s="1274"/>
      <c r="DM223" s="1274"/>
      <c r="DN223" s="1274"/>
      <c r="DO223" s="1274"/>
      <c r="DP223" s="1274"/>
      <c r="DQ223" s="1274"/>
      <c r="DR223" s="1274"/>
      <c r="DS223" s="1274"/>
      <c r="DT223" s="1274"/>
      <c r="DU223" s="1274"/>
      <c r="DV223" s="1274"/>
      <c r="DW223" s="1274"/>
      <c r="DX223" s="1274"/>
      <c r="DY223" s="1274"/>
      <c r="DZ223" s="1274"/>
      <c r="EA223" s="1274"/>
      <c r="EB223" s="1273"/>
      <c r="EC223" s="1273"/>
      <c r="ED223" s="1273"/>
      <c r="EE223" s="1273"/>
      <c r="EF223" s="1273"/>
      <c r="EG223" s="1273"/>
      <c r="EH223" s="1273"/>
      <c r="EI223" s="1273"/>
      <c r="EJ223" s="1273"/>
      <c r="EK223" s="1273"/>
      <c r="EL223" s="1273"/>
      <c r="EM223" s="1313"/>
    </row>
    <row r="224" spans="1:143" s="1271" customFormat="1">
      <c r="B224" s="1272"/>
      <c r="C224" s="1272"/>
      <c r="D224" s="1273"/>
      <c r="E224" s="1273"/>
      <c r="F224" s="1273"/>
      <c r="G224" s="1273"/>
      <c r="H224" s="1273"/>
      <c r="I224" s="1273"/>
      <c r="J224" s="1273"/>
      <c r="K224" s="1273"/>
      <c r="L224" s="1273"/>
      <c r="M224" s="1273"/>
      <c r="N224" s="1273"/>
      <c r="O224" s="1273"/>
      <c r="P224" s="1273"/>
      <c r="Q224" s="1273"/>
      <c r="R224" s="1273"/>
      <c r="S224" s="1273"/>
      <c r="T224" s="1273"/>
      <c r="U224" s="1273"/>
      <c r="V224" s="1273"/>
      <c r="W224" s="1274"/>
      <c r="X224" s="1274"/>
      <c r="Y224" s="1274"/>
      <c r="Z224" s="1274"/>
      <c r="AA224" s="1274"/>
      <c r="AB224" s="1274"/>
      <c r="AC224" s="1274"/>
      <c r="AD224" s="1274"/>
      <c r="AE224" s="1274"/>
      <c r="AF224" s="1274"/>
      <c r="AG224" s="1274"/>
      <c r="AH224" s="1274"/>
      <c r="AI224" s="1274"/>
      <c r="AJ224" s="1274"/>
      <c r="AK224" s="1274"/>
      <c r="AL224" s="1274"/>
      <c r="AM224" s="1274"/>
      <c r="AN224" s="1274"/>
      <c r="AO224" s="1274"/>
      <c r="AP224" s="1274"/>
      <c r="AQ224" s="1274"/>
      <c r="AR224" s="1274"/>
      <c r="AS224" s="1274"/>
      <c r="AT224" s="1274"/>
      <c r="AU224" s="1274"/>
      <c r="AV224" s="1274"/>
      <c r="AW224" s="1274"/>
      <c r="AX224" s="1274"/>
      <c r="AY224" s="1274"/>
      <c r="AZ224" s="1274"/>
      <c r="BA224" s="1274"/>
      <c r="BB224" s="1274"/>
      <c r="BC224" s="1274"/>
      <c r="BD224" s="1274"/>
      <c r="BE224" s="1274"/>
      <c r="BF224" s="1274"/>
      <c r="BG224" s="1274"/>
      <c r="BH224" s="1274"/>
      <c r="BI224" s="1274"/>
      <c r="BJ224" s="1274"/>
      <c r="BK224" s="1274"/>
      <c r="BL224" s="1274"/>
      <c r="BM224" s="1274"/>
      <c r="BN224" s="1274"/>
      <c r="BO224" s="1274"/>
      <c r="BP224" s="1274"/>
      <c r="BQ224" s="1274"/>
      <c r="BR224" s="1274"/>
      <c r="BS224" s="1274"/>
      <c r="BT224" s="1274"/>
      <c r="BU224" s="1274"/>
      <c r="BV224" s="1274"/>
      <c r="BW224" s="1274"/>
      <c r="BX224" s="1274"/>
      <c r="BY224" s="1274"/>
      <c r="BZ224" s="1274"/>
      <c r="CA224" s="1274"/>
      <c r="CB224" s="1274"/>
      <c r="CC224" s="1274"/>
      <c r="CD224" s="1274"/>
      <c r="CE224" s="1274"/>
      <c r="CF224" s="1274"/>
      <c r="CG224" s="1274"/>
      <c r="CH224" s="1269"/>
      <c r="CI224" s="1274"/>
      <c r="CJ224" s="1274"/>
      <c r="CK224" s="1274"/>
      <c r="CL224" s="1274"/>
      <c r="CM224" s="1274"/>
      <c r="CN224" s="1274"/>
      <c r="CO224" s="1274"/>
      <c r="CP224" s="1274"/>
      <c r="CQ224" s="1274"/>
      <c r="CR224" s="1274"/>
      <c r="CS224" s="1274"/>
      <c r="CT224" s="1274"/>
      <c r="CU224" s="1274"/>
      <c r="CV224" s="1274"/>
      <c r="CW224" s="1274"/>
      <c r="CX224" s="1274"/>
      <c r="CY224" s="1274"/>
      <c r="CZ224" s="1274"/>
      <c r="DA224" s="1274"/>
      <c r="DB224" s="1274"/>
      <c r="DC224" s="1274"/>
      <c r="DD224" s="1274"/>
      <c r="DE224" s="1274"/>
      <c r="DF224" s="1274"/>
      <c r="DG224" s="1274"/>
      <c r="DH224" s="1274"/>
      <c r="DI224" s="1274"/>
      <c r="DJ224" s="1274"/>
      <c r="DK224" s="1274"/>
      <c r="DL224" s="1274"/>
      <c r="DM224" s="1274"/>
      <c r="DN224" s="1274"/>
      <c r="DO224" s="1274"/>
      <c r="DP224" s="1274"/>
      <c r="DQ224" s="1274"/>
      <c r="DR224" s="1274"/>
      <c r="DS224" s="1274"/>
      <c r="DT224" s="1274"/>
      <c r="DU224" s="1274"/>
      <c r="DV224" s="1274"/>
      <c r="DW224" s="1274"/>
      <c r="DX224" s="1274"/>
      <c r="DY224" s="1274"/>
      <c r="DZ224" s="1274"/>
      <c r="EA224" s="1274"/>
      <c r="EB224" s="1273"/>
      <c r="EC224" s="1273"/>
      <c r="ED224" s="1273"/>
      <c r="EE224" s="1273"/>
      <c r="EF224" s="1273"/>
      <c r="EG224" s="1273"/>
      <c r="EH224" s="1273"/>
      <c r="EI224" s="1273"/>
      <c r="EJ224" s="1273"/>
      <c r="EK224" s="1273"/>
      <c r="EL224" s="1273"/>
      <c r="EM224" s="1313"/>
    </row>
    <row r="225" spans="1:143" s="1271" customFormat="1">
      <c r="B225" s="1272"/>
      <c r="C225" s="1272"/>
      <c r="D225" s="1273"/>
      <c r="E225" s="1273"/>
      <c r="F225" s="1273"/>
      <c r="G225" s="1273"/>
      <c r="H225" s="1273"/>
      <c r="I225" s="1273"/>
      <c r="J225" s="1273"/>
      <c r="K225" s="1273"/>
      <c r="L225" s="1273"/>
      <c r="M225" s="1273"/>
      <c r="N225" s="1273"/>
      <c r="O225" s="1273"/>
      <c r="P225" s="1273"/>
      <c r="Q225" s="1273"/>
      <c r="R225" s="1273"/>
      <c r="S225" s="1273"/>
      <c r="T225" s="1273"/>
      <c r="U225" s="1273"/>
      <c r="V225" s="1273"/>
      <c r="W225" s="1274"/>
      <c r="X225" s="1274"/>
      <c r="Y225" s="1274"/>
      <c r="Z225" s="1274"/>
      <c r="AA225" s="1274"/>
      <c r="AB225" s="1274"/>
      <c r="AC225" s="1274"/>
      <c r="AD225" s="1274"/>
      <c r="AE225" s="1274"/>
      <c r="AF225" s="1274"/>
      <c r="AG225" s="1274"/>
      <c r="AH225" s="1274"/>
      <c r="AI225" s="1274"/>
      <c r="AJ225" s="1274"/>
      <c r="AK225" s="1274"/>
      <c r="AL225" s="1274"/>
      <c r="AM225" s="1274"/>
      <c r="AN225" s="1274"/>
      <c r="AO225" s="1274"/>
      <c r="AP225" s="1274"/>
      <c r="AQ225" s="1274"/>
      <c r="AR225" s="1274"/>
      <c r="AS225" s="1274"/>
      <c r="AT225" s="1274"/>
      <c r="AU225" s="1274"/>
      <c r="AV225" s="1274"/>
      <c r="AW225" s="1274"/>
      <c r="AX225" s="1274"/>
      <c r="AY225" s="1274"/>
      <c r="AZ225" s="1274"/>
      <c r="BA225" s="1274"/>
      <c r="BB225" s="1274"/>
      <c r="BC225" s="1274"/>
      <c r="BD225" s="1274"/>
      <c r="BE225" s="1274"/>
      <c r="BF225" s="1274"/>
      <c r="BG225" s="1274"/>
      <c r="BH225" s="1274"/>
      <c r="BI225" s="1274"/>
      <c r="BJ225" s="1274"/>
      <c r="BK225" s="1274"/>
      <c r="BL225" s="1274"/>
      <c r="BM225" s="1274"/>
      <c r="BN225" s="1274"/>
      <c r="BO225" s="1274"/>
      <c r="BP225" s="1274"/>
      <c r="BQ225" s="1274"/>
      <c r="BR225" s="1274"/>
      <c r="BS225" s="1274"/>
      <c r="BT225" s="1274"/>
      <c r="BU225" s="1274"/>
      <c r="BV225" s="1274"/>
      <c r="BW225" s="1274"/>
      <c r="BX225" s="1274"/>
      <c r="BY225" s="1274"/>
      <c r="BZ225" s="1274"/>
      <c r="CA225" s="1274"/>
      <c r="CB225" s="1274"/>
      <c r="CC225" s="1274"/>
      <c r="CD225" s="1274"/>
      <c r="CE225" s="1274"/>
      <c r="CF225" s="1274"/>
      <c r="CG225" s="1274"/>
      <c r="CH225" s="1269"/>
      <c r="CI225" s="1274"/>
      <c r="CJ225" s="1274"/>
      <c r="CK225" s="1274"/>
      <c r="CL225" s="1274"/>
      <c r="CM225" s="1274"/>
      <c r="CN225" s="1274"/>
      <c r="CO225" s="1274"/>
      <c r="CP225" s="1274"/>
      <c r="CQ225" s="1274"/>
      <c r="CR225" s="1274"/>
      <c r="CS225" s="1274"/>
      <c r="CT225" s="1274"/>
      <c r="CU225" s="1274"/>
      <c r="CV225" s="1274"/>
      <c r="CW225" s="1274"/>
      <c r="CX225" s="1274"/>
      <c r="CY225" s="1274"/>
      <c r="CZ225" s="1274"/>
      <c r="DA225" s="1274"/>
      <c r="DB225" s="1274"/>
      <c r="DC225" s="1274"/>
      <c r="DD225" s="1274"/>
      <c r="DE225" s="1274"/>
      <c r="DF225" s="1274"/>
      <c r="DG225" s="1274"/>
      <c r="DH225" s="1274"/>
      <c r="DI225" s="1274"/>
      <c r="DJ225" s="1274"/>
      <c r="DK225" s="1274"/>
      <c r="DL225" s="1274"/>
      <c r="DM225" s="1274"/>
      <c r="DN225" s="1274"/>
      <c r="DO225" s="1274"/>
      <c r="DP225" s="1274"/>
      <c r="DQ225" s="1274"/>
      <c r="DR225" s="1274"/>
      <c r="DS225" s="1274"/>
      <c r="DT225" s="1274"/>
      <c r="DU225" s="1274"/>
      <c r="DV225" s="1274"/>
      <c r="DW225" s="1274"/>
      <c r="DX225" s="1274"/>
      <c r="DY225" s="1274"/>
      <c r="DZ225" s="1274"/>
      <c r="EA225" s="1274"/>
      <c r="EB225" s="1273"/>
      <c r="EC225" s="1273"/>
      <c r="ED225" s="1273"/>
      <c r="EE225" s="1273"/>
      <c r="EF225" s="1273"/>
      <c r="EG225" s="1273"/>
      <c r="EH225" s="1273"/>
      <c r="EI225" s="1273"/>
      <c r="EJ225" s="1273"/>
      <c r="EK225" s="1273"/>
      <c r="EL225" s="1273"/>
      <c r="EM225" s="1313"/>
    </row>
    <row r="226" spans="1:143" s="1271" customFormat="1">
      <c r="B226" s="1272"/>
      <c r="C226" s="1272"/>
      <c r="D226" s="1273"/>
      <c r="E226" s="1273"/>
      <c r="F226" s="1273"/>
      <c r="G226" s="1273"/>
      <c r="H226" s="1273"/>
      <c r="I226" s="1273"/>
      <c r="J226" s="1273"/>
      <c r="K226" s="1273"/>
      <c r="L226" s="1273"/>
      <c r="M226" s="1273"/>
      <c r="N226" s="1273"/>
      <c r="O226" s="1273"/>
      <c r="P226" s="1273"/>
      <c r="Q226" s="1273"/>
      <c r="R226" s="1273"/>
      <c r="S226" s="1273"/>
      <c r="T226" s="1273"/>
      <c r="U226" s="1273"/>
      <c r="V226" s="1273"/>
      <c r="W226" s="1274"/>
      <c r="X226" s="1274"/>
      <c r="Y226" s="1274"/>
      <c r="Z226" s="1274"/>
      <c r="AA226" s="1274"/>
      <c r="AB226" s="1274"/>
      <c r="AC226" s="1274"/>
      <c r="AD226" s="1274"/>
      <c r="AE226" s="1274"/>
      <c r="AF226" s="1274"/>
      <c r="AG226" s="1274"/>
      <c r="AH226" s="1274"/>
      <c r="AI226" s="1274"/>
      <c r="AJ226" s="1274"/>
      <c r="AK226" s="1274"/>
      <c r="AL226" s="1274"/>
      <c r="AM226" s="1274"/>
      <c r="AN226" s="1274"/>
      <c r="AO226" s="1274"/>
      <c r="AP226" s="1274"/>
      <c r="AQ226" s="1274"/>
      <c r="AR226" s="1274"/>
      <c r="AS226" s="1274"/>
      <c r="AT226" s="1274"/>
      <c r="AU226" s="1274"/>
      <c r="AV226" s="1274"/>
      <c r="AW226" s="1274"/>
      <c r="AX226" s="1274"/>
      <c r="AY226" s="1274"/>
      <c r="AZ226" s="1274"/>
      <c r="BA226" s="1274"/>
      <c r="BB226" s="1274"/>
      <c r="BC226" s="1274"/>
      <c r="BD226" s="1274"/>
      <c r="BE226" s="1274"/>
      <c r="BF226" s="1274"/>
      <c r="BG226" s="1274"/>
      <c r="BH226" s="1274"/>
      <c r="BI226" s="1274"/>
      <c r="BJ226" s="1274"/>
      <c r="BK226" s="1274"/>
      <c r="BL226" s="1274"/>
      <c r="BM226" s="1274"/>
      <c r="BN226" s="1274"/>
      <c r="BO226" s="1274"/>
      <c r="BP226" s="1274"/>
      <c r="BQ226" s="1274"/>
      <c r="BR226" s="1274"/>
      <c r="BS226" s="1274"/>
      <c r="BT226" s="1274"/>
      <c r="BU226" s="1274"/>
      <c r="BV226" s="1274"/>
      <c r="BW226" s="1274"/>
      <c r="BX226" s="1274"/>
      <c r="BY226" s="1274"/>
      <c r="BZ226" s="1274"/>
      <c r="CA226" s="1274"/>
      <c r="CB226" s="1274"/>
      <c r="CC226" s="1274"/>
      <c r="CD226" s="1274"/>
      <c r="CE226" s="1274"/>
      <c r="CF226" s="1274"/>
      <c r="CG226" s="1274"/>
      <c r="CH226" s="1269"/>
      <c r="CI226" s="1274"/>
      <c r="CJ226" s="1274"/>
      <c r="CK226" s="1274"/>
      <c r="CL226" s="1274"/>
      <c r="CM226" s="1274"/>
      <c r="CN226" s="1274"/>
      <c r="CO226" s="1274"/>
      <c r="CP226" s="1274"/>
      <c r="CQ226" s="1274"/>
      <c r="CR226" s="1274"/>
      <c r="CS226" s="1274"/>
      <c r="CT226" s="1274"/>
      <c r="CU226" s="1274"/>
      <c r="CV226" s="1274"/>
      <c r="CW226" s="1274"/>
      <c r="CX226" s="1274"/>
      <c r="CY226" s="1274"/>
      <c r="CZ226" s="1274"/>
      <c r="DA226" s="1274"/>
      <c r="DB226" s="1274"/>
      <c r="DC226" s="1274"/>
      <c r="DD226" s="1274"/>
      <c r="DE226" s="1274"/>
      <c r="DF226" s="1274"/>
      <c r="DG226" s="1274"/>
      <c r="DH226" s="1274"/>
      <c r="DI226" s="1274"/>
      <c r="DJ226" s="1274"/>
      <c r="DK226" s="1274"/>
      <c r="DL226" s="1274"/>
      <c r="DM226" s="1274"/>
      <c r="DN226" s="1274"/>
      <c r="DO226" s="1274"/>
      <c r="DP226" s="1274"/>
      <c r="DQ226" s="1274"/>
      <c r="DR226" s="1274"/>
      <c r="DS226" s="1274"/>
      <c r="DT226" s="1274"/>
      <c r="DU226" s="1274"/>
      <c r="DV226" s="1274"/>
      <c r="DW226" s="1274"/>
      <c r="DX226" s="1274"/>
      <c r="DY226" s="1274"/>
      <c r="DZ226" s="1274"/>
      <c r="EA226" s="1274"/>
      <c r="EB226" s="1273"/>
      <c r="EC226" s="1273"/>
      <c r="ED226" s="1273"/>
      <c r="EE226" s="1273"/>
      <c r="EF226" s="1273"/>
      <c r="EG226" s="1273"/>
      <c r="EH226" s="1273"/>
      <c r="EI226" s="1273"/>
      <c r="EJ226" s="1273"/>
      <c r="EK226" s="1273"/>
      <c r="EL226" s="1273"/>
      <c r="EM226" s="1313"/>
    </row>
    <row r="227" spans="1:143" s="1271" customFormat="1">
      <c r="B227" s="1272"/>
      <c r="C227" s="1272"/>
      <c r="D227" s="1273"/>
      <c r="E227" s="1273"/>
      <c r="F227" s="1273"/>
      <c r="G227" s="1273"/>
      <c r="H227" s="1273"/>
      <c r="I227" s="1273"/>
      <c r="J227" s="1273"/>
      <c r="K227" s="1273"/>
      <c r="L227" s="1273"/>
      <c r="M227" s="1273"/>
      <c r="N227" s="1273"/>
      <c r="O227" s="1273"/>
      <c r="P227" s="1273"/>
      <c r="Q227" s="1273"/>
      <c r="R227" s="1273"/>
      <c r="S227" s="1273"/>
      <c r="T227" s="1273"/>
      <c r="U227" s="1273"/>
      <c r="V227" s="1273"/>
      <c r="W227" s="1274"/>
      <c r="X227" s="1274"/>
      <c r="Y227" s="1274"/>
      <c r="Z227" s="1274"/>
      <c r="AA227" s="1274"/>
      <c r="AB227" s="1274"/>
      <c r="AC227" s="1274"/>
      <c r="AD227" s="1274"/>
      <c r="AE227" s="1274"/>
      <c r="AF227" s="1274"/>
      <c r="AG227" s="1274"/>
      <c r="AH227" s="1274"/>
      <c r="AI227" s="1274"/>
      <c r="AJ227" s="1274"/>
      <c r="AK227" s="1274"/>
      <c r="AL227" s="1274"/>
      <c r="AM227" s="1274"/>
      <c r="AN227" s="1274"/>
      <c r="AO227" s="1274"/>
      <c r="AP227" s="1274"/>
      <c r="AQ227" s="1274"/>
      <c r="AR227" s="1274"/>
      <c r="AS227" s="1274"/>
      <c r="AT227" s="1274"/>
      <c r="AU227" s="1274"/>
      <c r="AV227" s="1274"/>
      <c r="AW227" s="1274"/>
      <c r="AX227" s="1274"/>
      <c r="AY227" s="1274"/>
      <c r="AZ227" s="1274"/>
      <c r="BA227" s="1274"/>
      <c r="BB227" s="1274"/>
      <c r="BC227" s="1274"/>
      <c r="BD227" s="1274"/>
      <c r="BE227" s="1274"/>
      <c r="BF227" s="1274"/>
      <c r="BG227" s="1274"/>
      <c r="BH227" s="1274"/>
      <c r="BI227" s="1274"/>
      <c r="BJ227" s="1274"/>
      <c r="BK227" s="1274"/>
      <c r="BL227" s="1274"/>
      <c r="BM227" s="1274"/>
      <c r="BN227" s="1274"/>
      <c r="BO227" s="1274"/>
      <c r="BP227" s="1274"/>
      <c r="BQ227" s="1274"/>
      <c r="BR227" s="1274"/>
      <c r="BS227" s="1274"/>
      <c r="BT227" s="1274"/>
      <c r="BU227" s="1274"/>
      <c r="BV227" s="1274"/>
      <c r="BW227" s="1274"/>
      <c r="BX227" s="1274"/>
      <c r="BY227" s="1274"/>
      <c r="BZ227" s="1274"/>
      <c r="CA227" s="1274"/>
      <c r="CB227" s="1274"/>
      <c r="CC227" s="1274"/>
      <c r="CD227" s="1274"/>
      <c r="CE227" s="1274"/>
      <c r="CF227" s="1274"/>
      <c r="CG227" s="1274"/>
      <c r="CH227" s="1269"/>
      <c r="CI227" s="1274"/>
      <c r="CJ227" s="1274"/>
      <c r="CK227" s="1274"/>
      <c r="CL227" s="1274"/>
      <c r="CM227" s="1274"/>
      <c r="CN227" s="1274"/>
      <c r="CO227" s="1274"/>
      <c r="CP227" s="1274"/>
      <c r="CQ227" s="1274"/>
      <c r="CR227" s="1274"/>
      <c r="CS227" s="1274"/>
      <c r="CT227" s="1274"/>
      <c r="CU227" s="1274"/>
      <c r="CV227" s="1274"/>
      <c r="CW227" s="1274"/>
      <c r="CX227" s="1274"/>
      <c r="CY227" s="1274"/>
      <c r="CZ227" s="1274"/>
      <c r="DA227" s="1274"/>
      <c r="DB227" s="1274"/>
      <c r="DC227" s="1274"/>
      <c r="DD227" s="1274"/>
      <c r="DE227" s="1274"/>
      <c r="DF227" s="1274"/>
      <c r="DG227" s="1274"/>
      <c r="DH227" s="1274"/>
      <c r="DI227" s="1274"/>
      <c r="DJ227" s="1274"/>
      <c r="DK227" s="1274"/>
      <c r="DL227" s="1274"/>
      <c r="DM227" s="1274"/>
      <c r="DN227" s="1274"/>
      <c r="DO227" s="1274"/>
      <c r="DP227" s="1274"/>
      <c r="DQ227" s="1274"/>
      <c r="DR227" s="1274"/>
      <c r="DS227" s="1274"/>
      <c r="DT227" s="1274"/>
      <c r="DU227" s="1274"/>
      <c r="DV227" s="1274"/>
      <c r="DW227" s="1274"/>
      <c r="DX227" s="1274"/>
      <c r="DY227" s="1274"/>
      <c r="DZ227" s="1274"/>
      <c r="EA227" s="1274"/>
      <c r="EB227" s="1273"/>
      <c r="EC227" s="1273"/>
      <c r="ED227" s="1273"/>
      <c r="EE227" s="1273"/>
      <c r="EF227" s="1273"/>
      <c r="EG227" s="1273"/>
      <c r="EH227" s="1273"/>
      <c r="EI227" s="1273"/>
      <c r="EJ227" s="1273"/>
      <c r="EK227" s="1273"/>
      <c r="EL227" s="1273"/>
      <c r="EM227" s="1313"/>
    </row>
    <row r="228" spans="1:143" s="1271" customFormat="1">
      <c r="B228" s="1272"/>
      <c r="C228" s="1272"/>
      <c r="D228" s="1273"/>
      <c r="E228" s="1273"/>
      <c r="F228" s="1273"/>
      <c r="G228" s="1273"/>
      <c r="H228" s="1273"/>
      <c r="I228" s="1273"/>
      <c r="J228" s="1273"/>
      <c r="K228" s="1273"/>
      <c r="L228" s="1273"/>
      <c r="M228" s="1273"/>
      <c r="N228" s="1273"/>
      <c r="O228" s="1273"/>
      <c r="P228" s="1273"/>
      <c r="Q228" s="1273"/>
      <c r="R228" s="1273"/>
      <c r="S228" s="1273"/>
      <c r="T228" s="1273"/>
      <c r="U228" s="1273"/>
      <c r="V228" s="1273"/>
      <c r="W228" s="1274"/>
      <c r="X228" s="1274"/>
      <c r="Y228" s="1274"/>
      <c r="Z228" s="1274"/>
      <c r="AA228" s="1274"/>
      <c r="AB228" s="1274"/>
      <c r="AC228" s="1274"/>
      <c r="AD228" s="1274"/>
      <c r="AE228" s="1274"/>
      <c r="AF228" s="1274"/>
      <c r="AG228" s="1274"/>
      <c r="AH228" s="1274"/>
      <c r="AI228" s="1274"/>
      <c r="AJ228" s="1274"/>
      <c r="AK228" s="1274"/>
      <c r="AL228" s="1274"/>
      <c r="AM228" s="1274"/>
      <c r="AN228" s="1274"/>
      <c r="AO228" s="1274"/>
      <c r="AP228" s="1274"/>
      <c r="AQ228" s="1274"/>
      <c r="AR228" s="1274"/>
      <c r="AS228" s="1274"/>
      <c r="AT228" s="1274"/>
      <c r="AU228" s="1274"/>
      <c r="AV228" s="1274"/>
      <c r="AW228" s="1274"/>
      <c r="AX228" s="1274"/>
      <c r="AY228" s="1274"/>
      <c r="AZ228" s="1274"/>
      <c r="BA228" s="1274"/>
      <c r="BB228" s="1274"/>
      <c r="BC228" s="1274"/>
      <c r="BD228" s="1274"/>
      <c r="BE228" s="1274"/>
      <c r="BF228" s="1274"/>
      <c r="BG228" s="1274"/>
      <c r="BH228" s="1274"/>
      <c r="BI228" s="1274"/>
      <c r="BJ228" s="1274"/>
      <c r="BK228" s="1274"/>
      <c r="BL228" s="1274"/>
      <c r="BM228" s="1274"/>
      <c r="BN228" s="1274"/>
      <c r="BO228" s="1274"/>
      <c r="BP228" s="1274"/>
      <c r="BQ228" s="1274"/>
      <c r="BR228" s="1274"/>
      <c r="BS228" s="1274"/>
      <c r="BT228" s="1274"/>
      <c r="BU228" s="1274"/>
      <c r="BV228" s="1274"/>
      <c r="BW228" s="1274"/>
      <c r="BX228" s="1274"/>
      <c r="BY228" s="1274"/>
      <c r="BZ228" s="1274"/>
      <c r="CA228" s="1274"/>
      <c r="CB228" s="1274"/>
      <c r="CC228" s="1274"/>
      <c r="CD228" s="1274"/>
      <c r="CE228" s="1274"/>
      <c r="CF228" s="1274"/>
      <c r="CG228" s="1274"/>
      <c r="CH228" s="1269"/>
      <c r="CI228" s="1274"/>
      <c r="CJ228" s="1274"/>
      <c r="CK228" s="1274"/>
      <c r="CL228" s="1274"/>
      <c r="CM228" s="1274"/>
      <c r="CN228" s="1274"/>
      <c r="CO228" s="1274"/>
      <c r="CP228" s="1274"/>
      <c r="CQ228" s="1274"/>
      <c r="CR228" s="1274"/>
      <c r="CS228" s="1274"/>
      <c r="CT228" s="1274"/>
      <c r="CU228" s="1274"/>
      <c r="CV228" s="1274"/>
      <c r="CW228" s="1274"/>
      <c r="CX228" s="1274"/>
      <c r="CY228" s="1274"/>
      <c r="CZ228" s="1274"/>
      <c r="DA228" s="1274"/>
      <c r="DB228" s="1274"/>
      <c r="DC228" s="1274"/>
      <c r="DD228" s="1274"/>
      <c r="DE228" s="1274"/>
      <c r="DF228" s="1274"/>
      <c r="DG228" s="1274"/>
      <c r="DH228" s="1274"/>
      <c r="DI228" s="1274"/>
      <c r="DJ228" s="1274"/>
      <c r="DK228" s="1274"/>
      <c r="DL228" s="1274"/>
      <c r="DM228" s="1274"/>
      <c r="DN228" s="1274"/>
      <c r="DO228" s="1274"/>
      <c r="DP228" s="1274"/>
      <c r="DQ228" s="1274"/>
      <c r="DR228" s="1274"/>
      <c r="DS228" s="1274"/>
      <c r="DT228" s="1274"/>
      <c r="DU228" s="1274"/>
      <c r="DV228" s="1274"/>
      <c r="DW228" s="1274"/>
      <c r="DX228" s="1274"/>
      <c r="DY228" s="1274"/>
      <c r="DZ228" s="1274"/>
      <c r="EA228" s="1274"/>
      <c r="EB228" s="1273"/>
      <c r="EC228" s="1273"/>
      <c r="ED228" s="1273"/>
      <c r="EE228" s="1273"/>
      <c r="EF228" s="1273"/>
      <c r="EG228" s="1273"/>
      <c r="EH228" s="1273"/>
      <c r="EI228" s="1273"/>
      <c r="EJ228" s="1273"/>
      <c r="EK228" s="1273"/>
      <c r="EL228" s="1273"/>
      <c r="EM228" s="1313"/>
    </row>
    <row r="229" spans="1:143" s="1271" customFormat="1">
      <c r="B229" s="1272"/>
      <c r="C229" s="1272"/>
      <c r="D229" s="1273"/>
      <c r="E229" s="1273"/>
      <c r="F229" s="1273"/>
      <c r="G229" s="1273"/>
      <c r="H229" s="1273"/>
      <c r="I229" s="1273"/>
      <c r="J229" s="1273"/>
      <c r="K229" s="1273"/>
      <c r="L229" s="1273"/>
      <c r="M229" s="1273"/>
      <c r="N229" s="1273"/>
      <c r="O229" s="1273"/>
      <c r="P229" s="1273"/>
      <c r="Q229" s="1273"/>
      <c r="R229" s="1273"/>
      <c r="S229" s="1273"/>
      <c r="T229" s="1273"/>
      <c r="U229" s="1273"/>
      <c r="V229" s="1273"/>
      <c r="W229" s="1274"/>
      <c r="X229" s="1274"/>
      <c r="Y229" s="1274"/>
      <c r="Z229" s="1274"/>
      <c r="AA229" s="1274"/>
      <c r="AB229" s="1274"/>
      <c r="AC229" s="1274"/>
      <c r="AD229" s="1274"/>
      <c r="AE229" s="1274"/>
      <c r="AF229" s="1274"/>
      <c r="AG229" s="1274"/>
      <c r="AH229" s="1274"/>
      <c r="AI229" s="1274"/>
      <c r="AJ229" s="1274"/>
      <c r="AK229" s="1274"/>
      <c r="AL229" s="1274"/>
      <c r="AM229" s="1274"/>
      <c r="AN229" s="1274"/>
      <c r="AO229" s="1274"/>
      <c r="AP229" s="1274"/>
      <c r="AQ229" s="1274"/>
      <c r="AR229" s="1274"/>
      <c r="AS229" s="1274"/>
      <c r="AT229" s="1274"/>
      <c r="AU229" s="1274"/>
      <c r="AV229" s="1274"/>
      <c r="AW229" s="1274"/>
      <c r="AX229" s="1274"/>
      <c r="AY229" s="1274"/>
      <c r="AZ229" s="1274"/>
      <c r="BA229" s="1274"/>
      <c r="BB229" s="1274"/>
      <c r="BC229" s="1274"/>
      <c r="BD229" s="1274"/>
      <c r="BE229" s="1274"/>
      <c r="BF229" s="1274"/>
      <c r="BG229" s="1274"/>
      <c r="BH229" s="1274"/>
      <c r="BI229" s="1274"/>
      <c r="BJ229" s="1274"/>
      <c r="BK229" s="1274"/>
      <c r="BL229" s="1274"/>
      <c r="BM229" s="1274"/>
      <c r="BN229" s="1274"/>
      <c r="BO229" s="1274"/>
      <c r="BP229" s="1274"/>
      <c r="BQ229" s="1274"/>
      <c r="BR229" s="1274"/>
      <c r="BS229" s="1274"/>
      <c r="BT229" s="1274"/>
      <c r="BU229" s="1274"/>
      <c r="BV229" s="1274"/>
      <c r="BW229" s="1274"/>
      <c r="BX229" s="1274"/>
      <c r="BY229" s="1274"/>
      <c r="BZ229" s="1274"/>
      <c r="CA229" s="1274"/>
      <c r="CB229" s="1274"/>
      <c r="CC229" s="1274"/>
      <c r="CD229" s="1274"/>
      <c r="CE229" s="1274"/>
      <c r="CF229" s="1274"/>
      <c r="CG229" s="1274"/>
      <c r="CH229" s="1269"/>
      <c r="CI229" s="1274"/>
      <c r="CJ229" s="1274"/>
      <c r="CK229" s="1274"/>
      <c r="CL229" s="1274"/>
      <c r="CM229" s="1274"/>
      <c r="CN229" s="1274"/>
      <c r="CO229" s="1274"/>
      <c r="CP229" s="1274"/>
      <c r="CQ229" s="1274"/>
      <c r="CR229" s="1274"/>
      <c r="CS229" s="1274"/>
      <c r="CT229" s="1274"/>
      <c r="CU229" s="1274"/>
      <c r="CV229" s="1274"/>
      <c r="CW229" s="1274"/>
      <c r="CX229" s="1274"/>
      <c r="CY229" s="1274"/>
      <c r="CZ229" s="1274"/>
      <c r="DA229" s="1274"/>
      <c r="DB229" s="1274"/>
      <c r="DC229" s="1274"/>
      <c r="DD229" s="1274"/>
      <c r="DE229" s="1274"/>
      <c r="DF229" s="1274"/>
      <c r="DG229" s="1274"/>
      <c r="DH229" s="1274"/>
      <c r="DI229" s="1274"/>
      <c r="DJ229" s="1274"/>
      <c r="DK229" s="1274"/>
      <c r="DL229" s="1274"/>
      <c r="DM229" s="1274"/>
      <c r="DN229" s="1274"/>
      <c r="DO229" s="1274"/>
      <c r="DP229" s="1274"/>
      <c r="DQ229" s="1274"/>
      <c r="DR229" s="1274"/>
      <c r="DS229" s="1274"/>
      <c r="DT229" s="1274"/>
      <c r="DU229" s="1274"/>
      <c r="DV229" s="1274"/>
      <c r="DW229" s="1274"/>
      <c r="DX229" s="1274"/>
      <c r="DY229" s="1274"/>
      <c r="DZ229" s="1274"/>
      <c r="EA229" s="1274"/>
      <c r="EB229" s="1273"/>
      <c r="EC229" s="1273"/>
      <c r="ED229" s="1273"/>
      <c r="EE229" s="1273"/>
      <c r="EF229" s="1273"/>
      <c r="EG229" s="1273"/>
      <c r="EH229" s="1273"/>
      <c r="EI229" s="1273"/>
      <c r="EJ229" s="1273"/>
      <c r="EK229" s="1273"/>
      <c r="EL229" s="1273"/>
      <c r="EM229" s="1313"/>
    </row>
    <row r="230" spans="1:143" s="1271" customFormat="1">
      <c r="A230" s="1284"/>
      <c r="B230" s="1272"/>
      <c r="C230" s="1272"/>
      <c r="D230" s="1273"/>
      <c r="E230" s="1273"/>
      <c r="F230" s="1273"/>
      <c r="G230" s="1273"/>
      <c r="H230" s="1273"/>
      <c r="I230" s="1273"/>
      <c r="J230" s="1273"/>
      <c r="K230" s="1273"/>
      <c r="L230" s="1273"/>
      <c r="M230" s="1273"/>
      <c r="N230" s="1273"/>
      <c r="O230" s="1273"/>
      <c r="P230" s="1273"/>
      <c r="Q230" s="1273"/>
      <c r="R230" s="1273"/>
      <c r="S230" s="1273"/>
      <c r="T230" s="1273"/>
      <c r="U230" s="1273"/>
      <c r="V230" s="1273"/>
      <c r="W230" s="1274"/>
      <c r="X230" s="1274"/>
      <c r="Y230" s="1274"/>
      <c r="Z230" s="1274"/>
      <c r="AA230" s="1274"/>
      <c r="AB230" s="1274"/>
      <c r="AC230" s="1274"/>
      <c r="AD230" s="1274"/>
      <c r="AE230" s="1274"/>
      <c r="AF230" s="1274"/>
      <c r="AG230" s="1274"/>
      <c r="AH230" s="1274"/>
      <c r="AI230" s="1274"/>
      <c r="AJ230" s="1274"/>
      <c r="AK230" s="1274"/>
      <c r="AL230" s="1274"/>
      <c r="AM230" s="1274"/>
      <c r="AN230" s="1274"/>
      <c r="AO230" s="1274"/>
      <c r="AP230" s="1274"/>
      <c r="AQ230" s="1274"/>
      <c r="AR230" s="1274"/>
      <c r="AS230" s="1274"/>
      <c r="AT230" s="1274"/>
      <c r="AU230" s="1274"/>
      <c r="AV230" s="1274"/>
      <c r="AW230" s="1274"/>
      <c r="AX230" s="1274"/>
      <c r="AY230" s="1274"/>
      <c r="AZ230" s="1274"/>
      <c r="BA230" s="1274"/>
      <c r="BB230" s="1274"/>
      <c r="BC230" s="1274"/>
      <c r="BD230" s="1274"/>
      <c r="BE230" s="1274"/>
      <c r="BF230" s="1274"/>
      <c r="BG230" s="1274"/>
      <c r="BH230" s="1274"/>
      <c r="BI230" s="1274"/>
      <c r="BJ230" s="1274"/>
      <c r="BK230" s="1274"/>
      <c r="BL230" s="1274"/>
      <c r="BM230" s="1274"/>
      <c r="BN230" s="1274"/>
      <c r="BO230" s="1274"/>
      <c r="BP230" s="1274"/>
      <c r="BQ230" s="1274"/>
      <c r="BR230" s="1274"/>
      <c r="BS230" s="1274"/>
      <c r="BT230" s="1274"/>
      <c r="BU230" s="1274"/>
      <c r="BV230" s="1274"/>
      <c r="BW230" s="1274"/>
      <c r="BX230" s="1274"/>
      <c r="BY230" s="1274"/>
      <c r="BZ230" s="1274"/>
      <c r="CA230" s="1274"/>
      <c r="CB230" s="1274"/>
      <c r="CC230" s="1274"/>
      <c r="CD230" s="1274"/>
      <c r="CE230" s="1274"/>
      <c r="CF230" s="1274"/>
      <c r="CG230" s="1274"/>
      <c r="CH230" s="1269"/>
      <c r="CI230" s="1274"/>
      <c r="CJ230" s="1274"/>
      <c r="CK230" s="1274"/>
      <c r="CL230" s="1274"/>
      <c r="CM230" s="1274"/>
      <c r="CN230" s="1274"/>
      <c r="CO230" s="1274"/>
      <c r="CP230" s="1274"/>
      <c r="CQ230" s="1274"/>
      <c r="CR230" s="1274"/>
      <c r="CS230" s="1274"/>
      <c r="CT230" s="1274"/>
      <c r="CU230" s="1274"/>
      <c r="CV230" s="1274"/>
      <c r="CW230" s="1274"/>
      <c r="CX230" s="1274"/>
      <c r="CY230" s="1274"/>
      <c r="CZ230" s="1274"/>
      <c r="DA230" s="1274"/>
      <c r="DB230" s="1274"/>
      <c r="DC230" s="1274"/>
      <c r="DD230" s="1274"/>
      <c r="DE230" s="1274"/>
      <c r="DF230" s="1274"/>
      <c r="DG230" s="1274"/>
      <c r="DH230" s="1274"/>
      <c r="DI230" s="1274"/>
      <c r="DJ230" s="1274"/>
      <c r="DK230" s="1274"/>
      <c r="DL230" s="1274"/>
      <c r="DM230" s="1274"/>
      <c r="DN230" s="1274"/>
      <c r="DO230" s="1274"/>
      <c r="DP230" s="1274"/>
      <c r="DQ230" s="1274"/>
      <c r="DR230" s="1274"/>
      <c r="DS230" s="1274"/>
      <c r="DT230" s="1274"/>
      <c r="DU230" s="1274"/>
      <c r="DV230" s="1274"/>
      <c r="DW230" s="1274"/>
      <c r="DX230" s="1274"/>
      <c r="DY230" s="1274"/>
      <c r="DZ230" s="1274"/>
      <c r="EA230" s="1274"/>
      <c r="EB230" s="1273"/>
      <c r="EC230" s="1273"/>
      <c r="ED230" s="1273"/>
      <c r="EE230" s="1273"/>
      <c r="EF230" s="1273"/>
      <c r="EG230" s="1273"/>
      <c r="EH230" s="1273"/>
      <c r="EI230" s="1273"/>
      <c r="EJ230" s="1273"/>
      <c r="EK230" s="1273"/>
      <c r="EL230" s="1273"/>
      <c r="EM230" s="1313"/>
    </row>
    <row r="231" spans="1:143" s="1271" customFormat="1">
      <c r="B231" s="1276"/>
      <c r="C231" s="1276"/>
      <c r="D231" s="1276"/>
      <c r="E231" s="1276"/>
      <c r="F231" s="1276"/>
      <c r="G231" s="1276"/>
      <c r="H231" s="1276"/>
      <c r="I231" s="1276"/>
      <c r="J231" s="1276"/>
      <c r="K231" s="1276"/>
      <c r="L231" s="1276"/>
      <c r="M231" s="1276"/>
      <c r="N231" s="1276"/>
      <c r="O231" s="1276"/>
      <c r="P231" s="1276"/>
      <c r="Q231" s="1276"/>
      <c r="R231" s="1276"/>
      <c r="S231" s="1276"/>
      <c r="T231" s="1276"/>
      <c r="U231" s="1276"/>
      <c r="V231" s="1276"/>
      <c r="W231" s="1277"/>
      <c r="X231" s="1277"/>
      <c r="Y231" s="1277"/>
      <c r="Z231" s="1277"/>
      <c r="AA231" s="1277"/>
      <c r="AB231" s="1277"/>
      <c r="AC231" s="1277"/>
      <c r="AD231" s="1277"/>
      <c r="AE231" s="1277"/>
      <c r="AF231" s="1277"/>
      <c r="AG231" s="1277"/>
      <c r="AH231" s="1277"/>
      <c r="AI231" s="1277"/>
      <c r="AJ231" s="1277"/>
      <c r="AK231" s="1277"/>
      <c r="AL231" s="1277"/>
      <c r="AM231" s="1277"/>
      <c r="AN231" s="1277"/>
      <c r="AO231" s="1277"/>
      <c r="AP231" s="1277"/>
      <c r="AQ231" s="1277"/>
      <c r="AR231" s="1277"/>
      <c r="AS231" s="1277"/>
      <c r="AT231" s="1277"/>
      <c r="AU231" s="1277"/>
      <c r="AV231" s="1277"/>
      <c r="AW231" s="1277"/>
      <c r="AX231" s="1277"/>
      <c r="AY231" s="1277"/>
      <c r="AZ231" s="1277"/>
      <c r="BA231" s="1277"/>
      <c r="BB231" s="1277"/>
      <c r="BC231" s="1277"/>
      <c r="BD231" s="1277"/>
      <c r="BE231" s="1277"/>
      <c r="BF231" s="1277"/>
      <c r="BG231" s="1277"/>
      <c r="BH231" s="1277"/>
      <c r="BI231" s="1277"/>
      <c r="BJ231" s="1277"/>
      <c r="BK231" s="1277"/>
      <c r="BL231" s="1277"/>
      <c r="BM231" s="1277"/>
      <c r="BN231" s="1277"/>
      <c r="BO231" s="1277"/>
      <c r="BP231" s="1277"/>
      <c r="BQ231" s="1277"/>
      <c r="BR231" s="1277"/>
      <c r="BS231" s="1277"/>
      <c r="BT231" s="1277"/>
      <c r="BU231" s="1277"/>
      <c r="BV231" s="1277"/>
      <c r="BW231" s="1277"/>
      <c r="BX231" s="1277"/>
      <c r="BY231" s="1277"/>
      <c r="BZ231" s="1277"/>
      <c r="CA231" s="1277"/>
      <c r="CB231" s="1277"/>
      <c r="CC231" s="1277"/>
      <c r="CD231" s="1277"/>
      <c r="CE231" s="1277"/>
      <c r="CF231" s="1277"/>
      <c r="CG231" s="1277"/>
      <c r="CH231" s="1269"/>
      <c r="CI231" s="1277"/>
      <c r="CJ231" s="1277"/>
      <c r="CK231" s="1277"/>
      <c r="CL231" s="1277"/>
      <c r="CM231" s="1277"/>
      <c r="CN231" s="1277"/>
      <c r="CO231" s="1277"/>
      <c r="CP231" s="1277"/>
      <c r="CQ231" s="1277"/>
      <c r="CR231" s="1277"/>
      <c r="CS231" s="1277"/>
      <c r="CT231" s="1277"/>
      <c r="CU231" s="1277"/>
      <c r="CV231" s="1277"/>
      <c r="CW231" s="1277"/>
      <c r="CX231" s="1277"/>
      <c r="CY231" s="1277"/>
      <c r="CZ231" s="1277"/>
      <c r="DA231" s="1277"/>
      <c r="DB231" s="1277"/>
      <c r="DC231" s="1277"/>
      <c r="DD231" s="1277"/>
      <c r="DE231" s="1277"/>
      <c r="DF231" s="1277"/>
      <c r="DG231" s="1277"/>
      <c r="DH231" s="1277"/>
      <c r="DI231" s="1277"/>
      <c r="DJ231" s="1277"/>
      <c r="DK231" s="1277"/>
      <c r="DL231" s="1277"/>
      <c r="DM231" s="1277"/>
      <c r="DN231" s="1277"/>
      <c r="DO231" s="1277"/>
      <c r="DP231" s="1277"/>
      <c r="DQ231" s="1277"/>
      <c r="DR231" s="1277"/>
      <c r="DS231" s="1277"/>
      <c r="DT231" s="1277"/>
      <c r="DU231" s="1277"/>
      <c r="DV231" s="1277"/>
      <c r="DW231" s="1277"/>
      <c r="DX231" s="1277"/>
      <c r="DY231" s="1277"/>
      <c r="DZ231" s="1277"/>
      <c r="EA231" s="1277"/>
      <c r="EB231" s="1276"/>
      <c r="EC231" s="1276"/>
      <c r="ED231" s="1276"/>
      <c r="EE231" s="1276"/>
      <c r="EF231" s="1276"/>
      <c r="EG231" s="1276"/>
      <c r="EH231" s="1276"/>
      <c r="EI231" s="1276"/>
      <c r="EJ231" s="1276"/>
      <c r="EK231" s="1275"/>
      <c r="EL231" s="1275"/>
      <c r="EM231" s="1313"/>
    </row>
    <row r="232" spans="1:143" s="1271" customFormat="1">
      <c r="B232" s="1276"/>
      <c r="C232" s="1276"/>
      <c r="D232" s="1276"/>
      <c r="E232" s="1276"/>
      <c r="F232" s="1276"/>
      <c r="G232" s="1276"/>
      <c r="H232" s="1276"/>
      <c r="I232" s="1276"/>
      <c r="J232" s="1276"/>
      <c r="K232" s="1276"/>
      <c r="L232" s="1276"/>
      <c r="M232" s="1276"/>
      <c r="N232" s="1276"/>
      <c r="O232" s="1276"/>
      <c r="P232" s="1276"/>
      <c r="Q232" s="1276"/>
      <c r="R232" s="1276"/>
      <c r="S232" s="1276"/>
      <c r="T232" s="1276"/>
      <c r="U232" s="1276"/>
      <c r="V232" s="1276"/>
      <c r="W232" s="1277"/>
      <c r="X232" s="1277"/>
      <c r="Y232" s="1277"/>
      <c r="Z232" s="1277"/>
      <c r="AA232" s="1277"/>
      <c r="AB232" s="1277"/>
      <c r="AC232" s="1277"/>
      <c r="AD232" s="1277"/>
      <c r="AE232" s="1277"/>
      <c r="AF232" s="1277"/>
      <c r="AG232" s="1277"/>
      <c r="AH232" s="1277"/>
      <c r="AI232" s="1277"/>
      <c r="AJ232" s="1277"/>
      <c r="AK232" s="1277"/>
      <c r="AL232" s="1277"/>
      <c r="AM232" s="1277"/>
      <c r="AN232" s="1277"/>
      <c r="AO232" s="1277"/>
      <c r="AP232" s="1277"/>
      <c r="AQ232" s="1277"/>
      <c r="AR232" s="1277"/>
      <c r="AS232" s="1277"/>
      <c r="AT232" s="1277"/>
      <c r="AU232" s="1277"/>
      <c r="AV232" s="1277"/>
      <c r="AW232" s="1277"/>
      <c r="AX232" s="1277"/>
      <c r="AY232" s="1277"/>
      <c r="AZ232" s="1277"/>
      <c r="BA232" s="1277"/>
      <c r="BB232" s="1277"/>
      <c r="BC232" s="1277"/>
      <c r="BD232" s="1277"/>
      <c r="BE232" s="1277"/>
      <c r="BF232" s="1277"/>
      <c r="BG232" s="1277"/>
      <c r="BH232" s="1277"/>
      <c r="BI232" s="1277"/>
      <c r="BJ232" s="1277"/>
      <c r="BK232" s="1277"/>
      <c r="BL232" s="1277"/>
      <c r="BM232" s="1277"/>
      <c r="BN232" s="1277"/>
      <c r="BO232" s="1277"/>
      <c r="BP232" s="1277"/>
      <c r="BQ232" s="1277"/>
      <c r="BR232" s="1277"/>
      <c r="BS232" s="1277"/>
      <c r="BT232" s="1277"/>
      <c r="BU232" s="1277"/>
      <c r="BV232" s="1277"/>
      <c r="BW232" s="1277"/>
      <c r="BX232" s="1277"/>
      <c r="BY232" s="1277"/>
      <c r="BZ232" s="1277"/>
      <c r="CA232" s="1277"/>
      <c r="CB232" s="1277"/>
      <c r="CC232" s="1277"/>
      <c r="CD232" s="1277"/>
      <c r="CE232" s="1277"/>
      <c r="CF232" s="1277"/>
      <c r="CG232" s="1277"/>
      <c r="CH232" s="1269"/>
      <c r="CI232" s="1277"/>
      <c r="CJ232" s="1277"/>
      <c r="CK232" s="1277"/>
      <c r="CL232" s="1277"/>
      <c r="CM232" s="1277"/>
      <c r="CN232" s="1277"/>
      <c r="CO232" s="1277"/>
      <c r="CP232" s="1277"/>
      <c r="CQ232" s="1277"/>
      <c r="CR232" s="1277"/>
      <c r="CS232" s="1277"/>
      <c r="CT232" s="1277"/>
      <c r="CU232" s="1277"/>
      <c r="CV232" s="1277"/>
      <c r="CW232" s="1277"/>
      <c r="CX232" s="1277"/>
      <c r="CY232" s="1277"/>
      <c r="CZ232" s="1277"/>
      <c r="DA232" s="1277"/>
      <c r="DB232" s="1277"/>
      <c r="DC232" s="1277"/>
      <c r="DD232" s="1277"/>
      <c r="DE232" s="1277"/>
      <c r="DF232" s="1277"/>
      <c r="DG232" s="1277"/>
      <c r="DH232" s="1277"/>
      <c r="DI232" s="1277"/>
      <c r="DJ232" s="1277"/>
      <c r="DK232" s="1277"/>
      <c r="DL232" s="1277"/>
      <c r="DM232" s="1277"/>
      <c r="DN232" s="1277"/>
      <c r="DO232" s="1277"/>
      <c r="DP232" s="1277"/>
      <c r="DQ232" s="1277"/>
      <c r="DR232" s="1277"/>
      <c r="DS232" s="1277"/>
      <c r="DT232" s="1277"/>
      <c r="DU232" s="1277"/>
      <c r="DV232" s="1277"/>
      <c r="DW232" s="1277"/>
      <c r="DX232" s="1277"/>
      <c r="DY232" s="1277"/>
      <c r="DZ232" s="1277"/>
      <c r="EA232" s="1277"/>
      <c r="EB232" s="1276"/>
      <c r="EC232" s="1276"/>
      <c r="ED232" s="1276"/>
      <c r="EE232" s="1276"/>
      <c r="EF232" s="1276"/>
      <c r="EG232" s="1276"/>
      <c r="EH232" s="1276"/>
      <c r="EI232" s="1276"/>
      <c r="EJ232" s="1276"/>
      <c r="EK232" s="1275"/>
      <c r="EL232" s="1275"/>
      <c r="EM232" s="1313"/>
    </row>
    <row r="233" spans="1:143" s="1271" customFormat="1">
      <c r="B233" s="1276"/>
      <c r="C233" s="1276"/>
      <c r="D233" s="1276"/>
      <c r="E233" s="1276"/>
      <c r="F233" s="1276"/>
      <c r="G233" s="1276"/>
      <c r="H233" s="1276"/>
      <c r="I233" s="1276"/>
      <c r="J233" s="1276"/>
      <c r="K233" s="1276"/>
      <c r="L233" s="1276"/>
      <c r="M233" s="1276"/>
      <c r="N233" s="1276"/>
      <c r="O233" s="1276"/>
      <c r="P233" s="1276"/>
      <c r="Q233" s="1276"/>
      <c r="R233" s="1276"/>
      <c r="S233" s="1276"/>
      <c r="T233" s="1276"/>
      <c r="U233" s="1276"/>
      <c r="V233" s="1276"/>
      <c r="W233" s="1277"/>
      <c r="X233" s="1277"/>
      <c r="Y233" s="1277"/>
      <c r="Z233" s="1277"/>
      <c r="AA233" s="1277"/>
      <c r="AB233" s="1277"/>
      <c r="AC233" s="1277"/>
      <c r="AD233" s="1277"/>
      <c r="AE233" s="1277"/>
      <c r="AF233" s="1277"/>
      <c r="AG233" s="1277"/>
      <c r="AH233" s="1277"/>
      <c r="AI233" s="1277"/>
      <c r="AJ233" s="1277"/>
      <c r="AK233" s="1277"/>
      <c r="AL233" s="1277"/>
      <c r="AM233" s="1277"/>
      <c r="AN233" s="1277"/>
      <c r="AO233" s="1277"/>
      <c r="AP233" s="1277"/>
      <c r="AQ233" s="1277"/>
      <c r="AR233" s="1277"/>
      <c r="AS233" s="1277"/>
      <c r="AT233" s="1277"/>
      <c r="AU233" s="1277"/>
      <c r="AV233" s="1277"/>
      <c r="AW233" s="1277"/>
      <c r="AX233" s="1277"/>
      <c r="AY233" s="1277"/>
      <c r="AZ233" s="1277"/>
      <c r="BA233" s="1277"/>
      <c r="BB233" s="1277"/>
      <c r="BC233" s="1277"/>
      <c r="BD233" s="1277"/>
      <c r="BE233" s="1277"/>
      <c r="BF233" s="1277"/>
      <c r="BG233" s="1277"/>
      <c r="BH233" s="1277"/>
      <c r="BI233" s="1277"/>
      <c r="BJ233" s="1277"/>
      <c r="BK233" s="1277"/>
      <c r="BL233" s="1277"/>
      <c r="BM233" s="1277"/>
      <c r="BN233" s="1277"/>
      <c r="BO233" s="1277"/>
      <c r="BP233" s="1277"/>
      <c r="BQ233" s="1277"/>
      <c r="BR233" s="1277"/>
      <c r="BS233" s="1277"/>
      <c r="BT233" s="1277"/>
      <c r="BU233" s="1277"/>
      <c r="BV233" s="1277"/>
      <c r="BW233" s="1277"/>
      <c r="BX233" s="1277"/>
      <c r="BY233" s="1277"/>
      <c r="BZ233" s="1277"/>
      <c r="CA233" s="1277"/>
      <c r="CB233" s="1277"/>
      <c r="CC233" s="1277"/>
      <c r="CD233" s="1277"/>
      <c r="CE233" s="1277"/>
      <c r="CF233" s="1277"/>
      <c r="CG233" s="1277"/>
      <c r="CH233" s="1269"/>
      <c r="CI233" s="1277"/>
      <c r="CJ233" s="1277"/>
      <c r="CK233" s="1277"/>
      <c r="CL233" s="1277"/>
      <c r="CM233" s="1277"/>
      <c r="CN233" s="1277"/>
      <c r="CO233" s="1277"/>
      <c r="CP233" s="1277"/>
      <c r="CQ233" s="1277"/>
      <c r="CR233" s="1277"/>
      <c r="CS233" s="1277"/>
      <c r="CT233" s="1277"/>
      <c r="CU233" s="1277"/>
      <c r="CV233" s="1277"/>
      <c r="CW233" s="1277"/>
      <c r="CX233" s="1277"/>
      <c r="CY233" s="1277"/>
      <c r="CZ233" s="1277"/>
      <c r="DA233" s="1277"/>
      <c r="DB233" s="1277"/>
      <c r="DC233" s="1277"/>
      <c r="DD233" s="1277"/>
      <c r="DE233" s="1277"/>
      <c r="DF233" s="1277"/>
      <c r="DG233" s="1277"/>
      <c r="DH233" s="1277"/>
      <c r="DI233" s="1277"/>
      <c r="DJ233" s="1277"/>
      <c r="DK233" s="1277"/>
      <c r="DL233" s="1277"/>
      <c r="DM233" s="1277"/>
      <c r="DN233" s="1277"/>
      <c r="DO233" s="1277"/>
      <c r="DP233" s="1277"/>
      <c r="DQ233" s="1277"/>
      <c r="DR233" s="1277"/>
      <c r="DS233" s="1277"/>
      <c r="DT233" s="1277"/>
      <c r="DU233" s="1277"/>
      <c r="DV233" s="1277"/>
      <c r="DW233" s="1277"/>
      <c r="DX233" s="1277"/>
      <c r="DY233" s="1277"/>
      <c r="DZ233" s="1277"/>
      <c r="EA233" s="1277"/>
      <c r="EB233" s="1276"/>
      <c r="EC233" s="1276"/>
      <c r="ED233" s="1276"/>
      <c r="EE233" s="1276"/>
      <c r="EF233" s="1276"/>
      <c r="EG233" s="1276"/>
      <c r="EH233" s="1276"/>
      <c r="EI233" s="1276"/>
      <c r="EJ233" s="1276"/>
      <c r="EK233" s="1275"/>
      <c r="EL233" s="1275"/>
      <c r="EM233" s="1313"/>
    </row>
    <row r="234" spans="1:143" s="1271" customFormat="1">
      <c r="B234" s="1276"/>
      <c r="C234" s="1276"/>
      <c r="D234" s="1276"/>
      <c r="E234" s="1276"/>
      <c r="F234" s="1276"/>
      <c r="G234" s="1276"/>
      <c r="H234" s="1276"/>
      <c r="I234" s="1276"/>
      <c r="J234" s="1276"/>
      <c r="K234" s="1276"/>
      <c r="L234" s="1276"/>
      <c r="M234" s="1276"/>
      <c r="N234" s="1276"/>
      <c r="O234" s="1276"/>
      <c r="P234" s="1276"/>
      <c r="Q234" s="1276"/>
      <c r="R234" s="1276"/>
      <c r="S234" s="1276"/>
      <c r="T234" s="1276"/>
      <c r="U234" s="1276"/>
      <c r="V234" s="1276"/>
      <c r="W234" s="1277"/>
      <c r="X234" s="1277"/>
      <c r="Y234" s="1277"/>
      <c r="Z234" s="1277"/>
      <c r="AA234" s="1277"/>
      <c r="AB234" s="1277"/>
      <c r="AC234" s="1277"/>
      <c r="AD234" s="1277"/>
      <c r="AE234" s="1277"/>
      <c r="AF234" s="1277"/>
      <c r="AG234" s="1277"/>
      <c r="AH234" s="1277"/>
      <c r="AI234" s="1277"/>
      <c r="AJ234" s="1277"/>
      <c r="AK234" s="1277"/>
      <c r="AL234" s="1277"/>
      <c r="AM234" s="1277"/>
      <c r="AN234" s="1277"/>
      <c r="AO234" s="1277"/>
      <c r="AP234" s="1277"/>
      <c r="AQ234" s="1277"/>
      <c r="AR234" s="1277"/>
      <c r="AS234" s="1277"/>
      <c r="AT234" s="1277"/>
      <c r="AU234" s="1277"/>
      <c r="AV234" s="1277"/>
      <c r="AW234" s="1277"/>
      <c r="AX234" s="1277"/>
      <c r="AY234" s="1277"/>
      <c r="AZ234" s="1277"/>
      <c r="BA234" s="1277"/>
      <c r="BB234" s="1277"/>
      <c r="BC234" s="1277"/>
      <c r="BD234" s="1277"/>
      <c r="BE234" s="1277"/>
      <c r="BF234" s="1277"/>
      <c r="BG234" s="1277"/>
      <c r="BH234" s="1277"/>
      <c r="BI234" s="1277"/>
      <c r="BJ234" s="1277"/>
      <c r="BK234" s="1277"/>
      <c r="BL234" s="1277"/>
      <c r="BM234" s="1277"/>
      <c r="BN234" s="1277"/>
      <c r="BO234" s="1277"/>
      <c r="BP234" s="1277"/>
      <c r="BQ234" s="1277"/>
      <c r="BR234" s="1277"/>
      <c r="BS234" s="1277"/>
      <c r="BT234" s="1277"/>
      <c r="BU234" s="1277"/>
      <c r="BV234" s="1277"/>
      <c r="BW234" s="1277"/>
      <c r="BX234" s="1277"/>
      <c r="BY234" s="1277"/>
      <c r="BZ234" s="1277"/>
      <c r="CA234" s="1277"/>
      <c r="CB234" s="1277"/>
      <c r="CC234" s="1277"/>
      <c r="CD234" s="1277"/>
      <c r="CE234" s="1277"/>
      <c r="CF234" s="1277"/>
      <c r="CG234" s="1277"/>
      <c r="CH234" s="1269"/>
      <c r="CI234" s="1277"/>
      <c r="CJ234" s="1277"/>
      <c r="CK234" s="1277"/>
      <c r="CL234" s="1277"/>
      <c r="CM234" s="1277"/>
      <c r="CN234" s="1277"/>
      <c r="CO234" s="1277"/>
      <c r="CP234" s="1277"/>
      <c r="CQ234" s="1277"/>
      <c r="CR234" s="1277"/>
      <c r="CS234" s="1277"/>
      <c r="CT234" s="1277"/>
      <c r="CU234" s="1277"/>
      <c r="CV234" s="1277"/>
      <c r="CW234" s="1277"/>
      <c r="CX234" s="1277"/>
      <c r="CY234" s="1277"/>
      <c r="CZ234" s="1277"/>
      <c r="DA234" s="1277"/>
      <c r="DB234" s="1277"/>
      <c r="DC234" s="1277"/>
      <c r="DD234" s="1277"/>
      <c r="DE234" s="1277"/>
      <c r="DF234" s="1277"/>
      <c r="DG234" s="1277"/>
      <c r="DH234" s="1277"/>
      <c r="DI234" s="1277"/>
      <c r="DJ234" s="1277"/>
      <c r="DK234" s="1277"/>
      <c r="DL234" s="1277"/>
      <c r="DM234" s="1277"/>
      <c r="DN234" s="1277"/>
      <c r="DO234" s="1277"/>
      <c r="DP234" s="1277"/>
      <c r="DQ234" s="1277"/>
      <c r="DR234" s="1277"/>
      <c r="DS234" s="1277"/>
      <c r="DT234" s="1277"/>
      <c r="DU234" s="1277"/>
      <c r="DV234" s="1277"/>
      <c r="DW234" s="1277"/>
      <c r="DX234" s="1277"/>
      <c r="DY234" s="1277"/>
      <c r="DZ234" s="1277"/>
      <c r="EA234" s="1277"/>
      <c r="EB234" s="1276"/>
      <c r="EC234" s="1276"/>
      <c r="ED234" s="1276"/>
      <c r="EE234" s="1276"/>
      <c r="EF234" s="1276"/>
      <c r="EG234" s="1276"/>
      <c r="EH234" s="1276"/>
      <c r="EI234" s="1276"/>
      <c r="EJ234" s="1276"/>
      <c r="EK234" s="1275"/>
      <c r="EL234" s="1275"/>
      <c r="EM234" s="1313"/>
    </row>
    <row r="235" spans="1:143" s="1271" customFormat="1">
      <c r="B235" s="1276"/>
      <c r="C235" s="1276"/>
      <c r="D235" s="1276"/>
      <c r="E235" s="1276"/>
      <c r="F235" s="1276"/>
      <c r="G235" s="1276"/>
      <c r="H235" s="1276"/>
      <c r="I235" s="1276"/>
      <c r="J235" s="1276"/>
      <c r="K235" s="1276"/>
      <c r="L235" s="1276"/>
      <c r="M235" s="1276"/>
      <c r="N235" s="1276"/>
      <c r="O235" s="1276"/>
      <c r="P235" s="1276"/>
      <c r="Q235" s="1276"/>
      <c r="R235" s="1276"/>
      <c r="S235" s="1276"/>
      <c r="T235" s="1276"/>
      <c r="U235" s="1276"/>
      <c r="V235" s="1276"/>
      <c r="W235" s="1277"/>
      <c r="X235" s="1277"/>
      <c r="Y235" s="1277"/>
      <c r="Z235" s="1277"/>
      <c r="AA235" s="1277"/>
      <c r="AB235" s="1277"/>
      <c r="AC235" s="1277"/>
      <c r="AD235" s="1277"/>
      <c r="AE235" s="1277"/>
      <c r="AF235" s="1277"/>
      <c r="AG235" s="1277"/>
      <c r="AH235" s="1277"/>
      <c r="AI235" s="1277"/>
      <c r="AJ235" s="1277"/>
      <c r="AK235" s="1277"/>
      <c r="AL235" s="1277"/>
      <c r="AM235" s="1277"/>
      <c r="AN235" s="1277"/>
      <c r="AO235" s="1277"/>
      <c r="AP235" s="1277"/>
      <c r="AQ235" s="1277"/>
      <c r="AR235" s="1277"/>
      <c r="AS235" s="1277"/>
      <c r="AT235" s="1277"/>
      <c r="AU235" s="1277"/>
      <c r="AV235" s="1277"/>
      <c r="AW235" s="1277"/>
      <c r="AX235" s="1277"/>
      <c r="AY235" s="1277"/>
      <c r="AZ235" s="1277"/>
      <c r="BA235" s="1277"/>
      <c r="BB235" s="1277"/>
      <c r="BC235" s="1277"/>
      <c r="BD235" s="1277"/>
      <c r="BE235" s="1277"/>
      <c r="BF235" s="1277"/>
      <c r="BG235" s="1277"/>
      <c r="BH235" s="1277"/>
      <c r="BI235" s="1277"/>
      <c r="BJ235" s="1277"/>
      <c r="BK235" s="1277"/>
      <c r="BL235" s="1277"/>
      <c r="BM235" s="1277"/>
      <c r="BN235" s="1277"/>
      <c r="BO235" s="1277"/>
      <c r="BP235" s="1277"/>
      <c r="BQ235" s="1277"/>
      <c r="BR235" s="1277"/>
      <c r="BS235" s="1277"/>
      <c r="BT235" s="1277"/>
      <c r="BU235" s="1277"/>
      <c r="BV235" s="1277"/>
      <c r="BW235" s="1277"/>
      <c r="BX235" s="1277"/>
      <c r="BY235" s="1277"/>
      <c r="BZ235" s="1277"/>
      <c r="CA235" s="1277"/>
      <c r="CB235" s="1277"/>
      <c r="CC235" s="1277"/>
      <c r="CD235" s="1277"/>
      <c r="CE235" s="1277"/>
      <c r="CF235" s="1277"/>
      <c r="CG235" s="1277"/>
      <c r="CH235" s="1269"/>
      <c r="CI235" s="1277"/>
      <c r="CJ235" s="1277"/>
      <c r="CK235" s="1277"/>
      <c r="CL235" s="1277"/>
      <c r="CM235" s="1277"/>
      <c r="CN235" s="1277"/>
      <c r="CO235" s="1277"/>
      <c r="CP235" s="1277"/>
      <c r="CQ235" s="1277"/>
      <c r="CR235" s="1277"/>
      <c r="CS235" s="1277"/>
      <c r="CT235" s="1277"/>
      <c r="CU235" s="1277"/>
      <c r="CV235" s="1277"/>
      <c r="CW235" s="1277"/>
      <c r="CX235" s="1277"/>
      <c r="CY235" s="1277"/>
      <c r="CZ235" s="1277"/>
      <c r="DA235" s="1277"/>
      <c r="DB235" s="1277"/>
      <c r="DC235" s="1277"/>
      <c r="DD235" s="1277"/>
      <c r="DE235" s="1277"/>
      <c r="DF235" s="1277"/>
      <c r="DG235" s="1277"/>
      <c r="DH235" s="1277"/>
      <c r="DI235" s="1277"/>
      <c r="DJ235" s="1277"/>
      <c r="DK235" s="1277"/>
      <c r="DL235" s="1277"/>
      <c r="DM235" s="1277"/>
      <c r="DN235" s="1277"/>
      <c r="DO235" s="1277"/>
      <c r="DP235" s="1277"/>
      <c r="DQ235" s="1277"/>
      <c r="DR235" s="1277"/>
      <c r="DS235" s="1277"/>
      <c r="DT235" s="1277"/>
      <c r="DU235" s="1277"/>
      <c r="DV235" s="1277"/>
      <c r="DW235" s="1277"/>
      <c r="DX235" s="1277"/>
      <c r="DY235" s="1277"/>
      <c r="DZ235" s="1277"/>
      <c r="EA235" s="1277"/>
      <c r="EB235" s="1276"/>
      <c r="EC235" s="1276"/>
      <c r="ED235" s="1276"/>
      <c r="EE235" s="1276"/>
      <c r="EF235" s="1276"/>
      <c r="EG235" s="1276"/>
      <c r="EH235" s="1276"/>
      <c r="EI235" s="1276"/>
      <c r="EJ235" s="1276"/>
      <c r="EK235" s="1275"/>
      <c r="EL235" s="1275"/>
      <c r="EM235" s="1313"/>
    </row>
    <row r="236" spans="1:143" s="1271" customFormat="1">
      <c r="B236" s="1276"/>
      <c r="C236" s="1276"/>
      <c r="D236" s="1276"/>
      <c r="E236" s="1276"/>
      <c r="F236" s="1276"/>
      <c r="G236" s="1276"/>
      <c r="H236" s="1276"/>
      <c r="I236" s="1276"/>
      <c r="J236" s="1276"/>
      <c r="K236" s="1276"/>
      <c r="L236" s="1276"/>
      <c r="M236" s="1276"/>
      <c r="N236" s="1276"/>
      <c r="O236" s="1276"/>
      <c r="P236" s="1276"/>
      <c r="Q236" s="1276"/>
      <c r="R236" s="1276"/>
      <c r="S236" s="1276"/>
      <c r="T236" s="1276"/>
      <c r="U236" s="1276"/>
      <c r="V236" s="1276"/>
      <c r="W236" s="1277"/>
      <c r="X236" s="1277"/>
      <c r="Y236" s="1277"/>
      <c r="Z236" s="1277"/>
      <c r="AA236" s="1277"/>
      <c r="AB236" s="1277"/>
      <c r="AC236" s="1277"/>
      <c r="AD236" s="1277"/>
      <c r="AE236" s="1277"/>
      <c r="AF236" s="1277"/>
      <c r="AG236" s="1277"/>
      <c r="AH236" s="1277"/>
      <c r="AI236" s="1277"/>
      <c r="AJ236" s="1277"/>
      <c r="AK236" s="1277"/>
      <c r="AL236" s="1277"/>
      <c r="AM236" s="1277"/>
      <c r="AN236" s="1277"/>
      <c r="AO236" s="1277"/>
      <c r="AP236" s="1277"/>
      <c r="AQ236" s="1277"/>
      <c r="AR236" s="1277"/>
      <c r="AS236" s="1277"/>
      <c r="AT236" s="1277"/>
      <c r="AU236" s="1277"/>
      <c r="AV236" s="1277"/>
      <c r="AW236" s="1277"/>
      <c r="AX236" s="1277"/>
      <c r="AY236" s="1277"/>
      <c r="AZ236" s="1277"/>
      <c r="BA236" s="1277"/>
      <c r="BB236" s="1277"/>
      <c r="BC236" s="1277"/>
      <c r="BD236" s="1277"/>
      <c r="BE236" s="1277"/>
      <c r="BF236" s="1277"/>
      <c r="BG236" s="1277"/>
      <c r="BH236" s="1277"/>
      <c r="BI236" s="1277"/>
      <c r="BJ236" s="1277"/>
      <c r="BK236" s="1277"/>
      <c r="BL236" s="1277"/>
      <c r="BM236" s="1277"/>
      <c r="BN236" s="1277"/>
      <c r="BO236" s="1277"/>
      <c r="BP236" s="1277"/>
      <c r="BQ236" s="1277"/>
      <c r="BR236" s="1277"/>
      <c r="BS236" s="1277"/>
      <c r="BT236" s="1277"/>
      <c r="BU236" s="1277"/>
      <c r="BV236" s="1277"/>
      <c r="BW236" s="1277"/>
      <c r="BX236" s="1277"/>
      <c r="BY236" s="1277"/>
      <c r="BZ236" s="1277"/>
      <c r="CA236" s="1277"/>
      <c r="CB236" s="1277"/>
      <c r="CC236" s="1277"/>
      <c r="CD236" s="1277"/>
      <c r="CE236" s="1277"/>
      <c r="CF236" s="1277"/>
      <c r="CG236" s="1277"/>
      <c r="CH236" s="1269"/>
      <c r="CI236" s="1277"/>
      <c r="CJ236" s="1277"/>
      <c r="CK236" s="1277"/>
      <c r="CL236" s="1277"/>
      <c r="CM236" s="1277"/>
      <c r="CN236" s="1277"/>
      <c r="CO236" s="1277"/>
      <c r="CP236" s="1277"/>
      <c r="CQ236" s="1277"/>
      <c r="CR236" s="1277"/>
      <c r="CS236" s="1277"/>
      <c r="CT236" s="1277"/>
      <c r="CU236" s="1277"/>
      <c r="CV236" s="1277"/>
      <c r="CW236" s="1277"/>
      <c r="CX236" s="1277"/>
      <c r="CY236" s="1277"/>
      <c r="CZ236" s="1277"/>
      <c r="DA236" s="1277"/>
      <c r="DB236" s="1277"/>
      <c r="DC236" s="1277"/>
      <c r="DD236" s="1277"/>
      <c r="DE236" s="1277"/>
      <c r="DF236" s="1277"/>
      <c r="DG236" s="1277"/>
      <c r="DH236" s="1277"/>
      <c r="DI236" s="1277"/>
      <c r="DJ236" s="1277"/>
      <c r="DK236" s="1277"/>
      <c r="DL236" s="1277"/>
      <c r="DM236" s="1277"/>
      <c r="DN236" s="1277"/>
      <c r="DO236" s="1277"/>
      <c r="DP236" s="1277"/>
      <c r="DQ236" s="1277"/>
      <c r="DR236" s="1277"/>
      <c r="DS236" s="1277"/>
      <c r="DT236" s="1277"/>
      <c r="DU236" s="1277"/>
      <c r="DV236" s="1277"/>
      <c r="DW236" s="1277"/>
      <c r="DX236" s="1277"/>
      <c r="DY236" s="1277"/>
      <c r="DZ236" s="1277"/>
      <c r="EA236" s="1277"/>
      <c r="EB236" s="1276"/>
      <c r="EC236" s="1276"/>
      <c r="ED236" s="1276"/>
      <c r="EE236" s="1276"/>
      <c r="EF236" s="1276"/>
      <c r="EG236" s="1276"/>
      <c r="EH236" s="1276"/>
      <c r="EI236" s="1276"/>
      <c r="EJ236" s="1276"/>
      <c r="EK236" s="1275"/>
      <c r="EL236" s="1275"/>
      <c r="EM236" s="1313"/>
    </row>
    <row r="237" spans="1:143" s="1271" customFormat="1">
      <c r="B237" s="1276"/>
      <c r="C237" s="1276"/>
      <c r="D237" s="1276"/>
      <c r="E237" s="1276"/>
      <c r="F237" s="1276"/>
      <c r="G237" s="1276"/>
      <c r="H237" s="1276"/>
      <c r="I237" s="1276"/>
      <c r="J237" s="1276"/>
      <c r="K237" s="1276"/>
      <c r="L237" s="1276"/>
      <c r="M237" s="1276"/>
      <c r="N237" s="1276"/>
      <c r="O237" s="1276"/>
      <c r="P237" s="1276"/>
      <c r="Q237" s="1276"/>
      <c r="R237" s="1276"/>
      <c r="S237" s="1276"/>
      <c r="T237" s="1276"/>
      <c r="U237" s="1276"/>
      <c r="V237" s="1276"/>
      <c r="W237" s="1277"/>
      <c r="X237" s="1277"/>
      <c r="Y237" s="1277"/>
      <c r="Z237" s="1277"/>
      <c r="AA237" s="1277"/>
      <c r="AB237" s="1277"/>
      <c r="AC237" s="1277"/>
      <c r="AD237" s="1277"/>
      <c r="AE237" s="1277"/>
      <c r="AF237" s="1277"/>
      <c r="AG237" s="1277"/>
      <c r="AH237" s="1277"/>
      <c r="AI237" s="1277"/>
      <c r="AJ237" s="1277"/>
      <c r="AK237" s="1277"/>
      <c r="AL237" s="1277"/>
      <c r="AM237" s="1277"/>
      <c r="AN237" s="1277"/>
      <c r="AO237" s="1277"/>
      <c r="AP237" s="1277"/>
      <c r="AQ237" s="1277"/>
      <c r="AR237" s="1277"/>
      <c r="AS237" s="1277"/>
      <c r="AT237" s="1277"/>
      <c r="AU237" s="1277"/>
      <c r="AV237" s="1277"/>
      <c r="AW237" s="1277"/>
      <c r="AX237" s="1277"/>
      <c r="AY237" s="1277"/>
      <c r="AZ237" s="1277"/>
      <c r="BA237" s="1277"/>
      <c r="BB237" s="1277"/>
      <c r="BC237" s="1277"/>
      <c r="BD237" s="1277"/>
      <c r="BE237" s="1277"/>
      <c r="BF237" s="1277"/>
      <c r="BG237" s="1277"/>
      <c r="BH237" s="1277"/>
      <c r="BI237" s="1277"/>
      <c r="BJ237" s="1277"/>
      <c r="BK237" s="1277"/>
      <c r="BL237" s="1277"/>
      <c r="BM237" s="1277"/>
      <c r="BN237" s="1277"/>
      <c r="BO237" s="1277"/>
      <c r="BP237" s="1277"/>
      <c r="BQ237" s="1277"/>
      <c r="BR237" s="1277"/>
      <c r="BS237" s="1277"/>
      <c r="BT237" s="1277"/>
      <c r="BU237" s="1277"/>
      <c r="BV237" s="1277"/>
      <c r="BW237" s="1277"/>
      <c r="BX237" s="1277"/>
      <c r="BY237" s="1277"/>
      <c r="BZ237" s="1277"/>
      <c r="CA237" s="1277"/>
      <c r="CB237" s="1277"/>
      <c r="CC237" s="1277"/>
      <c r="CD237" s="1277"/>
      <c r="CE237" s="1277"/>
      <c r="CF237" s="1277"/>
      <c r="CG237" s="1277"/>
      <c r="CH237" s="1269"/>
      <c r="CI237" s="1277"/>
      <c r="CJ237" s="1277"/>
      <c r="CK237" s="1277"/>
      <c r="CL237" s="1277"/>
      <c r="CM237" s="1277"/>
      <c r="CN237" s="1277"/>
      <c r="CO237" s="1277"/>
      <c r="CP237" s="1277"/>
      <c r="CQ237" s="1277"/>
      <c r="CR237" s="1277"/>
      <c r="CS237" s="1277"/>
      <c r="CT237" s="1277"/>
      <c r="CU237" s="1277"/>
      <c r="CV237" s="1277"/>
      <c r="CW237" s="1277"/>
      <c r="CX237" s="1277"/>
      <c r="CY237" s="1277"/>
      <c r="CZ237" s="1277"/>
      <c r="DA237" s="1277"/>
      <c r="DB237" s="1277"/>
      <c r="DC237" s="1277"/>
      <c r="DD237" s="1277"/>
      <c r="DE237" s="1277"/>
      <c r="DF237" s="1277"/>
      <c r="DG237" s="1277"/>
      <c r="DH237" s="1277"/>
      <c r="DI237" s="1277"/>
      <c r="DJ237" s="1277"/>
      <c r="DK237" s="1277"/>
      <c r="DL237" s="1277"/>
      <c r="DM237" s="1277"/>
      <c r="DN237" s="1277"/>
      <c r="DO237" s="1277"/>
      <c r="DP237" s="1277"/>
      <c r="DQ237" s="1277"/>
      <c r="DR237" s="1277"/>
      <c r="DS237" s="1277"/>
      <c r="DT237" s="1277"/>
      <c r="DU237" s="1277"/>
      <c r="DV237" s="1277"/>
      <c r="DW237" s="1277"/>
      <c r="DX237" s="1277"/>
      <c r="DY237" s="1277"/>
      <c r="DZ237" s="1277"/>
      <c r="EA237" s="1277"/>
      <c r="EB237" s="1276"/>
      <c r="EC237" s="1276"/>
      <c r="ED237" s="1276"/>
      <c r="EE237" s="1276"/>
      <c r="EF237" s="1276"/>
      <c r="EG237" s="1276"/>
      <c r="EH237" s="1276"/>
      <c r="EI237" s="1276"/>
      <c r="EJ237" s="1276"/>
      <c r="EK237" s="1275"/>
      <c r="EL237" s="1275"/>
      <c r="EM237" s="1313"/>
    </row>
    <row r="238" spans="1:143" s="1271" customFormat="1">
      <c r="B238" s="1276"/>
      <c r="C238" s="1276"/>
      <c r="D238" s="1276"/>
      <c r="E238" s="1276"/>
      <c r="F238" s="1276"/>
      <c r="G238" s="1276"/>
      <c r="H238" s="1276"/>
      <c r="I238" s="1276"/>
      <c r="J238" s="1276"/>
      <c r="K238" s="1276"/>
      <c r="L238" s="1276"/>
      <c r="M238" s="1276"/>
      <c r="N238" s="1276"/>
      <c r="O238" s="1276"/>
      <c r="P238" s="1276"/>
      <c r="Q238" s="1276"/>
      <c r="R238" s="1276"/>
      <c r="S238" s="1276"/>
      <c r="T238" s="1276"/>
      <c r="U238" s="1276"/>
      <c r="V238" s="1276"/>
      <c r="W238" s="1277"/>
      <c r="X238" s="1277"/>
      <c r="Y238" s="1277"/>
      <c r="Z238" s="1277"/>
      <c r="AA238" s="1277"/>
      <c r="AB238" s="1277"/>
      <c r="AC238" s="1277"/>
      <c r="AD238" s="1277"/>
      <c r="AE238" s="1277"/>
      <c r="AF238" s="1277"/>
      <c r="AG238" s="1277"/>
      <c r="AH238" s="1277"/>
      <c r="AI238" s="1277"/>
      <c r="AJ238" s="1277"/>
      <c r="AK238" s="1277"/>
      <c r="AL238" s="1277"/>
      <c r="AM238" s="1277"/>
      <c r="AN238" s="1277"/>
      <c r="AO238" s="1277"/>
      <c r="AP238" s="1277"/>
      <c r="AQ238" s="1277"/>
      <c r="AR238" s="1277"/>
      <c r="AS238" s="1277"/>
      <c r="AT238" s="1277"/>
      <c r="AU238" s="1277"/>
      <c r="AV238" s="1277"/>
      <c r="AW238" s="1277"/>
      <c r="AX238" s="1277"/>
      <c r="AY238" s="1277"/>
      <c r="AZ238" s="1277"/>
      <c r="BA238" s="1277"/>
      <c r="BB238" s="1277"/>
      <c r="BC238" s="1277"/>
      <c r="BD238" s="1277"/>
      <c r="BE238" s="1277"/>
      <c r="BF238" s="1277"/>
      <c r="BG238" s="1277"/>
      <c r="BH238" s="1277"/>
      <c r="BI238" s="1277"/>
      <c r="BJ238" s="1277"/>
      <c r="BK238" s="1277"/>
      <c r="BL238" s="1277"/>
      <c r="BM238" s="1277"/>
      <c r="BN238" s="1277"/>
      <c r="BO238" s="1277"/>
      <c r="BP238" s="1277"/>
      <c r="BQ238" s="1277"/>
      <c r="BR238" s="1277"/>
      <c r="BS238" s="1277"/>
      <c r="BT238" s="1277"/>
      <c r="BU238" s="1277"/>
      <c r="BV238" s="1277"/>
      <c r="BW238" s="1277"/>
      <c r="BX238" s="1277"/>
      <c r="BY238" s="1277"/>
      <c r="BZ238" s="1277"/>
      <c r="CA238" s="1277"/>
      <c r="CB238" s="1277"/>
      <c r="CC238" s="1277"/>
      <c r="CD238" s="1277"/>
      <c r="CE238" s="1277"/>
      <c r="CF238" s="1277"/>
      <c r="CG238" s="1277"/>
      <c r="CH238" s="1269"/>
      <c r="CI238" s="1277"/>
      <c r="CJ238" s="1277"/>
      <c r="CK238" s="1277"/>
      <c r="CL238" s="1277"/>
      <c r="CM238" s="1277"/>
      <c r="CN238" s="1277"/>
      <c r="CO238" s="1277"/>
      <c r="CP238" s="1277"/>
      <c r="CQ238" s="1277"/>
      <c r="CR238" s="1277"/>
      <c r="CS238" s="1277"/>
      <c r="CT238" s="1277"/>
      <c r="CU238" s="1277"/>
      <c r="CV238" s="1277"/>
      <c r="CW238" s="1277"/>
      <c r="CX238" s="1277"/>
      <c r="CY238" s="1277"/>
      <c r="CZ238" s="1277"/>
      <c r="DA238" s="1277"/>
      <c r="DB238" s="1277"/>
      <c r="DC238" s="1277"/>
      <c r="DD238" s="1277"/>
      <c r="DE238" s="1277"/>
      <c r="DF238" s="1277"/>
      <c r="DG238" s="1277"/>
      <c r="DH238" s="1277"/>
      <c r="DI238" s="1277"/>
      <c r="DJ238" s="1277"/>
      <c r="DK238" s="1277"/>
      <c r="DL238" s="1277"/>
      <c r="DM238" s="1277"/>
      <c r="DN238" s="1277"/>
      <c r="DO238" s="1277"/>
      <c r="DP238" s="1277"/>
      <c r="DQ238" s="1277"/>
      <c r="DR238" s="1277"/>
      <c r="DS238" s="1277"/>
      <c r="DT238" s="1277"/>
      <c r="DU238" s="1277"/>
      <c r="DV238" s="1277"/>
      <c r="DW238" s="1277"/>
      <c r="DX238" s="1277"/>
      <c r="DY238" s="1277"/>
      <c r="DZ238" s="1277"/>
      <c r="EA238" s="1277"/>
      <c r="EB238" s="1276"/>
      <c r="EC238" s="1276"/>
      <c r="ED238" s="1276"/>
      <c r="EE238" s="1276"/>
      <c r="EF238" s="1276"/>
      <c r="EG238" s="1276"/>
      <c r="EH238" s="1276"/>
      <c r="EI238" s="1276"/>
      <c r="EJ238" s="1276"/>
      <c r="EK238" s="1275"/>
      <c r="EL238" s="1275"/>
      <c r="EM238" s="1313"/>
    </row>
    <row r="239" spans="1:143" s="1271" customFormat="1">
      <c r="B239" s="1276"/>
      <c r="C239" s="1276"/>
      <c r="D239" s="1276"/>
      <c r="E239" s="1276"/>
      <c r="F239" s="1276"/>
      <c r="G239" s="1276"/>
      <c r="H239" s="1276"/>
      <c r="I239" s="1276"/>
      <c r="J239" s="1276"/>
      <c r="K239" s="1276"/>
      <c r="L239" s="1276"/>
      <c r="M239" s="1276"/>
      <c r="N239" s="1276"/>
      <c r="O239" s="1276"/>
      <c r="P239" s="1276"/>
      <c r="Q239" s="1276"/>
      <c r="R239" s="1276"/>
      <c r="S239" s="1276"/>
      <c r="T239" s="1276"/>
      <c r="U239" s="1276"/>
      <c r="V239" s="1276"/>
      <c r="W239" s="1277"/>
      <c r="X239" s="1277"/>
      <c r="Y239" s="1277"/>
      <c r="Z239" s="1277"/>
      <c r="AA239" s="1277"/>
      <c r="AB239" s="1277"/>
      <c r="AC239" s="1277"/>
      <c r="AD239" s="1277"/>
      <c r="AE239" s="1277"/>
      <c r="AF239" s="1277"/>
      <c r="AG239" s="1277"/>
      <c r="AH239" s="1277"/>
      <c r="AI239" s="1277"/>
      <c r="AJ239" s="1277"/>
      <c r="AK239" s="1277"/>
      <c r="AL239" s="1277"/>
      <c r="AM239" s="1277"/>
      <c r="AN239" s="1277"/>
      <c r="AO239" s="1277"/>
      <c r="AP239" s="1277"/>
      <c r="AQ239" s="1277"/>
      <c r="AR239" s="1277"/>
      <c r="AS239" s="1277"/>
      <c r="AT239" s="1277"/>
      <c r="AU239" s="1277"/>
      <c r="AV239" s="1277"/>
      <c r="AW239" s="1277"/>
      <c r="AX239" s="1277"/>
      <c r="AY239" s="1277"/>
      <c r="AZ239" s="1277"/>
      <c r="BA239" s="1277"/>
      <c r="BB239" s="1277"/>
      <c r="BC239" s="1277"/>
      <c r="BD239" s="1277"/>
      <c r="BE239" s="1277"/>
      <c r="BF239" s="1277"/>
      <c r="BG239" s="1277"/>
      <c r="BH239" s="1277"/>
      <c r="BI239" s="1277"/>
      <c r="BJ239" s="1277"/>
      <c r="BK239" s="1277"/>
      <c r="BL239" s="1277"/>
      <c r="BM239" s="1277"/>
      <c r="BN239" s="1277"/>
      <c r="BO239" s="1277"/>
      <c r="BP239" s="1277"/>
      <c r="BQ239" s="1277"/>
      <c r="BR239" s="1277"/>
      <c r="BS239" s="1277"/>
      <c r="BT239" s="1277"/>
      <c r="BU239" s="1277"/>
      <c r="BV239" s="1277"/>
      <c r="BW239" s="1277"/>
      <c r="BX239" s="1277"/>
      <c r="BY239" s="1277"/>
      <c r="BZ239" s="1277"/>
      <c r="CA239" s="1277"/>
      <c r="CB239" s="1277"/>
      <c r="CC239" s="1277"/>
      <c r="CD239" s="1277"/>
      <c r="CE239" s="1277"/>
      <c r="CF239" s="1277"/>
      <c r="CG239" s="1277"/>
      <c r="CH239" s="1269"/>
      <c r="CI239" s="1277"/>
      <c r="CJ239" s="1277"/>
      <c r="CK239" s="1277"/>
      <c r="CL239" s="1277"/>
      <c r="CM239" s="1277"/>
      <c r="CN239" s="1277"/>
      <c r="CO239" s="1277"/>
      <c r="CP239" s="1277"/>
      <c r="CQ239" s="1277"/>
      <c r="CR239" s="1277"/>
      <c r="CS239" s="1277"/>
      <c r="CT239" s="1277"/>
      <c r="CU239" s="1277"/>
      <c r="CV239" s="1277"/>
      <c r="CW239" s="1277"/>
      <c r="CX239" s="1277"/>
      <c r="CY239" s="1277"/>
      <c r="CZ239" s="1277"/>
      <c r="DA239" s="1277"/>
      <c r="DB239" s="1277"/>
      <c r="DC239" s="1277"/>
      <c r="DD239" s="1277"/>
      <c r="DE239" s="1277"/>
      <c r="DF239" s="1277"/>
      <c r="DG239" s="1277"/>
      <c r="DH239" s="1277"/>
      <c r="DI239" s="1277"/>
      <c r="DJ239" s="1277"/>
      <c r="DK239" s="1277"/>
      <c r="DL239" s="1277"/>
      <c r="DM239" s="1277"/>
      <c r="DN239" s="1277"/>
      <c r="DO239" s="1277"/>
      <c r="DP239" s="1277"/>
      <c r="DQ239" s="1277"/>
      <c r="DR239" s="1277"/>
      <c r="DS239" s="1277"/>
      <c r="DT239" s="1277"/>
      <c r="DU239" s="1277"/>
      <c r="DV239" s="1277"/>
      <c r="DW239" s="1277"/>
      <c r="DX239" s="1277"/>
      <c r="DY239" s="1277"/>
      <c r="DZ239" s="1277"/>
      <c r="EA239" s="1277"/>
      <c r="EB239" s="1276"/>
      <c r="EC239" s="1276"/>
      <c r="ED239" s="1276"/>
      <c r="EE239" s="1276"/>
      <c r="EF239" s="1276"/>
      <c r="EG239" s="1276"/>
      <c r="EH239" s="1276"/>
      <c r="EI239" s="1276"/>
      <c r="EJ239" s="1276"/>
      <c r="EK239" s="1275"/>
      <c r="EL239" s="1275"/>
      <c r="EM239" s="1313"/>
    </row>
    <row r="240" spans="1:143" s="1271" customFormat="1">
      <c r="B240" s="1276"/>
      <c r="C240" s="1276"/>
      <c r="D240" s="1276"/>
      <c r="E240" s="1276"/>
      <c r="F240" s="1276"/>
      <c r="G240" s="1276"/>
      <c r="H240" s="1276"/>
      <c r="I240" s="1276"/>
      <c r="J240" s="1276"/>
      <c r="K240" s="1276"/>
      <c r="L240" s="1276"/>
      <c r="M240" s="1276"/>
      <c r="N240" s="1276"/>
      <c r="O240" s="1276"/>
      <c r="P240" s="1276"/>
      <c r="Q240" s="1276"/>
      <c r="R240" s="1276"/>
      <c r="S240" s="1276"/>
      <c r="T240" s="1276"/>
      <c r="U240" s="1276"/>
      <c r="V240" s="1276"/>
      <c r="W240" s="1277"/>
      <c r="X240" s="1277"/>
      <c r="Y240" s="1277"/>
      <c r="Z240" s="1277"/>
      <c r="AA240" s="1277"/>
      <c r="AB240" s="1277"/>
      <c r="AC240" s="1277"/>
      <c r="AD240" s="1277"/>
      <c r="AE240" s="1277"/>
      <c r="AF240" s="1277"/>
      <c r="AG240" s="1277"/>
      <c r="AH240" s="1277"/>
      <c r="AI240" s="1277"/>
      <c r="AJ240" s="1277"/>
      <c r="AK240" s="1277"/>
      <c r="AL240" s="1277"/>
      <c r="AM240" s="1277"/>
      <c r="AN240" s="1277"/>
      <c r="AO240" s="1277"/>
      <c r="AP240" s="1277"/>
      <c r="AQ240" s="1277"/>
      <c r="AR240" s="1277"/>
      <c r="AS240" s="1277"/>
      <c r="AT240" s="1277"/>
      <c r="AU240" s="1277"/>
      <c r="AV240" s="1277"/>
      <c r="AW240" s="1277"/>
      <c r="AX240" s="1277"/>
      <c r="AY240" s="1277"/>
      <c r="AZ240" s="1277"/>
      <c r="BA240" s="1277"/>
      <c r="BB240" s="1277"/>
      <c r="BC240" s="1277"/>
      <c r="BD240" s="1277"/>
      <c r="BE240" s="1277"/>
      <c r="BF240" s="1277"/>
      <c r="BG240" s="1277"/>
      <c r="BH240" s="1277"/>
      <c r="BI240" s="1277"/>
      <c r="BJ240" s="1277"/>
      <c r="BK240" s="1277"/>
      <c r="BL240" s="1277"/>
      <c r="BM240" s="1277"/>
      <c r="BN240" s="1277"/>
      <c r="BO240" s="1277"/>
      <c r="BP240" s="1277"/>
      <c r="BQ240" s="1277"/>
      <c r="BR240" s="1277"/>
      <c r="BS240" s="1277"/>
      <c r="BT240" s="1277"/>
      <c r="BU240" s="1277"/>
      <c r="BV240" s="1277"/>
      <c r="BW240" s="1277"/>
      <c r="BX240" s="1277"/>
      <c r="BY240" s="1277"/>
      <c r="BZ240" s="1277"/>
      <c r="CA240" s="1277"/>
      <c r="CB240" s="1277"/>
      <c r="CC240" s="1277"/>
      <c r="CD240" s="1277"/>
      <c r="CE240" s="1277"/>
      <c r="CF240" s="1277"/>
      <c r="CG240" s="1277"/>
      <c r="CH240" s="1269"/>
      <c r="CI240" s="1277"/>
      <c r="CJ240" s="1277"/>
      <c r="CK240" s="1277"/>
      <c r="CL240" s="1277"/>
      <c r="CM240" s="1277"/>
      <c r="CN240" s="1277"/>
      <c r="CO240" s="1277"/>
      <c r="CP240" s="1277"/>
      <c r="CQ240" s="1277"/>
      <c r="CR240" s="1277"/>
      <c r="CS240" s="1277"/>
      <c r="CT240" s="1277"/>
      <c r="CU240" s="1277"/>
      <c r="CV240" s="1277"/>
      <c r="CW240" s="1277"/>
      <c r="CX240" s="1277"/>
      <c r="CY240" s="1277"/>
      <c r="CZ240" s="1277"/>
      <c r="DA240" s="1277"/>
      <c r="DB240" s="1277"/>
      <c r="DC240" s="1277"/>
      <c r="DD240" s="1277"/>
      <c r="DE240" s="1277"/>
      <c r="DF240" s="1277"/>
      <c r="DG240" s="1277"/>
      <c r="DH240" s="1277"/>
      <c r="DI240" s="1277"/>
      <c r="DJ240" s="1277"/>
      <c r="DK240" s="1277"/>
      <c r="DL240" s="1277"/>
      <c r="DM240" s="1277"/>
      <c r="DN240" s="1277"/>
      <c r="DO240" s="1277"/>
      <c r="DP240" s="1277"/>
      <c r="DQ240" s="1277"/>
      <c r="DR240" s="1277"/>
      <c r="DS240" s="1277"/>
      <c r="DT240" s="1277"/>
      <c r="DU240" s="1277"/>
      <c r="DV240" s="1277"/>
      <c r="DW240" s="1277"/>
      <c r="DX240" s="1277"/>
      <c r="DY240" s="1277"/>
      <c r="DZ240" s="1277"/>
      <c r="EA240" s="1277"/>
      <c r="EB240" s="1276"/>
      <c r="EC240" s="1276"/>
      <c r="ED240" s="1276"/>
      <c r="EE240" s="1276"/>
      <c r="EF240" s="1276"/>
      <c r="EG240" s="1276"/>
      <c r="EH240" s="1276"/>
      <c r="EI240" s="1276"/>
      <c r="EJ240" s="1276"/>
      <c r="EK240" s="1275"/>
      <c r="EL240" s="1275"/>
      <c r="EM240" s="1313"/>
    </row>
    <row r="241" spans="1:143" s="1271" customFormat="1">
      <c r="A241" s="1262"/>
      <c r="B241" s="1276"/>
      <c r="C241" s="1276"/>
      <c r="D241" s="1276"/>
      <c r="E241" s="1276"/>
      <c r="F241" s="1276"/>
      <c r="G241" s="1276"/>
      <c r="H241" s="1276"/>
      <c r="I241" s="1276"/>
      <c r="J241" s="1276"/>
      <c r="K241" s="1276"/>
      <c r="L241" s="1276"/>
      <c r="M241" s="1276"/>
      <c r="N241" s="1276"/>
      <c r="O241" s="1276"/>
      <c r="P241" s="1276"/>
      <c r="Q241" s="1276"/>
      <c r="R241" s="1276"/>
      <c r="S241" s="1276"/>
      <c r="T241" s="1276"/>
      <c r="U241" s="1276"/>
      <c r="V241" s="1276"/>
      <c r="W241" s="1277"/>
      <c r="X241" s="1277"/>
      <c r="Y241" s="1277"/>
      <c r="Z241" s="1277"/>
      <c r="AA241" s="1277"/>
      <c r="AB241" s="1277"/>
      <c r="AC241" s="1277"/>
      <c r="AD241" s="1277"/>
      <c r="AE241" s="1277"/>
      <c r="AF241" s="1277"/>
      <c r="AG241" s="1277"/>
      <c r="AH241" s="1277"/>
      <c r="AI241" s="1277"/>
      <c r="AJ241" s="1277"/>
      <c r="AK241" s="1277"/>
      <c r="AL241" s="1277"/>
      <c r="AM241" s="1277"/>
      <c r="AN241" s="1277"/>
      <c r="AO241" s="1277"/>
      <c r="AP241" s="1277"/>
      <c r="AQ241" s="1277"/>
      <c r="AR241" s="1277"/>
      <c r="AS241" s="1277"/>
      <c r="AT241" s="1277"/>
      <c r="AU241" s="1277"/>
      <c r="AV241" s="1277"/>
      <c r="AW241" s="1277"/>
      <c r="AX241" s="1277"/>
      <c r="AY241" s="1277"/>
      <c r="AZ241" s="1277"/>
      <c r="BA241" s="1277"/>
      <c r="BB241" s="1277"/>
      <c r="BC241" s="1277"/>
      <c r="BD241" s="1277"/>
      <c r="BE241" s="1277"/>
      <c r="BF241" s="1277"/>
      <c r="BG241" s="1277"/>
      <c r="BH241" s="1277"/>
      <c r="BI241" s="1277"/>
      <c r="BJ241" s="1277"/>
      <c r="BK241" s="1277"/>
      <c r="BL241" s="1277"/>
      <c r="BM241" s="1277"/>
      <c r="BN241" s="1277"/>
      <c r="BO241" s="1277"/>
      <c r="BP241" s="1277"/>
      <c r="BQ241" s="1277"/>
      <c r="BR241" s="1277"/>
      <c r="BS241" s="1277"/>
      <c r="BT241" s="1277"/>
      <c r="BU241" s="1277"/>
      <c r="BV241" s="1277"/>
      <c r="BW241" s="1277"/>
      <c r="BX241" s="1277"/>
      <c r="BY241" s="1277"/>
      <c r="BZ241" s="1277"/>
      <c r="CA241" s="1277"/>
      <c r="CB241" s="1277"/>
      <c r="CC241" s="1277"/>
      <c r="CD241" s="1277"/>
      <c r="CE241" s="1277"/>
      <c r="CF241" s="1277"/>
      <c r="CG241" s="1277"/>
      <c r="CH241" s="1269"/>
      <c r="CI241" s="1277"/>
      <c r="CJ241" s="1277"/>
      <c r="CK241" s="1277"/>
      <c r="CL241" s="1277"/>
      <c r="CM241" s="1277"/>
      <c r="CN241" s="1277"/>
      <c r="CO241" s="1277"/>
      <c r="CP241" s="1277"/>
      <c r="CQ241" s="1277"/>
      <c r="CR241" s="1277"/>
      <c r="CS241" s="1277"/>
      <c r="CT241" s="1277"/>
      <c r="CU241" s="1277"/>
      <c r="CV241" s="1277"/>
      <c r="CW241" s="1277"/>
      <c r="CX241" s="1277"/>
      <c r="CY241" s="1277"/>
      <c r="CZ241" s="1277"/>
      <c r="DA241" s="1277"/>
      <c r="DB241" s="1277"/>
      <c r="DC241" s="1277"/>
      <c r="DD241" s="1277"/>
      <c r="DE241" s="1277"/>
      <c r="DF241" s="1277"/>
      <c r="DG241" s="1277"/>
      <c r="DH241" s="1277"/>
      <c r="DI241" s="1277"/>
      <c r="DJ241" s="1277"/>
      <c r="DK241" s="1277"/>
      <c r="DL241" s="1277"/>
      <c r="DM241" s="1277"/>
      <c r="DN241" s="1277"/>
      <c r="DO241" s="1277"/>
      <c r="DP241" s="1277"/>
      <c r="DQ241" s="1277"/>
      <c r="DR241" s="1277"/>
      <c r="DS241" s="1277"/>
      <c r="DT241" s="1277"/>
      <c r="DU241" s="1277"/>
      <c r="DV241" s="1277"/>
      <c r="DW241" s="1277"/>
      <c r="DX241" s="1277"/>
      <c r="DY241" s="1277"/>
      <c r="DZ241" s="1277"/>
      <c r="EA241" s="1277"/>
      <c r="EB241" s="1276"/>
      <c r="EC241" s="1276"/>
      <c r="ED241" s="1276"/>
      <c r="EE241" s="1276"/>
      <c r="EF241" s="1276"/>
      <c r="EG241" s="1276"/>
      <c r="EH241" s="1276"/>
      <c r="EI241" s="1276"/>
      <c r="EJ241" s="1276"/>
      <c r="EK241" s="1275"/>
      <c r="EL241" s="1275"/>
      <c r="EM241" s="1313"/>
    </row>
    <row r="242" spans="1:143" s="1271" customFormat="1">
      <c r="B242" s="1272"/>
      <c r="C242" s="1272"/>
      <c r="D242" s="1273"/>
      <c r="E242" s="1273"/>
      <c r="F242" s="1273"/>
      <c r="G242" s="1273"/>
      <c r="H242" s="1273"/>
      <c r="I242" s="1273"/>
      <c r="J242" s="1273"/>
      <c r="K242" s="1273"/>
      <c r="L242" s="1273"/>
      <c r="M242" s="1273"/>
      <c r="N242" s="1273"/>
      <c r="O242" s="1273"/>
      <c r="P242" s="1273"/>
      <c r="Q242" s="1273"/>
      <c r="R242" s="1273"/>
      <c r="S242" s="1273"/>
      <c r="T242" s="1273"/>
      <c r="U242" s="1273"/>
      <c r="V242" s="1273"/>
      <c r="W242" s="1274"/>
      <c r="X242" s="1274"/>
      <c r="Y242" s="1274"/>
      <c r="Z242" s="1274"/>
      <c r="AA242" s="1274"/>
      <c r="AB242" s="1274"/>
      <c r="AC242" s="1274"/>
      <c r="AD242" s="1274"/>
      <c r="AE242" s="1274"/>
      <c r="AF242" s="1274"/>
      <c r="AG242" s="1274"/>
      <c r="AH242" s="1274"/>
      <c r="AI242" s="1274"/>
      <c r="AJ242" s="1274"/>
      <c r="AK242" s="1274"/>
      <c r="AL242" s="1274"/>
      <c r="AM242" s="1274"/>
      <c r="AN242" s="1274"/>
      <c r="AO242" s="1274"/>
      <c r="AP242" s="1274"/>
      <c r="AQ242" s="1274"/>
      <c r="AR242" s="1274"/>
      <c r="AS242" s="1274"/>
      <c r="AT242" s="1274"/>
      <c r="AU242" s="1274"/>
      <c r="AV242" s="1274"/>
      <c r="AW242" s="1274"/>
      <c r="AX242" s="1274"/>
      <c r="AY242" s="1274"/>
      <c r="AZ242" s="1274"/>
      <c r="BA242" s="1274"/>
      <c r="BB242" s="1274"/>
      <c r="BC242" s="1274"/>
      <c r="BD242" s="1274"/>
      <c r="BE242" s="1274"/>
      <c r="BF242" s="1274"/>
      <c r="BG242" s="1274"/>
      <c r="BH242" s="1274"/>
      <c r="BI242" s="1274"/>
      <c r="BJ242" s="1274"/>
      <c r="BK242" s="1274"/>
      <c r="BL242" s="1274"/>
      <c r="BM242" s="1274"/>
      <c r="BN242" s="1274"/>
      <c r="BO242" s="1274"/>
      <c r="BP242" s="1274"/>
      <c r="BQ242" s="1274"/>
      <c r="BR242" s="1274"/>
      <c r="BS242" s="1274"/>
      <c r="BT242" s="1274"/>
      <c r="BU242" s="1274"/>
      <c r="BV242" s="1274"/>
      <c r="BW242" s="1274"/>
      <c r="BX242" s="1274"/>
      <c r="BY242" s="1274"/>
      <c r="BZ242" s="1274"/>
      <c r="CA242" s="1274"/>
      <c r="CB242" s="1274"/>
      <c r="CC242" s="1274"/>
      <c r="CD242" s="1274"/>
      <c r="CE242" s="1274"/>
      <c r="CF242" s="1274"/>
      <c r="CG242" s="1274"/>
      <c r="CH242" s="1269"/>
      <c r="CI242" s="1274"/>
      <c r="CJ242" s="1274"/>
      <c r="CK242" s="1274"/>
      <c r="CL242" s="1274"/>
      <c r="CM242" s="1274"/>
      <c r="CN242" s="1274"/>
      <c r="CO242" s="1274"/>
      <c r="CP242" s="1274"/>
      <c r="CQ242" s="1274"/>
      <c r="CR242" s="1274"/>
      <c r="CS242" s="1274"/>
      <c r="CT242" s="1274"/>
      <c r="CU242" s="1274"/>
      <c r="CV242" s="1274"/>
      <c r="CW242" s="1274"/>
      <c r="CX242" s="1274"/>
      <c r="CY242" s="1274"/>
      <c r="CZ242" s="1274"/>
      <c r="DA242" s="1274"/>
      <c r="DB242" s="1274"/>
      <c r="DC242" s="1274"/>
      <c r="DD242" s="1274"/>
      <c r="DE242" s="1274"/>
      <c r="DF242" s="1274"/>
      <c r="DG242" s="1274"/>
      <c r="DH242" s="1274"/>
      <c r="DI242" s="1274"/>
      <c r="DJ242" s="1274"/>
      <c r="DK242" s="1274"/>
      <c r="DL242" s="1274"/>
      <c r="DM242" s="1274"/>
      <c r="DN242" s="1274"/>
      <c r="DO242" s="1274"/>
      <c r="DP242" s="1274"/>
      <c r="DQ242" s="1274"/>
      <c r="DR242" s="1274"/>
      <c r="DS242" s="1274"/>
      <c r="DT242" s="1274"/>
      <c r="DU242" s="1274"/>
      <c r="DV242" s="1274"/>
      <c r="DW242" s="1274"/>
      <c r="DX242" s="1274"/>
      <c r="DY242" s="1274"/>
      <c r="DZ242" s="1274"/>
      <c r="EA242" s="1274"/>
      <c r="EB242" s="1273"/>
      <c r="EC242" s="1273"/>
      <c r="ED242" s="1273"/>
      <c r="EE242" s="1273"/>
      <c r="EF242" s="1273"/>
      <c r="EG242" s="1273"/>
      <c r="EH242" s="1273"/>
      <c r="EI242" s="1273"/>
      <c r="EJ242" s="1273"/>
      <c r="EK242" s="1273"/>
      <c r="EL242" s="1273"/>
      <c r="EM242" s="1313"/>
    </row>
    <row r="243" spans="1:143" s="1271" customFormat="1">
      <c r="B243" s="1272"/>
      <c r="C243" s="1272"/>
      <c r="D243" s="1273"/>
      <c r="E243" s="1273"/>
      <c r="F243" s="1273"/>
      <c r="G243" s="1273"/>
      <c r="H243" s="1273"/>
      <c r="I243" s="1273"/>
      <c r="J243" s="1273"/>
      <c r="K243" s="1273"/>
      <c r="L243" s="1273"/>
      <c r="M243" s="1273"/>
      <c r="N243" s="1273"/>
      <c r="O243" s="1273"/>
      <c r="P243" s="1273"/>
      <c r="Q243" s="1273"/>
      <c r="R243" s="1273"/>
      <c r="S243" s="1273"/>
      <c r="T243" s="1273"/>
      <c r="U243" s="1273"/>
      <c r="V243" s="1273"/>
      <c r="W243" s="1274"/>
      <c r="X243" s="1274"/>
      <c r="Y243" s="1274"/>
      <c r="Z243" s="1274"/>
      <c r="AA243" s="1274"/>
      <c r="AB243" s="1274"/>
      <c r="AC243" s="1274"/>
      <c r="AD243" s="1274"/>
      <c r="AE243" s="1274"/>
      <c r="AF243" s="1274"/>
      <c r="AG243" s="1274"/>
      <c r="AH243" s="1274"/>
      <c r="AI243" s="1274"/>
      <c r="AJ243" s="1274"/>
      <c r="AK243" s="1274"/>
      <c r="AL243" s="1274"/>
      <c r="AM243" s="1274"/>
      <c r="AN243" s="1274"/>
      <c r="AO243" s="1274"/>
      <c r="AP243" s="1274"/>
      <c r="AQ243" s="1274"/>
      <c r="AR243" s="1274"/>
      <c r="AS243" s="1274"/>
      <c r="AT243" s="1274"/>
      <c r="AU243" s="1274"/>
      <c r="AV243" s="1274"/>
      <c r="AW243" s="1274"/>
      <c r="AX243" s="1274"/>
      <c r="AY243" s="1274"/>
      <c r="AZ243" s="1274"/>
      <c r="BA243" s="1274"/>
      <c r="BB243" s="1274"/>
      <c r="BC243" s="1274"/>
      <c r="BD243" s="1274"/>
      <c r="BE243" s="1274"/>
      <c r="BF243" s="1274"/>
      <c r="BG243" s="1274"/>
      <c r="BH243" s="1274"/>
      <c r="BI243" s="1274"/>
      <c r="BJ243" s="1274"/>
      <c r="BK243" s="1274"/>
      <c r="BL243" s="1274"/>
      <c r="BM243" s="1274"/>
      <c r="BN243" s="1274"/>
      <c r="BO243" s="1274"/>
      <c r="BP243" s="1274"/>
      <c r="BQ243" s="1274"/>
      <c r="BR243" s="1274"/>
      <c r="BS243" s="1274"/>
      <c r="BT243" s="1274"/>
      <c r="BU243" s="1274"/>
      <c r="BV243" s="1274"/>
      <c r="BW243" s="1274"/>
      <c r="BX243" s="1274"/>
      <c r="BY243" s="1274"/>
      <c r="BZ243" s="1274"/>
      <c r="CA243" s="1274"/>
      <c r="CB243" s="1274"/>
      <c r="CC243" s="1274"/>
      <c r="CD243" s="1274"/>
      <c r="CE243" s="1274"/>
      <c r="CF243" s="1274"/>
      <c r="CG243" s="1274"/>
      <c r="CH243" s="1269"/>
      <c r="CI243" s="1274"/>
      <c r="CJ243" s="1274"/>
      <c r="CK243" s="1274"/>
      <c r="CL243" s="1274"/>
      <c r="CM243" s="1274"/>
      <c r="CN243" s="1274"/>
      <c r="CO243" s="1274"/>
      <c r="CP243" s="1274"/>
      <c r="CQ243" s="1274"/>
      <c r="CR243" s="1274"/>
      <c r="CS243" s="1274"/>
      <c r="CT243" s="1274"/>
      <c r="CU243" s="1274"/>
      <c r="CV243" s="1274"/>
      <c r="CW243" s="1274"/>
      <c r="CX243" s="1274"/>
      <c r="CY243" s="1274"/>
      <c r="CZ243" s="1274"/>
      <c r="DA243" s="1274"/>
      <c r="DB243" s="1274"/>
      <c r="DC243" s="1274"/>
      <c r="DD243" s="1274"/>
      <c r="DE243" s="1274"/>
      <c r="DF243" s="1274"/>
      <c r="DG243" s="1274"/>
      <c r="DH243" s="1274"/>
      <c r="DI243" s="1274"/>
      <c r="DJ243" s="1274"/>
      <c r="DK243" s="1274"/>
      <c r="DL243" s="1274"/>
      <c r="DM243" s="1274"/>
      <c r="DN243" s="1274"/>
      <c r="DO243" s="1274"/>
      <c r="DP243" s="1274"/>
      <c r="DQ243" s="1274"/>
      <c r="DR243" s="1274"/>
      <c r="DS243" s="1274"/>
      <c r="DT243" s="1274"/>
      <c r="DU243" s="1274"/>
      <c r="DV243" s="1274"/>
      <c r="DW243" s="1274"/>
      <c r="DX243" s="1274"/>
      <c r="DY243" s="1274"/>
      <c r="DZ243" s="1274"/>
      <c r="EA243" s="1274"/>
      <c r="EB243" s="1273"/>
      <c r="EC243" s="1273"/>
      <c r="ED243" s="1273"/>
      <c r="EE243" s="1273"/>
      <c r="EF243" s="1273"/>
      <c r="EG243" s="1273"/>
      <c r="EH243" s="1273"/>
      <c r="EI243" s="1273"/>
      <c r="EJ243" s="1273"/>
      <c r="EK243" s="1273"/>
      <c r="EL243" s="1273"/>
      <c r="EM243" s="1313"/>
    </row>
    <row r="244" spans="1:143" s="1271" customFormat="1">
      <c r="B244" s="1272"/>
      <c r="C244" s="1272"/>
      <c r="D244" s="1273"/>
      <c r="E244" s="1273"/>
      <c r="F244" s="1273"/>
      <c r="G244" s="1273"/>
      <c r="H244" s="1273"/>
      <c r="I244" s="1273"/>
      <c r="J244" s="1273"/>
      <c r="K244" s="1273"/>
      <c r="L244" s="1273"/>
      <c r="M244" s="1273"/>
      <c r="N244" s="1273"/>
      <c r="O244" s="1273"/>
      <c r="P244" s="1273"/>
      <c r="Q244" s="1273"/>
      <c r="R244" s="1273"/>
      <c r="S244" s="1273"/>
      <c r="T244" s="1273"/>
      <c r="U244" s="1273"/>
      <c r="V244" s="1273"/>
      <c r="W244" s="1274"/>
      <c r="X244" s="1274"/>
      <c r="Y244" s="1274"/>
      <c r="Z244" s="1274"/>
      <c r="AA244" s="1274"/>
      <c r="AB244" s="1274"/>
      <c r="AC244" s="1274"/>
      <c r="AD244" s="1274"/>
      <c r="AE244" s="1274"/>
      <c r="AF244" s="1274"/>
      <c r="AG244" s="1274"/>
      <c r="AH244" s="1274"/>
      <c r="AI244" s="1274"/>
      <c r="AJ244" s="1274"/>
      <c r="AK244" s="1274"/>
      <c r="AL244" s="1274"/>
      <c r="AM244" s="1274"/>
      <c r="AN244" s="1274"/>
      <c r="AO244" s="1274"/>
      <c r="AP244" s="1274"/>
      <c r="AQ244" s="1274"/>
      <c r="AR244" s="1274"/>
      <c r="AS244" s="1274"/>
      <c r="AT244" s="1274"/>
      <c r="AU244" s="1274"/>
      <c r="AV244" s="1274"/>
      <c r="AW244" s="1274"/>
      <c r="AX244" s="1274"/>
      <c r="AY244" s="1274"/>
      <c r="AZ244" s="1274"/>
      <c r="BA244" s="1274"/>
      <c r="BB244" s="1274"/>
      <c r="BC244" s="1274"/>
      <c r="BD244" s="1274"/>
      <c r="BE244" s="1274"/>
      <c r="BF244" s="1274"/>
      <c r="BG244" s="1274"/>
      <c r="BH244" s="1274"/>
      <c r="BI244" s="1274"/>
      <c r="BJ244" s="1274"/>
      <c r="BK244" s="1274"/>
      <c r="BL244" s="1274"/>
      <c r="BM244" s="1274"/>
      <c r="BN244" s="1274"/>
      <c r="BO244" s="1274"/>
      <c r="BP244" s="1274"/>
      <c r="BQ244" s="1274"/>
      <c r="BR244" s="1274"/>
      <c r="BS244" s="1274"/>
      <c r="BT244" s="1274"/>
      <c r="BU244" s="1274"/>
      <c r="BV244" s="1274"/>
      <c r="BW244" s="1274"/>
      <c r="BX244" s="1274"/>
      <c r="BY244" s="1274"/>
      <c r="BZ244" s="1274"/>
      <c r="CA244" s="1274"/>
      <c r="CB244" s="1274"/>
      <c r="CC244" s="1274"/>
      <c r="CD244" s="1274"/>
      <c r="CE244" s="1274"/>
      <c r="CF244" s="1274"/>
      <c r="CG244" s="1274"/>
      <c r="CH244" s="1269"/>
      <c r="CI244" s="1274"/>
      <c r="CJ244" s="1274"/>
      <c r="CK244" s="1274"/>
      <c r="CL244" s="1274"/>
      <c r="CM244" s="1274"/>
      <c r="CN244" s="1274"/>
      <c r="CO244" s="1274"/>
      <c r="CP244" s="1274"/>
      <c r="CQ244" s="1274"/>
      <c r="CR244" s="1274"/>
      <c r="CS244" s="1274"/>
      <c r="CT244" s="1274"/>
      <c r="CU244" s="1274"/>
      <c r="CV244" s="1274"/>
      <c r="CW244" s="1274"/>
      <c r="CX244" s="1274"/>
      <c r="CY244" s="1274"/>
      <c r="CZ244" s="1274"/>
      <c r="DA244" s="1274"/>
      <c r="DB244" s="1274"/>
      <c r="DC244" s="1274"/>
      <c r="DD244" s="1274"/>
      <c r="DE244" s="1274"/>
      <c r="DF244" s="1274"/>
      <c r="DG244" s="1274"/>
      <c r="DH244" s="1274"/>
      <c r="DI244" s="1274"/>
      <c r="DJ244" s="1274"/>
      <c r="DK244" s="1274"/>
      <c r="DL244" s="1274"/>
      <c r="DM244" s="1274"/>
      <c r="DN244" s="1274"/>
      <c r="DO244" s="1274"/>
      <c r="DP244" s="1274"/>
      <c r="DQ244" s="1274"/>
      <c r="DR244" s="1274"/>
      <c r="DS244" s="1274"/>
      <c r="DT244" s="1274"/>
      <c r="DU244" s="1274"/>
      <c r="DV244" s="1274"/>
      <c r="DW244" s="1274"/>
      <c r="DX244" s="1274"/>
      <c r="DY244" s="1274"/>
      <c r="DZ244" s="1274"/>
      <c r="EA244" s="1274"/>
      <c r="EB244" s="1273"/>
      <c r="EC244" s="1273"/>
      <c r="ED244" s="1273"/>
      <c r="EE244" s="1273"/>
      <c r="EF244" s="1273"/>
      <c r="EG244" s="1273"/>
      <c r="EH244" s="1273"/>
      <c r="EI244" s="1273"/>
      <c r="EJ244" s="1273"/>
      <c r="EK244" s="1273"/>
      <c r="EL244" s="1273"/>
      <c r="EM244" s="1313"/>
    </row>
    <row r="245" spans="1:143" s="1271" customFormat="1">
      <c r="B245" s="1272"/>
      <c r="C245" s="1272"/>
      <c r="D245" s="1273"/>
      <c r="E245" s="1273"/>
      <c r="F245" s="1273"/>
      <c r="G245" s="1273"/>
      <c r="H245" s="1273"/>
      <c r="I245" s="1273"/>
      <c r="J245" s="1273"/>
      <c r="K245" s="1273"/>
      <c r="L245" s="1273"/>
      <c r="M245" s="1273"/>
      <c r="N245" s="1273"/>
      <c r="O245" s="1273"/>
      <c r="P245" s="1273"/>
      <c r="Q245" s="1273"/>
      <c r="R245" s="1273"/>
      <c r="S245" s="1273"/>
      <c r="T245" s="1273"/>
      <c r="U245" s="1273"/>
      <c r="V245" s="1273"/>
      <c r="W245" s="1274"/>
      <c r="X245" s="1274"/>
      <c r="Y245" s="1274"/>
      <c r="Z245" s="1274"/>
      <c r="AA245" s="1274"/>
      <c r="AB245" s="1274"/>
      <c r="AC245" s="1274"/>
      <c r="AD245" s="1274"/>
      <c r="AE245" s="1274"/>
      <c r="AF245" s="1274"/>
      <c r="AG245" s="1274"/>
      <c r="AH245" s="1274"/>
      <c r="AI245" s="1274"/>
      <c r="AJ245" s="1274"/>
      <c r="AK245" s="1274"/>
      <c r="AL245" s="1274"/>
      <c r="AM245" s="1274"/>
      <c r="AN245" s="1274"/>
      <c r="AO245" s="1274"/>
      <c r="AP245" s="1274"/>
      <c r="AQ245" s="1274"/>
      <c r="AR245" s="1274"/>
      <c r="AS245" s="1274"/>
      <c r="AT245" s="1274"/>
      <c r="AU245" s="1274"/>
      <c r="AV245" s="1274"/>
      <c r="AW245" s="1274"/>
      <c r="AX245" s="1274"/>
      <c r="AY245" s="1274"/>
      <c r="AZ245" s="1274"/>
      <c r="BA245" s="1274"/>
      <c r="BB245" s="1274"/>
      <c r="BC245" s="1274"/>
      <c r="BD245" s="1274"/>
      <c r="BE245" s="1274"/>
      <c r="BF245" s="1274"/>
      <c r="BG245" s="1274"/>
      <c r="BH245" s="1274"/>
      <c r="BI245" s="1274"/>
      <c r="BJ245" s="1274"/>
      <c r="BK245" s="1274"/>
      <c r="BL245" s="1274"/>
      <c r="BM245" s="1274"/>
      <c r="BN245" s="1274"/>
      <c r="BO245" s="1274"/>
      <c r="BP245" s="1274"/>
      <c r="BQ245" s="1274"/>
      <c r="BR245" s="1274"/>
      <c r="BS245" s="1274"/>
      <c r="BT245" s="1274"/>
      <c r="BU245" s="1274"/>
      <c r="BV245" s="1274"/>
      <c r="BW245" s="1274"/>
      <c r="BX245" s="1274"/>
      <c r="BY245" s="1274"/>
      <c r="BZ245" s="1274"/>
      <c r="CA245" s="1274"/>
      <c r="CB245" s="1274"/>
      <c r="CC245" s="1274"/>
      <c r="CD245" s="1274"/>
      <c r="CE245" s="1274"/>
      <c r="CF245" s="1274"/>
      <c r="CG245" s="1274"/>
      <c r="CH245" s="1269"/>
      <c r="CI245" s="1274"/>
      <c r="CJ245" s="1274"/>
      <c r="CK245" s="1274"/>
      <c r="CL245" s="1274"/>
      <c r="CM245" s="1274"/>
      <c r="CN245" s="1274"/>
      <c r="CO245" s="1274"/>
      <c r="CP245" s="1274"/>
      <c r="CQ245" s="1274"/>
      <c r="CR245" s="1274"/>
      <c r="CS245" s="1274"/>
      <c r="CT245" s="1274"/>
      <c r="CU245" s="1274"/>
      <c r="CV245" s="1274"/>
      <c r="CW245" s="1274"/>
      <c r="CX245" s="1274"/>
      <c r="CY245" s="1274"/>
      <c r="CZ245" s="1274"/>
      <c r="DA245" s="1274"/>
      <c r="DB245" s="1274"/>
      <c r="DC245" s="1274"/>
      <c r="DD245" s="1274"/>
      <c r="DE245" s="1274"/>
      <c r="DF245" s="1274"/>
      <c r="DG245" s="1274"/>
      <c r="DH245" s="1274"/>
      <c r="DI245" s="1274"/>
      <c r="DJ245" s="1274"/>
      <c r="DK245" s="1274"/>
      <c r="DL245" s="1274"/>
      <c r="DM245" s="1274"/>
      <c r="DN245" s="1274"/>
      <c r="DO245" s="1274"/>
      <c r="DP245" s="1274"/>
      <c r="DQ245" s="1274"/>
      <c r="DR245" s="1274"/>
      <c r="DS245" s="1274"/>
      <c r="DT245" s="1274"/>
      <c r="DU245" s="1274"/>
      <c r="DV245" s="1274"/>
      <c r="DW245" s="1274"/>
      <c r="DX245" s="1274"/>
      <c r="DY245" s="1274"/>
      <c r="DZ245" s="1274"/>
      <c r="EA245" s="1274"/>
      <c r="EB245" s="1273"/>
      <c r="EC245" s="1273"/>
      <c r="ED245" s="1273"/>
      <c r="EE245" s="1273"/>
      <c r="EF245" s="1273"/>
      <c r="EG245" s="1273"/>
      <c r="EH245" s="1273"/>
      <c r="EI245" s="1273"/>
      <c r="EJ245" s="1273"/>
      <c r="EK245" s="1273"/>
      <c r="EL245" s="1273"/>
      <c r="EM245" s="1313"/>
    </row>
    <row r="246" spans="1:143" s="1271" customFormat="1">
      <c r="B246" s="1272"/>
      <c r="C246" s="1272"/>
      <c r="D246" s="1273"/>
      <c r="E246" s="1273"/>
      <c r="F246" s="1273"/>
      <c r="G246" s="1273"/>
      <c r="H246" s="1273"/>
      <c r="I246" s="1273"/>
      <c r="J246" s="1273"/>
      <c r="K246" s="1273"/>
      <c r="L246" s="1273"/>
      <c r="M246" s="1273"/>
      <c r="N246" s="1273"/>
      <c r="O246" s="1273"/>
      <c r="P246" s="1273"/>
      <c r="Q246" s="1273"/>
      <c r="R246" s="1273"/>
      <c r="S246" s="1273"/>
      <c r="T246" s="1273"/>
      <c r="U246" s="1273"/>
      <c r="V246" s="1273"/>
      <c r="W246" s="1274"/>
      <c r="X246" s="1274"/>
      <c r="Y246" s="1274"/>
      <c r="Z246" s="1274"/>
      <c r="AA246" s="1274"/>
      <c r="AB246" s="1274"/>
      <c r="AC246" s="1274"/>
      <c r="AD246" s="1274"/>
      <c r="AE246" s="1274"/>
      <c r="AF246" s="1274"/>
      <c r="AG246" s="1274"/>
      <c r="AH246" s="1274"/>
      <c r="AI246" s="1274"/>
      <c r="AJ246" s="1274"/>
      <c r="AK246" s="1274"/>
      <c r="AL246" s="1274"/>
      <c r="AM246" s="1274"/>
      <c r="AN246" s="1274"/>
      <c r="AO246" s="1274"/>
      <c r="AP246" s="1274"/>
      <c r="AQ246" s="1274"/>
      <c r="AR246" s="1274"/>
      <c r="AS246" s="1274"/>
      <c r="AT246" s="1274"/>
      <c r="AU246" s="1274"/>
      <c r="AV246" s="1274"/>
      <c r="AW246" s="1274"/>
      <c r="AX246" s="1274"/>
      <c r="AY246" s="1274"/>
      <c r="AZ246" s="1274"/>
      <c r="BA246" s="1274"/>
      <c r="BB246" s="1274"/>
      <c r="BC246" s="1274"/>
      <c r="BD246" s="1274"/>
      <c r="BE246" s="1274"/>
      <c r="BF246" s="1274"/>
      <c r="BG246" s="1274"/>
      <c r="BH246" s="1274"/>
      <c r="BI246" s="1274"/>
      <c r="BJ246" s="1274"/>
      <c r="BK246" s="1274"/>
      <c r="BL246" s="1274"/>
      <c r="BM246" s="1274"/>
      <c r="BN246" s="1274"/>
      <c r="BO246" s="1274"/>
      <c r="BP246" s="1274"/>
      <c r="BQ246" s="1274"/>
      <c r="BR246" s="1274"/>
      <c r="BS246" s="1274"/>
      <c r="BT246" s="1274"/>
      <c r="BU246" s="1274"/>
      <c r="BV246" s="1274"/>
      <c r="BW246" s="1274"/>
      <c r="BX246" s="1274"/>
      <c r="BY246" s="1274"/>
      <c r="BZ246" s="1274"/>
      <c r="CA246" s="1274"/>
      <c r="CB246" s="1274"/>
      <c r="CC246" s="1274"/>
      <c r="CD246" s="1274"/>
      <c r="CE246" s="1274"/>
      <c r="CF246" s="1274"/>
      <c r="CG246" s="1274"/>
      <c r="CH246" s="1269"/>
      <c r="CI246" s="1274"/>
      <c r="CJ246" s="1274"/>
      <c r="CK246" s="1274"/>
      <c r="CL246" s="1274"/>
      <c r="CM246" s="1274"/>
      <c r="CN246" s="1274"/>
      <c r="CO246" s="1274"/>
      <c r="CP246" s="1274"/>
      <c r="CQ246" s="1274"/>
      <c r="CR246" s="1274"/>
      <c r="CS246" s="1274"/>
      <c r="CT246" s="1274"/>
      <c r="CU246" s="1274"/>
      <c r="CV246" s="1274"/>
      <c r="CW246" s="1274"/>
      <c r="CX246" s="1274"/>
      <c r="CY246" s="1274"/>
      <c r="CZ246" s="1274"/>
      <c r="DA246" s="1274"/>
      <c r="DB246" s="1274"/>
      <c r="DC246" s="1274"/>
      <c r="DD246" s="1274"/>
      <c r="DE246" s="1274"/>
      <c r="DF246" s="1274"/>
      <c r="DG246" s="1274"/>
      <c r="DH246" s="1274"/>
      <c r="DI246" s="1274"/>
      <c r="DJ246" s="1274"/>
      <c r="DK246" s="1274"/>
      <c r="DL246" s="1274"/>
      <c r="DM246" s="1274"/>
      <c r="DN246" s="1274"/>
      <c r="DO246" s="1274"/>
      <c r="DP246" s="1274"/>
      <c r="DQ246" s="1274"/>
      <c r="DR246" s="1274"/>
      <c r="DS246" s="1274"/>
      <c r="DT246" s="1274"/>
      <c r="DU246" s="1274"/>
      <c r="DV246" s="1274"/>
      <c r="DW246" s="1274"/>
      <c r="DX246" s="1274"/>
      <c r="DY246" s="1274"/>
      <c r="DZ246" s="1274"/>
      <c r="EA246" s="1274"/>
      <c r="EB246" s="1273"/>
      <c r="EC246" s="1273"/>
      <c r="ED246" s="1273"/>
      <c r="EE246" s="1273"/>
      <c r="EF246" s="1273"/>
      <c r="EG246" s="1273"/>
      <c r="EH246" s="1273"/>
      <c r="EI246" s="1273"/>
      <c r="EJ246" s="1273"/>
      <c r="EK246" s="1273"/>
      <c r="EL246" s="1273"/>
      <c r="EM246" s="1313"/>
    </row>
    <row r="247" spans="1:143" s="1271" customFormat="1">
      <c r="B247" s="1272"/>
      <c r="C247" s="1272"/>
      <c r="D247" s="1273"/>
      <c r="E247" s="1273"/>
      <c r="F247" s="1273"/>
      <c r="G247" s="1273"/>
      <c r="H247" s="1273"/>
      <c r="I247" s="1273"/>
      <c r="J247" s="1273"/>
      <c r="K247" s="1273"/>
      <c r="L247" s="1273"/>
      <c r="M247" s="1273"/>
      <c r="N247" s="1273"/>
      <c r="O247" s="1273"/>
      <c r="P247" s="1273"/>
      <c r="Q247" s="1273"/>
      <c r="R247" s="1273"/>
      <c r="S247" s="1273"/>
      <c r="T247" s="1273"/>
      <c r="U247" s="1273"/>
      <c r="V247" s="1273"/>
      <c r="W247" s="1274"/>
      <c r="X247" s="1274"/>
      <c r="Y247" s="1274"/>
      <c r="Z247" s="1274"/>
      <c r="AA247" s="1274"/>
      <c r="AB247" s="1274"/>
      <c r="AC247" s="1274"/>
      <c r="AD247" s="1274"/>
      <c r="AE247" s="1274"/>
      <c r="AF247" s="1274"/>
      <c r="AG247" s="1274"/>
      <c r="AH247" s="1274"/>
      <c r="AI247" s="1274"/>
      <c r="AJ247" s="1274"/>
      <c r="AK247" s="1274"/>
      <c r="AL247" s="1274"/>
      <c r="AM247" s="1274"/>
      <c r="AN247" s="1274"/>
      <c r="AO247" s="1274"/>
      <c r="AP247" s="1274"/>
      <c r="AQ247" s="1274"/>
      <c r="AR247" s="1274"/>
      <c r="AS247" s="1274"/>
      <c r="AT247" s="1274"/>
      <c r="AU247" s="1274"/>
      <c r="AV247" s="1274"/>
      <c r="AW247" s="1274"/>
      <c r="AX247" s="1274"/>
      <c r="AY247" s="1274"/>
      <c r="AZ247" s="1274"/>
      <c r="BA247" s="1274"/>
      <c r="BB247" s="1274"/>
      <c r="BC247" s="1274"/>
      <c r="BD247" s="1274"/>
      <c r="BE247" s="1274"/>
      <c r="BF247" s="1274"/>
      <c r="BG247" s="1274"/>
      <c r="BH247" s="1274"/>
      <c r="BI247" s="1274"/>
      <c r="BJ247" s="1274"/>
      <c r="BK247" s="1274"/>
      <c r="BL247" s="1274"/>
      <c r="BM247" s="1274"/>
      <c r="BN247" s="1274"/>
      <c r="BO247" s="1274"/>
      <c r="BP247" s="1274"/>
      <c r="BQ247" s="1274"/>
      <c r="BR247" s="1274"/>
      <c r="BS247" s="1274"/>
      <c r="BT247" s="1274"/>
      <c r="BU247" s="1274"/>
      <c r="BV247" s="1274"/>
      <c r="BW247" s="1274"/>
      <c r="BX247" s="1274"/>
      <c r="BY247" s="1274"/>
      <c r="BZ247" s="1274"/>
      <c r="CA247" s="1274"/>
      <c r="CB247" s="1274"/>
      <c r="CC247" s="1274"/>
      <c r="CD247" s="1274"/>
      <c r="CE247" s="1274"/>
      <c r="CF247" s="1274"/>
      <c r="CG247" s="1274"/>
      <c r="CH247" s="1269"/>
      <c r="CI247" s="1274"/>
      <c r="CJ247" s="1274"/>
      <c r="CK247" s="1274"/>
      <c r="CL247" s="1274"/>
      <c r="CM247" s="1274"/>
      <c r="CN247" s="1274"/>
      <c r="CO247" s="1274"/>
      <c r="CP247" s="1274"/>
      <c r="CQ247" s="1274"/>
      <c r="CR247" s="1274"/>
      <c r="CS247" s="1274"/>
      <c r="CT247" s="1274"/>
      <c r="CU247" s="1274"/>
      <c r="CV247" s="1274"/>
      <c r="CW247" s="1274"/>
      <c r="CX247" s="1274"/>
      <c r="CY247" s="1274"/>
      <c r="CZ247" s="1274"/>
      <c r="DA247" s="1274"/>
      <c r="DB247" s="1274"/>
      <c r="DC247" s="1274"/>
      <c r="DD247" s="1274"/>
      <c r="DE247" s="1274"/>
      <c r="DF247" s="1274"/>
      <c r="DG247" s="1274"/>
      <c r="DH247" s="1274"/>
      <c r="DI247" s="1274"/>
      <c r="DJ247" s="1274"/>
      <c r="DK247" s="1274"/>
      <c r="DL247" s="1274"/>
      <c r="DM247" s="1274"/>
      <c r="DN247" s="1274"/>
      <c r="DO247" s="1274"/>
      <c r="DP247" s="1274"/>
      <c r="DQ247" s="1274"/>
      <c r="DR247" s="1274"/>
      <c r="DS247" s="1274"/>
      <c r="DT247" s="1274"/>
      <c r="DU247" s="1274"/>
      <c r="DV247" s="1274"/>
      <c r="DW247" s="1274"/>
      <c r="DX247" s="1274"/>
      <c r="DY247" s="1274"/>
      <c r="DZ247" s="1274"/>
      <c r="EA247" s="1274"/>
      <c r="EB247" s="1273"/>
      <c r="EC247" s="1273"/>
      <c r="ED247" s="1273"/>
      <c r="EE247" s="1273"/>
      <c r="EF247" s="1273"/>
      <c r="EG247" s="1273"/>
      <c r="EH247" s="1273"/>
      <c r="EI247" s="1273"/>
      <c r="EJ247" s="1273"/>
      <c r="EK247" s="1273"/>
      <c r="EL247" s="1273"/>
      <c r="EM247" s="1313"/>
    </row>
    <row r="248" spans="1:143" s="1271" customFormat="1">
      <c r="B248" s="1272"/>
      <c r="C248" s="1272"/>
      <c r="D248" s="1273"/>
      <c r="E248" s="1273"/>
      <c r="F248" s="1273"/>
      <c r="G248" s="1273"/>
      <c r="H248" s="1273"/>
      <c r="I248" s="1273"/>
      <c r="J248" s="1273"/>
      <c r="K248" s="1273"/>
      <c r="L248" s="1273"/>
      <c r="M248" s="1273"/>
      <c r="N248" s="1273"/>
      <c r="O248" s="1273"/>
      <c r="P248" s="1273"/>
      <c r="Q248" s="1273"/>
      <c r="R248" s="1273"/>
      <c r="S248" s="1273"/>
      <c r="T248" s="1273"/>
      <c r="U248" s="1273"/>
      <c r="V248" s="1273"/>
      <c r="W248" s="1274"/>
      <c r="X248" s="1274"/>
      <c r="Y248" s="1274"/>
      <c r="Z248" s="1274"/>
      <c r="AA248" s="1274"/>
      <c r="AB248" s="1274"/>
      <c r="AC248" s="1274"/>
      <c r="AD248" s="1274"/>
      <c r="AE248" s="1274"/>
      <c r="AF248" s="1274"/>
      <c r="AG248" s="1274"/>
      <c r="AH248" s="1274"/>
      <c r="AI248" s="1274"/>
      <c r="AJ248" s="1274"/>
      <c r="AK248" s="1274"/>
      <c r="AL248" s="1274"/>
      <c r="AM248" s="1274"/>
      <c r="AN248" s="1274"/>
      <c r="AO248" s="1274"/>
      <c r="AP248" s="1274"/>
      <c r="AQ248" s="1274"/>
      <c r="AR248" s="1274"/>
      <c r="AS248" s="1274"/>
      <c r="AT248" s="1274"/>
      <c r="AU248" s="1274"/>
      <c r="AV248" s="1274"/>
      <c r="AW248" s="1274"/>
      <c r="AX248" s="1274"/>
      <c r="AY248" s="1274"/>
      <c r="AZ248" s="1274"/>
      <c r="BA248" s="1274"/>
      <c r="BB248" s="1274"/>
      <c r="BC248" s="1274"/>
      <c r="BD248" s="1274"/>
      <c r="BE248" s="1274"/>
      <c r="BF248" s="1274"/>
      <c r="BG248" s="1274"/>
      <c r="BH248" s="1274"/>
      <c r="BI248" s="1274"/>
      <c r="BJ248" s="1274"/>
      <c r="BK248" s="1274"/>
      <c r="BL248" s="1274"/>
      <c r="BM248" s="1274"/>
      <c r="BN248" s="1274"/>
      <c r="BO248" s="1274"/>
      <c r="BP248" s="1274"/>
      <c r="BQ248" s="1274"/>
      <c r="BR248" s="1274"/>
      <c r="BS248" s="1274"/>
      <c r="BT248" s="1274"/>
      <c r="BU248" s="1274"/>
      <c r="BV248" s="1274"/>
      <c r="BW248" s="1274"/>
      <c r="BX248" s="1274"/>
      <c r="BY248" s="1274"/>
      <c r="BZ248" s="1274"/>
      <c r="CA248" s="1274"/>
      <c r="CB248" s="1274"/>
      <c r="CC248" s="1274"/>
      <c r="CD248" s="1274"/>
      <c r="CE248" s="1274"/>
      <c r="CF248" s="1274"/>
      <c r="CG248" s="1274"/>
      <c r="CH248" s="1269"/>
      <c r="CI248" s="1274"/>
      <c r="CJ248" s="1274"/>
      <c r="CK248" s="1274"/>
      <c r="CL248" s="1274"/>
      <c r="CM248" s="1274"/>
      <c r="CN248" s="1274"/>
      <c r="CO248" s="1274"/>
      <c r="CP248" s="1274"/>
      <c r="CQ248" s="1274"/>
      <c r="CR248" s="1274"/>
      <c r="CS248" s="1274"/>
      <c r="CT248" s="1274"/>
      <c r="CU248" s="1274"/>
      <c r="CV248" s="1274"/>
      <c r="CW248" s="1274"/>
      <c r="CX248" s="1274"/>
      <c r="CY248" s="1274"/>
      <c r="CZ248" s="1274"/>
      <c r="DA248" s="1274"/>
      <c r="DB248" s="1274"/>
      <c r="DC248" s="1274"/>
      <c r="DD248" s="1274"/>
      <c r="DE248" s="1274"/>
      <c r="DF248" s="1274"/>
      <c r="DG248" s="1274"/>
      <c r="DH248" s="1274"/>
      <c r="DI248" s="1274"/>
      <c r="DJ248" s="1274"/>
      <c r="DK248" s="1274"/>
      <c r="DL248" s="1274"/>
      <c r="DM248" s="1274"/>
      <c r="DN248" s="1274"/>
      <c r="DO248" s="1274"/>
      <c r="DP248" s="1274"/>
      <c r="DQ248" s="1274"/>
      <c r="DR248" s="1274"/>
      <c r="DS248" s="1274"/>
      <c r="DT248" s="1274"/>
      <c r="DU248" s="1274"/>
      <c r="DV248" s="1274"/>
      <c r="DW248" s="1274"/>
      <c r="DX248" s="1274"/>
      <c r="DY248" s="1274"/>
      <c r="DZ248" s="1274"/>
      <c r="EA248" s="1274"/>
      <c r="EB248" s="1273"/>
      <c r="EC248" s="1273"/>
      <c r="ED248" s="1273"/>
      <c r="EE248" s="1273"/>
      <c r="EF248" s="1273"/>
      <c r="EG248" s="1273"/>
      <c r="EH248" s="1273"/>
      <c r="EI248" s="1273"/>
      <c r="EJ248" s="1273"/>
      <c r="EK248" s="1273"/>
      <c r="EL248" s="1273"/>
      <c r="EM248" s="1313"/>
    </row>
    <row r="249" spans="1:143" s="1271" customFormat="1">
      <c r="A249" s="1284"/>
      <c r="B249" s="1272"/>
      <c r="C249" s="1272"/>
      <c r="D249" s="1273"/>
      <c r="E249" s="1273"/>
      <c r="F249" s="1273"/>
      <c r="G249" s="1273"/>
      <c r="H249" s="1273"/>
      <c r="I249" s="1273"/>
      <c r="J249" s="1273"/>
      <c r="K249" s="1273"/>
      <c r="L249" s="1273"/>
      <c r="M249" s="1273"/>
      <c r="N249" s="1273"/>
      <c r="O249" s="1273"/>
      <c r="P249" s="1273"/>
      <c r="Q249" s="1273"/>
      <c r="R249" s="1273"/>
      <c r="S249" s="1273"/>
      <c r="T249" s="1273"/>
      <c r="U249" s="1273"/>
      <c r="V249" s="1273"/>
      <c r="W249" s="1274"/>
      <c r="X249" s="1274"/>
      <c r="Y249" s="1274"/>
      <c r="Z249" s="1274"/>
      <c r="AA249" s="1274"/>
      <c r="AB249" s="1274"/>
      <c r="AC249" s="1274"/>
      <c r="AD249" s="1274"/>
      <c r="AE249" s="1274"/>
      <c r="AF249" s="1274"/>
      <c r="AG249" s="1274"/>
      <c r="AH249" s="1274"/>
      <c r="AI249" s="1274"/>
      <c r="AJ249" s="1274"/>
      <c r="AK249" s="1274"/>
      <c r="AL249" s="1274"/>
      <c r="AM249" s="1274"/>
      <c r="AN249" s="1274"/>
      <c r="AO249" s="1274"/>
      <c r="AP249" s="1274"/>
      <c r="AQ249" s="1274"/>
      <c r="AR249" s="1274"/>
      <c r="AS249" s="1274"/>
      <c r="AT249" s="1274"/>
      <c r="AU249" s="1274"/>
      <c r="AV249" s="1274"/>
      <c r="AW249" s="1274"/>
      <c r="AX249" s="1274"/>
      <c r="AY249" s="1274"/>
      <c r="AZ249" s="1274"/>
      <c r="BA249" s="1274"/>
      <c r="BB249" s="1274"/>
      <c r="BC249" s="1274"/>
      <c r="BD249" s="1274"/>
      <c r="BE249" s="1274"/>
      <c r="BF249" s="1274"/>
      <c r="BG249" s="1274"/>
      <c r="BH249" s="1274"/>
      <c r="BI249" s="1274"/>
      <c r="BJ249" s="1274"/>
      <c r="BK249" s="1274"/>
      <c r="BL249" s="1274"/>
      <c r="BM249" s="1274"/>
      <c r="BN249" s="1274"/>
      <c r="BO249" s="1274"/>
      <c r="BP249" s="1274"/>
      <c r="BQ249" s="1274"/>
      <c r="BR249" s="1274"/>
      <c r="BS249" s="1274"/>
      <c r="BT249" s="1274"/>
      <c r="BU249" s="1274"/>
      <c r="BV249" s="1274"/>
      <c r="BW249" s="1274"/>
      <c r="BX249" s="1274"/>
      <c r="BY249" s="1274"/>
      <c r="BZ249" s="1274"/>
      <c r="CA249" s="1274"/>
      <c r="CB249" s="1274"/>
      <c r="CC249" s="1274"/>
      <c r="CD249" s="1274"/>
      <c r="CE249" s="1274"/>
      <c r="CF249" s="1274"/>
      <c r="CG249" s="1274"/>
      <c r="CH249" s="1269"/>
      <c r="CI249" s="1274"/>
      <c r="CJ249" s="1274"/>
      <c r="CK249" s="1274"/>
      <c r="CL249" s="1274"/>
      <c r="CM249" s="1274"/>
      <c r="CN249" s="1274"/>
      <c r="CO249" s="1274"/>
      <c r="CP249" s="1274"/>
      <c r="CQ249" s="1274"/>
      <c r="CR249" s="1274"/>
      <c r="CS249" s="1274"/>
      <c r="CT249" s="1274"/>
      <c r="CU249" s="1274"/>
      <c r="CV249" s="1274"/>
      <c r="CW249" s="1274"/>
      <c r="CX249" s="1274"/>
      <c r="CY249" s="1274"/>
      <c r="CZ249" s="1274"/>
      <c r="DA249" s="1274"/>
      <c r="DB249" s="1274"/>
      <c r="DC249" s="1274"/>
      <c r="DD249" s="1274"/>
      <c r="DE249" s="1274"/>
      <c r="DF249" s="1274"/>
      <c r="DG249" s="1274"/>
      <c r="DH249" s="1274"/>
      <c r="DI249" s="1274"/>
      <c r="DJ249" s="1274"/>
      <c r="DK249" s="1274"/>
      <c r="DL249" s="1274"/>
      <c r="DM249" s="1274"/>
      <c r="DN249" s="1274"/>
      <c r="DO249" s="1274"/>
      <c r="DP249" s="1274"/>
      <c r="DQ249" s="1274"/>
      <c r="DR249" s="1274"/>
      <c r="DS249" s="1274"/>
      <c r="DT249" s="1274"/>
      <c r="DU249" s="1274"/>
      <c r="DV249" s="1274"/>
      <c r="DW249" s="1274"/>
      <c r="DX249" s="1274"/>
      <c r="DY249" s="1274"/>
      <c r="DZ249" s="1274"/>
      <c r="EA249" s="1274"/>
      <c r="EB249" s="1273"/>
      <c r="EC249" s="1273"/>
      <c r="ED249" s="1273"/>
      <c r="EE249" s="1273"/>
      <c r="EF249" s="1273"/>
      <c r="EG249" s="1273"/>
      <c r="EH249" s="1273"/>
      <c r="EI249" s="1273"/>
      <c r="EJ249" s="1273"/>
      <c r="EK249" s="1273"/>
      <c r="EL249" s="1273"/>
      <c r="EM249" s="1313"/>
    </row>
    <row r="250" spans="1:143" s="1271" customFormat="1">
      <c r="B250" s="1276"/>
      <c r="C250" s="1276"/>
      <c r="D250" s="1276"/>
      <c r="E250" s="1276"/>
      <c r="F250" s="1276"/>
      <c r="G250" s="1276"/>
      <c r="H250" s="1276"/>
      <c r="I250" s="1276"/>
      <c r="J250" s="1276"/>
      <c r="K250" s="1276"/>
      <c r="L250" s="1276"/>
      <c r="M250" s="1276"/>
      <c r="N250" s="1276"/>
      <c r="O250" s="1276"/>
      <c r="P250" s="1276"/>
      <c r="Q250" s="1276"/>
      <c r="R250" s="1276"/>
      <c r="S250" s="1276"/>
      <c r="T250" s="1276"/>
      <c r="U250" s="1276"/>
      <c r="V250" s="1276"/>
      <c r="W250" s="1277"/>
      <c r="X250" s="1277"/>
      <c r="Y250" s="1277"/>
      <c r="Z250" s="1277"/>
      <c r="AA250" s="1277"/>
      <c r="AB250" s="1277"/>
      <c r="AC250" s="1277"/>
      <c r="AD250" s="1277"/>
      <c r="AE250" s="1277"/>
      <c r="AF250" s="1277"/>
      <c r="AG250" s="1277"/>
      <c r="AH250" s="1277"/>
      <c r="AI250" s="1277"/>
      <c r="AJ250" s="1277"/>
      <c r="AK250" s="1277"/>
      <c r="AL250" s="1277"/>
      <c r="AM250" s="1277"/>
      <c r="AN250" s="1277"/>
      <c r="AO250" s="1277"/>
      <c r="AP250" s="1277"/>
      <c r="AQ250" s="1277"/>
      <c r="AR250" s="1277"/>
      <c r="AS250" s="1277"/>
      <c r="AT250" s="1277"/>
      <c r="AU250" s="1277"/>
      <c r="AV250" s="1277"/>
      <c r="AW250" s="1277"/>
      <c r="AX250" s="1277"/>
      <c r="AY250" s="1277"/>
      <c r="AZ250" s="1277"/>
      <c r="BA250" s="1277"/>
      <c r="BB250" s="1277"/>
      <c r="BC250" s="1277"/>
      <c r="BD250" s="1277"/>
      <c r="BE250" s="1277"/>
      <c r="BF250" s="1277"/>
      <c r="BG250" s="1277"/>
      <c r="BH250" s="1277"/>
      <c r="BI250" s="1277"/>
      <c r="BJ250" s="1277"/>
      <c r="BK250" s="1277"/>
      <c r="BL250" s="1277"/>
      <c r="BM250" s="1277"/>
      <c r="BN250" s="1277"/>
      <c r="BO250" s="1277"/>
      <c r="BP250" s="1277"/>
      <c r="BQ250" s="1277"/>
      <c r="BR250" s="1277"/>
      <c r="BS250" s="1277"/>
      <c r="BT250" s="1277"/>
      <c r="BU250" s="1277"/>
      <c r="BV250" s="1277"/>
      <c r="BW250" s="1277"/>
      <c r="BX250" s="1277"/>
      <c r="BY250" s="1277"/>
      <c r="BZ250" s="1277"/>
      <c r="CA250" s="1277"/>
      <c r="CB250" s="1277"/>
      <c r="CC250" s="1277"/>
      <c r="CD250" s="1277"/>
      <c r="CE250" s="1277"/>
      <c r="CF250" s="1277"/>
      <c r="CG250" s="1277"/>
      <c r="CH250" s="1269"/>
      <c r="CI250" s="1277"/>
      <c r="CJ250" s="1277"/>
      <c r="CK250" s="1277"/>
      <c r="CL250" s="1277"/>
      <c r="CM250" s="1277"/>
      <c r="CN250" s="1277"/>
      <c r="CO250" s="1277"/>
      <c r="CP250" s="1277"/>
      <c r="CQ250" s="1277"/>
      <c r="CR250" s="1277"/>
      <c r="CS250" s="1277"/>
      <c r="CT250" s="1277"/>
      <c r="CU250" s="1277"/>
      <c r="CV250" s="1277"/>
      <c r="CW250" s="1277"/>
      <c r="CX250" s="1277"/>
      <c r="CY250" s="1277"/>
      <c r="CZ250" s="1277"/>
      <c r="DA250" s="1277"/>
      <c r="DB250" s="1277"/>
      <c r="DC250" s="1277"/>
      <c r="DD250" s="1277"/>
      <c r="DE250" s="1277"/>
      <c r="DF250" s="1277"/>
      <c r="DG250" s="1277"/>
      <c r="DH250" s="1277"/>
      <c r="DI250" s="1277"/>
      <c r="DJ250" s="1277"/>
      <c r="DK250" s="1277"/>
      <c r="DL250" s="1277"/>
      <c r="DM250" s="1277"/>
      <c r="DN250" s="1277"/>
      <c r="DO250" s="1277"/>
      <c r="DP250" s="1277"/>
      <c r="DQ250" s="1277"/>
      <c r="DR250" s="1277"/>
      <c r="DS250" s="1277"/>
      <c r="DT250" s="1277"/>
      <c r="DU250" s="1277"/>
      <c r="DV250" s="1277"/>
      <c r="DW250" s="1277"/>
      <c r="DX250" s="1277"/>
      <c r="DY250" s="1277"/>
      <c r="DZ250" s="1277"/>
      <c r="EA250" s="1277"/>
      <c r="EB250" s="1276"/>
      <c r="EC250" s="1276"/>
      <c r="ED250" s="1276"/>
      <c r="EE250" s="1276"/>
      <c r="EF250" s="1276"/>
      <c r="EG250" s="1276"/>
      <c r="EH250" s="1276"/>
      <c r="EI250" s="1276"/>
      <c r="EJ250" s="1276"/>
      <c r="EK250" s="1275"/>
      <c r="EL250" s="1275"/>
      <c r="EM250" s="1313"/>
    </row>
    <row r="251" spans="1:143" s="1271" customFormat="1">
      <c r="B251" s="1276"/>
      <c r="C251" s="1276"/>
      <c r="D251" s="1276"/>
      <c r="E251" s="1276"/>
      <c r="F251" s="1276"/>
      <c r="G251" s="1276"/>
      <c r="H251" s="1276"/>
      <c r="I251" s="1276"/>
      <c r="J251" s="1276"/>
      <c r="K251" s="1276"/>
      <c r="L251" s="1276"/>
      <c r="M251" s="1276"/>
      <c r="N251" s="1276"/>
      <c r="O251" s="1276"/>
      <c r="P251" s="1276"/>
      <c r="Q251" s="1276"/>
      <c r="R251" s="1276"/>
      <c r="S251" s="1276"/>
      <c r="T251" s="1276"/>
      <c r="U251" s="1276"/>
      <c r="V251" s="1276"/>
      <c r="W251" s="1277"/>
      <c r="X251" s="1277"/>
      <c r="Y251" s="1277"/>
      <c r="Z251" s="1277"/>
      <c r="AA251" s="1277"/>
      <c r="AB251" s="1277"/>
      <c r="AC251" s="1277"/>
      <c r="AD251" s="1277"/>
      <c r="AE251" s="1277"/>
      <c r="AF251" s="1277"/>
      <c r="AG251" s="1277"/>
      <c r="AH251" s="1277"/>
      <c r="AI251" s="1277"/>
      <c r="AJ251" s="1277"/>
      <c r="AK251" s="1277"/>
      <c r="AL251" s="1277"/>
      <c r="AM251" s="1277"/>
      <c r="AN251" s="1277"/>
      <c r="AO251" s="1277"/>
      <c r="AP251" s="1277"/>
      <c r="AQ251" s="1277"/>
      <c r="AR251" s="1277"/>
      <c r="AS251" s="1277"/>
      <c r="AT251" s="1277"/>
      <c r="AU251" s="1277"/>
      <c r="AV251" s="1277"/>
      <c r="AW251" s="1277"/>
      <c r="AX251" s="1277"/>
      <c r="AY251" s="1277"/>
      <c r="AZ251" s="1277"/>
      <c r="BA251" s="1277"/>
      <c r="BB251" s="1277"/>
      <c r="BC251" s="1277"/>
      <c r="BD251" s="1277"/>
      <c r="BE251" s="1277"/>
      <c r="BF251" s="1277"/>
      <c r="BG251" s="1277"/>
      <c r="BH251" s="1277"/>
      <c r="BI251" s="1277"/>
      <c r="BJ251" s="1277"/>
      <c r="BK251" s="1277"/>
      <c r="BL251" s="1277"/>
      <c r="BM251" s="1277"/>
      <c r="BN251" s="1277"/>
      <c r="BO251" s="1277"/>
      <c r="BP251" s="1277"/>
      <c r="BQ251" s="1277"/>
      <c r="BR251" s="1277"/>
      <c r="BS251" s="1277"/>
      <c r="BT251" s="1277"/>
      <c r="BU251" s="1277"/>
      <c r="BV251" s="1277"/>
      <c r="BW251" s="1277"/>
      <c r="BX251" s="1277"/>
      <c r="BY251" s="1277"/>
      <c r="BZ251" s="1277"/>
      <c r="CA251" s="1277"/>
      <c r="CB251" s="1277"/>
      <c r="CC251" s="1277"/>
      <c r="CD251" s="1277"/>
      <c r="CE251" s="1277"/>
      <c r="CF251" s="1277"/>
      <c r="CG251" s="1277"/>
      <c r="CH251" s="1269"/>
      <c r="CI251" s="1277"/>
      <c r="CJ251" s="1277"/>
      <c r="CK251" s="1277"/>
      <c r="CL251" s="1277"/>
      <c r="CM251" s="1277"/>
      <c r="CN251" s="1277"/>
      <c r="CO251" s="1277"/>
      <c r="CP251" s="1277"/>
      <c r="CQ251" s="1277"/>
      <c r="CR251" s="1277"/>
      <c r="CS251" s="1277"/>
      <c r="CT251" s="1277"/>
      <c r="CU251" s="1277"/>
      <c r="CV251" s="1277"/>
      <c r="CW251" s="1277"/>
      <c r="CX251" s="1277"/>
      <c r="CY251" s="1277"/>
      <c r="CZ251" s="1277"/>
      <c r="DA251" s="1277"/>
      <c r="DB251" s="1277"/>
      <c r="DC251" s="1277"/>
      <c r="DD251" s="1277"/>
      <c r="DE251" s="1277"/>
      <c r="DF251" s="1277"/>
      <c r="DG251" s="1277"/>
      <c r="DH251" s="1277"/>
      <c r="DI251" s="1277"/>
      <c r="DJ251" s="1277"/>
      <c r="DK251" s="1277"/>
      <c r="DL251" s="1277"/>
      <c r="DM251" s="1277"/>
      <c r="DN251" s="1277"/>
      <c r="DO251" s="1277"/>
      <c r="DP251" s="1277"/>
      <c r="DQ251" s="1277"/>
      <c r="DR251" s="1277"/>
      <c r="DS251" s="1277"/>
      <c r="DT251" s="1277"/>
      <c r="DU251" s="1277"/>
      <c r="DV251" s="1277"/>
      <c r="DW251" s="1277"/>
      <c r="DX251" s="1277"/>
      <c r="DY251" s="1277"/>
      <c r="DZ251" s="1277"/>
      <c r="EA251" s="1277"/>
      <c r="EB251" s="1276"/>
      <c r="EC251" s="1276"/>
      <c r="ED251" s="1276"/>
      <c r="EE251" s="1276"/>
      <c r="EF251" s="1276"/>
      <c r="EG251" s="1276"/>
      <c r="EH251" s="1276"/>
      <c r="EI251" s="1276"/>
      <c r="EJ251" s="1276"/>
      <c r="EK251" s="1275"/>
      <c r="EL251" s="1275"/>
      <c r="EM251" s="1313"/>
    </row>
    <row r="252" spans="1:143" s="1271" customFormat="1">
      <c r="B252" s="1276"/>
      <c r="C252" s="1276"/>
      <c r="D252" s="1276"/>
      <c r="E252" s="1276"/>
      <c r="F252" s="1276"/>
      <c r="G252" s="1276"/>
      <c r="H252" s="1276"/>
      <c r="I252" s="1276"/>
      <c r="J252" s="1276"/>
      <c r="K252" s="1276"/>
      <c r="L252" s="1276"/>
      <c r="M252" s="1276"/>
      <c r="N252" s="1276"/>
      <c r="O252" s="1276"/>
      <c r="P252" s="1276"/>
      <c r="Q252" s="1276"/>
      <c r="R252" s="1276"/>
      <c r="S252" s="1276"/>
      <c r="T252" s="1276"/>
      <c r="U252" s="1276"/>
      <c r="V252" s="1276"/>
      <c r="W252" s="1277"/>
      <c r="X252" s="1277"/>
      <c r="Y252" s="1277"/>
      <c r="Z252" s="1277"/>
      <c r="AA252" s="1277"/>
      <c r="AB252" s="1277"/>
      <c r="AC252" s="1277"/>
      <c r="AD252" s="1277"/>
      <c r="AE252" s="1277"/>
      <c r="AF252" s="1277"/>
      <c r="AG252" s="1277"/>
      <c r="AH252" s="1277"/>
      <c r="AI252" s="1277"/>
      <c r="AJ252" s="1277"/>
      <c r="AK252" s="1277"/>
      <c r="AL252" s="1277"/>
      <c r="AM252" s="1277"/>
      <c r="AN252" s="1277"/>
      <c r="AO252" s="1277"/>
      <c r="AP252" s="1277"/>
      <c r="AQ252" s="1277"/>
      <c r="AR252" s="1277"/>
      <c r="AS252" s="1277"/>
      <c r="AT252" s="1277"/>
      <c r="AU252" s="1277"/>
      <c r="AV252" s="1277"/>
      <c r="AW252" s="1277"/>
      <c r="AX252" s="1277"/>
      <c r="AY252" s="1277"/>
      <c r="AZ252" s="1277"/>
      <c r="BA252" s="1277"/>
      <c r="BB252" s="1277"/>
      <c r="BC252" s="1277"/>
      <c r="BD252" s="1277"/>
      <c r="BE252" s="1277"/>
      <c r="BF252" s="1277"/>
      <c r="BG252" s="1277"/>
      <c r="BH252" s="1277"/>
      <c r="BI252" s="1277"/>
      <c r="BJ252" s="1277"/>
      <c r="BK252" s="1277"/>
      <c r="BL252" s="1277"/>
      <c r="BM252" s="1277"/>
      <c r="BN252" s="1277"/>
      <c r="BO252" s="1277"/>
      <c r="BP252" s="1277"/>
      <c r="BQ252" s="1277"/>
      <c r="BR252" s="1277"/>
      <c r="BS252" s="1277"/>
      <c r="BT252" s="1277"/>
      <c r="BU252" s="1277"/>
      <c r="BV252" s="1277"/>
      <c r="BW252" s="1277"/>
      <c r="BX252" s="1277"/>
      <c r="BY252" s="1277"/>
      <c r="BZ252" s="1277"/>
      <c r="CA252" s="1277"/>
      <c r="CB252" s="1277"/>
      <c r="CC252" s="1277"/>
      <c r="CD252" s="1277"/>
      <c r="CE252" s="1277"/>
      <c r="CF252" s="1277"/>
      <c r="CG252" s="1277"/>
      <c r="CH252" s="1269"/>
      <c r="CI252" s="1277"/>
      <c r="CJ252" s="1277"/>
      <c r="CK252" s="1277"/>
      <c r="CL252" s="1277"/>
      <c r="CM252" s="1277"/>
      <c r="CN252" s="1277"/>
      <c r="CO252" s="1277"/>
      <c r="CP252" s="1277"/>
      <c r="CQ252" s="1277"/>
      <c r="CR252" s="1277"/>
      <c r="CS252" s="1277"/>
      <c r="CT252" s="1277"/>
      <c r="CU252" s="1277"/>
      <c r="CV252" s="1277"/>
      <c r="CW252" s="1277"/>
      <c r="CX252" s="1277"/>
      <c r="CY252" s="1277"/>
      <c r="CZ252" s="1277"/>
      <c r="DA252" s="1277"/>
      <c r="DB252" s="1277"/>
      <c r="DC252" s="1277"/>
      <c r="DD252" s="1277"/>
      <c r="DE252" s="1277"/>
      <c r="DF252" s="1277"/>
      <c r="DG252" s="1277"/>
      <c r="DH252" s="1277"/>
      <c r="DI252" s="1277"/>
      <c r="DJ252" s="1277"/>
      <c r="DK252" s="1277"/>
      <c r="DL252" s="1277"/>
      <c r="DM252" s="1277"/>
      <c r="DN252" s="1277"/>
      <c r="DO252" s="1277"/>
      <c r="DP252" s="1277"/>
      <c r="DQ252" s="1277"/>
      <c r="DR252" s="1277"/>
      <c r="DS252" s="1277"/>
      <c r="DT252" s="1277"/>
      <c r="DU252" s="1277"/>
      <c r="DV252" s="1277"/>
      <c r="DW252" s="1277"/>
      <c r="DX252" s="1277"/>
      <c r="DY252" s="1277"/>
      <c r="DZ252" s="1277"/>
      <c r="EA252" s="1277"/>
      <c r="EB252" s="1276"/>
      <c r="EC252" s="1276"/>
      <c r="ED252" s="1276"/>
      <c r="EE252" s="1276"/>
      <c r="EF252" s="1276"/>
      <c r="EG252" s="1276"/>
      <c r="EH252" s="1276"/>
      <c r="EI252" s="1276"/>
      <c r="EJ252" s="1276"/>
      <c r="EK252" s="1275"/>
      <c r="EL252" s="1275"/>
      <c r="EM252" s="1313"/>
    </row>
    <row r="253" spans="1:143" s="1271" customFormat="1">
      <c r="B253" s="1276"/>
      <c r="C253" s="1276"/>
      <c r="D253" s="1276"/>
      <c r="E253" s="1276"/>
      <c r="F253" s="1276"/>
      <c r="G253" s="1276"/>
      <c r="H253" s="1276"/>
      <c r="I253" s="1276"/>
      <c r="J253" s="1276"/>
      <c r="K253" s="1276"/>
      <c r="L253" s="1276"/>
      <c r="M253" s="1276"/>
      <c r="N253" s="1276"/>
      <c r="O253" s="1276"/>
      <c r="P253" s="1276"/>
      <c r="Q253" s="1276"/>
      <c r="R253" s="1276"/>
      <c r="S253" s="1276"/>
      <c r="T253" s="1276"/>
      <c r="U253" s="1276"/>
      <c r="V253" s="1276"/>
      <c r="W253" s="1277"/>
      <c r="X253" s="1277"/>
      <c r="Y253" s="1277"/>
      <c r="Z253" s="1277"/>
      <c r="AA253" s="1277"/>
      <c r="AB253" s="1277"/>
      <c r="AC253" s="1277"/>
      <c r="AD253" s="1277"/>
      <c r="AE253" s="1277"/>
      <c r="AF253" s="1277"/>
      <c r="AG253" s="1277"/>
      <c r="AH253" s="1277"/>
      <c r="AI253" s="1277"/>
      <c r="AJ253" s="1277"/>
      <c r="AK253" s="1277"/>
      <c r="AL253" s="1277"/>
      <c r="AM253" s="1277"/>
      <c r="AN253" s="1277"/>
      <c r="AO253" s="1277"/>
      <c r="AP253" s="1277"/>
      <c r="AQ253" s="1277"/>
      <c r="AR253" s="1277"/>
      <c r="AS253" s="1277"/>
      <c r="AT253" s="1277"/>
      <c r="AU253" s="1277"/>
      <c r="AV253" s="1277"/>
      <c r="AW253" s="1277"/>
      <c r="AX253" s="1277"/>
      <c r="AY253" s="1277"/>
      <c r="AZ253" s="1277"/>
      <c r="BA253" s="1277"/>
      <c r="BB253" s="1277"/>
      <c r="BC253" s="1277"/>
      <c r="BD253" s="1277"/>
      <c r="BE253" s="1277"/>
      <c r="BF253" s="1277"/>
      <c r="BG253" s="1277"/>
      <c r="BH253" s="1277"/>
      <c r="BI253" s="1277"/>
      <c r="BJ253" s="1277"/>
      <c r="BK253" s="1277"/>
      <c r="BL253" s="1277"/>
      <c r="BM253" s="1277"/>
      <c r="BN253" s="1277"/>
      <c r="BO253" s="1277"/>
      <c r="BP253" s="1277"/>
      <c r="BQ253" s="1277"/>
      <c r="BR253" s="1277"/>
      <c r="BS253" s="1277"/>
      <c r="BT253" s="1277"/>
      <c r="BU253" s="1277"/>
      <c r="BV253" s="1277"/>
      <c r="BW253" s="1277"/>
      <c r="BX253" s="1277"/>
      <c r="BY253" s="1277"/>
      <c r="BZ253" s="1277"/>
      <c r="CA253" s="1277"/>
      <c r="CB253" s="1277"/>
      <c r="CC253" s="1277"/>
      <c r="CD253" s="1277"/>
      <c r="CE253" s="1277"/>
      <c r="CF253" s="1277"/>
      <c r="CG253" s="1277"/>
      <c r="CH253" s="1269"/>
      <c r="CI253" s="1277"/>
      <c r="CJ253" s="1277"/>
      <c r="CK253" s="1277"/>
      <c r="CL253" s="1277"/>
      <c r="CM253" s="1277"/>
      <c r="CN253" s="1277"/>
      <c r="CO253" s="1277"/>
      <c r="CP253" s="1277"/>
      <c r="CQ253" s="1277"/>
      <c r="CR253" s="1277"/>
      <c r="CS253" s="1277"/>
      <c r="CT253" s="1277"/>
      <c r="CU253" s="1277"/>
      <c r="CV253" s="1277"/>
      <c r="CW253" s="1277"/>
      <c r="CX253" s="1277"/>
      <c r="CY253" s="1277"/>
      <c r="CZ253" s="1277"/>
      <c r="DA253" s="1277"/>
      <c r="DB253" s="1277"/>
      <c r="DC253" s="1277"/>
      <c r="DD253" s="1277"/>
      <c r="DE253" s="1277"/>
      <c r="DF253" s="1277"/>
      <c r="DG253" s="1277"/>
      <c r="DH253" s="1277"/>
      <c r="DI253" s="1277"/>
      <c r="DJ253" s="1277"/>
      <c r="DK253" s="1277"/>
      <c r="DL253" s="1277"/>
      <c r="DM253" s="1277"/>
      <c r="DN253" s="1277"/>
      <c r="DO253" s="1277"/>
      <c r="DP253" s="1277"/>
      <c r="DQ253" s="1277"/>
      <c r="DR253" s="1277"/>
      <c r="DS253" s="1277"/>
      <c r="DT253" s="1277"/>
      <c r="DU253" s="1277"/>
      <c r="DV253" s="1277"/>
      <c r="DW253" s="1277"/>
      <c r="DX253" s="1277"/>
      <c r="DY253" s="1277"/>
      <c r="DZ253" s="1277"/>
      <c r="EA253" s="1277"/>
      <c r="EB253" s="1276"/>
      <c r="EC253" s="1276"/>
      <c r="ED253" s="1276"/>
      <c r="EE253" s="1276"/>
      <c r="EF253" s="1276"/>
      <c r="EG253" s="1276"/>
      <c r="EH253" s="1276"/>
      <c r="EI253" s="1276"/>
      <c r="EJ253" s="1276"/>
      <c r="EK253" s="1275"/>
      <c r="EL253" s="1275"/>
      <c r="EM253" s="1313"/>
    </row>
    <row r="254" spans="1:143" s="1271" customFormat="1">
      <c r="A254" s="1262"/>
      <c r="B254" s="1276"/>
      <c r="C254" s="1276"/>
      <c r="D254" s="1276"/>
      <c r="E254" s="1276"/>
      <c r="F254" s="1276"/>
      <c r="G254" s="1276"/>
      <c r="H254" s="1276"/>
      <c r="I254" s="1276"/>
      <c r="J254" s="1276"/>
      <c r="K254" s="1276"/>
      <c r="L254" s="1276"/>
      <c r="M254" s="1276"/>
      <c r="N254" s="1276"/>
      <c r="O254" s="1276"/>
      <c r="P254" s="1276"/>
      <c r="Q254" s="1276"/>
      <c r="R254" s="1276"/>
      <c r="S254" s="1276"/>
      <c r="T254" s="1276"/>
      <c r="U254" s="1276"/>
      <c r="V254" s="1276"/>
      <c r="W254" s="1277"/>
      <c r="X254" s="1277"/>
      <c r="Y254" s="1277"/>
      <c r="Z254" s="1277"/>
      <c r="AA254" s="1277"/>
      <c r="AB254" s="1277"/>
      <c r="AC254" s="1277"/>
      <c r="AD254" s="1277"/>
      <c r="AE254" s="1277"/>
      <c r="AF254" s="1277"/>
      <c r="AG254" s="1277"/>
      <c r="AH254" s="1277"/>
      <c r="AI254" s="1277"/>
      <c r="AJ254" s="1277"/>
      <c r="AK254" s="1277"/>
      <c r="AL254" s="1277"/>
      <c r="AM254" s="1277"/>
      <c r="AN254" s="1277"/>
      <c r="AO254" s="1277"/>
      <c r="AP254" s="1277"/>
      <c r="AQ254" s="1277"/>
      <c r="AR254" s="1277"/>
      <c r="AS254" s="1277"/>
      <c r="AT254" s="1277"/>
      <c r="AU254" s="1277"/>
      <c r="AV254" s="1277"/>
      <c r="AW254" s="1277"/>
      <c r="AX254" s="1277"/>
      <c r="AY254" s="1277"/>
      <c r="AZ254" s="1277"/>
      <c r="BA254" s="1277"/>
      <c r="BB254" s="1277"/>
      <c r="BC254" s="1277"/>
      <c r="BD254" s="1277"/>
      <c r="BE254" s="1277"/>
      <c r="BF254" s="1277"/>
      <c r="BG254" s="1277"/>
      <c r="BH254" s="1277"/>
      <c r="BI254" s="1277"/>
      <c r="BJ254" s="1277"/>
      <c r="BK254" s="1277"/>
      <c r="BL254" s="1277"/>
      <c r="BM254" s="1277"/>
      <c r="BN254" s="1277"/>
      <c r="BO254" s="1277"/>
      <c r="BP254" s="1277"/>
      <c r="BQ254" s="1277"/>
      <c r="BR254" s="1277"/>
      <c r="BS254" s="1277"/>
      <c r="BT254" s="1277"/>
      <c r="BU254" s="1277"/>
      <c r="BV254" s="1277"/>
      <c r="BW254" s="1277"/>
      <c r="BX254" s="1277"/>
      <c r="BY254" s="1277"/>
      <c r="BZ254" s="1277"/>
      <c r="CA254" s="1277"/>
      <c r="CB254" s="1277"/>
      <c r="CC254" s="1277"/>
      <c r="CD254" s="1277"/>
      <c r="CE254" s="1277"/>
      <c r="CF254" s="1277"/>
      <c r="CG254" s="1277"/>
      <c r="CH254" s="1269"/>
      <c r="CI254" s="1277"/>
      <c r="CJ254" s="1277"/>
      <c r="CK254" s="1277"/>
      <c r="CL254" s="1277"/>
      <c r="CM254" s="1277"/>
      <c r="CN254" s="1277"/>
      <c r="CO254" s="1277"/>
      <c r="CP254" s="1277"/>
      <c r="CQ254" s="1277"/>
      <c r="CR254" s="1277"/>
      <c r="CS254" s="1277"/>
      <c r="CT254" s="1277"/>
      <c r="CU254" s="1277"/>
      <c r="CV254" s="1277"/>
      <c r="CW254" s="1277"/>
      <c r="CX254" s="1277"/>
      <c r="CY254" s="1277"/>
      <c r="CZ254" s="1277"/>
      <c r="DA254" s="1277"/>
      <c r="DB254" s="1277"/>
      <c r="DC254" s="1277"/>
      <c r="DD254" s="1277"/>
      <c r="DE254" s="1277"/>
      <c r="DF254" s="1277"/>
      <c r="DG254" s="1277"/>
      <c r="DH254" s="1277"/>
      <c r="DI254" s="1277"/>
      <c r="DJ254" s="1277"/>
      <c r="DK254" s="1277"/>
      <c r="DL254" s="1277"/>
      <c r="DM254" s="1277"/>
      <c r="DN254" s="1277"/>
      <c r="DO254" s="1277"/>
      <c r="DP254" s="1277"/>
      <c r="DQ254" s="1277"/>
      <c r="DR254" s="1277"/>
      <c r="DS254" s="1277"/>
      <c r="DT254" s="1277"/>
      <c r="DU254" s="1277"/>
      <c r="DV254" s="1277"/>
      <c r="DW254" s="1277"/>
      <c r="DX254" s="1277"/>
      <c r="DY254" s="1277"/>
      <c r="DZ254" s="1277"/>
      <c r="EA254" s="1277"/>
      <c r="EB254" s="1276"/>
      <c r="EC254" s="1276"/>
      <c r="ED254" s="1276"/>
      <c r="EE254" s="1276"/>
      <c r="EF254" s="1276"/>
      <c r="EG254" s="1276"/>
      <c r="EH254" s="1276"/>
      <c r="EI254" s="1276"/>
      <c r="EJ254" s="1276"/>
      <c r="EK254" s="1275"/>
      <c r="EL254" s="1275"/>
      <c r="EM254" s="1313"/>
    </row>
    <row r="255" spans="1:143" s="1271" customFormat="1">
      <c r="B255" s="1272"/>
      <c r="C255" s="1272"/>
      <c r="D255" s="1273"/>
      <c r="E255" s="1273"/>
      <c r="F255" s="1273"/>
      <c r="G255" s="1273"/>
      <c r="H255" s="1273"/>
      <c r="I255" s="1273"/>
      <c r="J255" s="1273"/>
      <c r="K255" s="1273"/>
      <c r="L255" s="1273"/>
      <c r="M255" s="1273"/>
      <c r="N255" s="1273"/>
      <c r="O255" s="1273"/>
      <c r="P255" s="1273"/>
      <c r="Q255" s="1273"/>
      <c r="R255" s="1273"/>
      <c r="S255" s="1273"/>
      <c r="T255" s="1273"/>
      <c r="U255" s="1273"/>
      <c r="V255" s="1273"/>
      <c r="W255" s="1274"/>
      <c r="X255" s="1274"/>
      <c r="Y255" s="1274"/>
      <c r="Z255" s="1274"/>
      <c r="AA255" s="1274"/>
      <c r="AB255" s="1274"/>
      <c r="AC255" s="1274"/>
      <c r="AD255" s="1274"/>
      <c r="AE255" s="1274"/>
      <c r="AF255" s="1274"/>
      <c r="AG255" s="1274"/>
      <c r="AH255" s="1274"/>
      <c r="AI255" s="1274"/>
      <c r="AJ255" s="1274"/>
      <c r="AK255" s="1274"/>
      <c r="AL255" s="1274"/>
      <c r="AM255" s="1274"/>
      <c r="AN255" s="1274"/>
      <c r="AO255" s="1274"/>
      <c r="AP255" s="1274"/>
      <c r="AQ255" s="1274"/>
      <c r="AR255" s="1274"/>
      <c r="AS255" s="1274"/>
      <c r="AT255" s="1274"/>
      <c r="AU255" s="1274"/>
      <c r="AV255" s="1274"/>
      <c r="AW255" s="1274"/>
      <c r="AX255" s="1274"/>
      <c r="AY255" s="1274"/>
      <c r="AZ255" s="1274"/>
      <c r="BA255" s="1274"/>
      <c r="BB255" s="1274"/>
      <c r="BC255" s="1274"/>
      <c r="BD255" s="1274"/>
      <c r="BE255" s="1274"/>
      <c r="BF255" s="1274"/>
      <c r="BG255" s="1274"/>
      <c r="BH255" s="1274"/>
      <c r="BI255" s="1274"/>
      <c r="BJ255" s="1274"/>
      <c r="BK255" s="1274"/>
      <c r="BL255" s="1274"/>
      <c r="BM255" s="1274"/>
      <c r="BN255" s="1274"/>
      <c r="BO255" s="1274"/>
      <c r="BP255" s="1274"/>
      <c r="BQ255" s="1274"/>
      <c r="BR255" s="1274"/>
      <c r="BS255" s="1274"/>
      <c r="BT255" s="1274"/>
      <c r="BU255" s="1274"/>
      <c r="BV255" s="1274"/>
      <c r="BW255" s="1274"/>
      <c r="BX255" s="1274"/>
      <c r="BY255" s="1274"/>
      <c r="BZ255" s="1274"/>
      <c r="CA255" s="1274"/>
      <c r="CB255" s="1274"/>
      <c r="CC255" s="1274"/>
      <c r="CD255" s="1274"/>
      <c r="CE255" s="1274"/>
      <c r="CF255" s="1274"/>
      <c r="CG255" s="1274"/>
      <c r="CH255" s="1269"/>
      <c r="CI255" s="1274"/>
      <c r="CJ255" s="1274"/>
      <c r="CK255" s="1274"/>
      <c r="CL255" s="1274"/>
      <c r="CM255" s="1274"/>
      <c r="CN255" s="1274"/>
      <c r="CO255" s="1274"/>
      <c r="CP255" s="1274"/>
      <c r="CQ255" s="1274"/>
      <c r="CR255" s="1274"/>
      <c r="CS255" s="1274"/>
      <c r="CT255" s="1274"/>
      <c r="CU255" s="1274"/>
      <c r="CV255" s="1274"/>
      <c r="CW255" s="1274"/>
      <c r="CX255" s="1274"/>
      <c r="CY255" s="1274"/>
      <c r="CZ255" s="1274"/>
      <c r="DA255" s="1274"/>
      <c r="DB255" s="1274"/>
      <c r="DC255" s="1274"/>
      <c r="DD255" s="1274"/>
      <c r="DE255" s="1274"/>
      <c r="DF255" s="1274"/>
      <c r="DG255" s="1274"/>
      <c r="DH255" s="1274"/>
      <c r="DI255" s="1274"/>
      <c r="DJ255" s="1274"/>
      <c r="DK255" s="1274"/>
      <c r="DL255" s="1274"/>
      <c r="DM255" s="1274"/>
      <c r="DN255" s="1274"/>
      <c r="DO255" s="1274"/>
      <c r="DP255" s="1274"/>
      <c r="DQ255" s="1274"/>
      <c r="DR255" s="1274"/>
      <c r="DS255" s="1274"/>
      <c r="DT255" s="1274"/>
      <c r="DU255" s="1274"/>
      <c r="DV255" s="1274"/>
      <c r="DW255" s="1274"/>
      <c r="DX255" s="1274"/>
      <c r="DY255" s="1274"/>
      <c r="DZ255" s="1274"/>
      <c r="EA255" s="1274"/>
      <c r="EB255" s="1273"/>
      <c r="EC255" s="1273"/>
      <c r="ED255" s="1273"/>
      <c r="EE255" s="1273"/>
      <c r="EF255" s="1273"/>
      <c r="EG255" s="1273"/>
      <c r="EH255" s="1273"/>
      <c r="EI255" s="1273"/>
      <c r="EJ255" s="1273"/>
      <c r="EK255" s="1273"/>
      <c r="EL255" s="1273"/>
      <c r="EM255" s="1313"/>
    </row>
    <row r="256" spans="1:143" s="1271" customFormat="1">
      <c r="B256" s="1272"/>
      <c r="C256" s="1272"/>
      <c r="D256" s="1273"/>
      <c r="E256" s="1273"/>
      <c r="F256" s="1273"/>
      <c r="G256" s="1273"/>
      <c r="H256" s="1273"/>
      <c r="I256" s="1273"/>
      <c r="J256" s="1273"/>
      <c r="K256" s="1273"/>
      <c r="L256" s="1273"/>
      <c r="M256" s="1273"/>
      <c r="N256" s="1273"/>
      <c r="O256" s="1273"/>
      <c r="P256" s="1273"/>
      <c r="Q256" s="1273"/>
      <c r="R256" s="1273"/>
      <c r="S256" s="1273"/>
      <c r="T256" s="1273"/>
      <c r="U256" s="1273"/>
      <c r="V256" s="1273"/>
      <c r="W256" s="1274"/>
      <c r="X256" s="1274"/>
      <c r="Y256" s="1274"/>
      <c r="Z256" s="1274"/>
      <c r="AA256" s="1274"/>
      <c r="AB256" s="1274"/>
      <c r="AC256" s="1274"/>
      <c r="AD256" s="1274"/>
      <c r="AE256" s="1274"/>
      <c r="AF256" s="1274"/>
      <c r="AG256" s="1274"/>
      <c r="AH256" s="1274"/>
      <c r="AI256" s="1274"/>
      <c r="AJ256" s="1274"/>
      <c r="AK256" s="1274"/>
      <c r="AL256" s="1274"/>
      <c r="AM256" s="1274"/>
      <c r="AN256" s="1274"/>
      <c r="AO256" s="1274"/>
      <c r="AP256" s="1274"/>
      <c r="AQ256" s="1274"/>
      <c r="AR256" s="1274"/>
      <c r="AS256" s="1274"/>
      <c r="AT256" s="1274"/>
      <c r="AU256" s="1274"/>
      <c r="AV256" s="1274"/>
      <c r="AW256" s="1274"/>
      <c r="AX256" s="1274"/>
      <c r="AY256" s="1274"/>
      <c r="AZ256" s="1274"/>
      <c r="BA256" s="1274"/>
      <c r="BB256" s="1274"/>
      <c r="BC256" s="1274"/>
      <c r="BD256" s="1274"/>
      <c r="BE256" s="1274"/>
      <c r="BF256" s="1274"/>
      <c r="BG256" s="1274"/>
      <c r="BH256" s="1274"/>
      <c r="BI256" s="1274"/>
      <c r="BJ256" s="1274"/>
      <c r="BK256" s="1274"/>
      <c r="BL256" s="1274"/>
      <c r="BM256" s="1274"/>
      <c r="BN256" s="1274"/>
      <c r="BO256" s="1274"/>
      <c r="BP256" s="1274"/>
      <c r="BQ256" s="1274"/>
      <c r="BR256" s="1274"/>
      <c r="BS256" s="1274"/>
      <c r="BT256" s="1274"/>
      <c r="BU256" s="1274"/>
      <c r="BV256" s="1274"/>
      <c r="BW256" s="1274"/>
      <c r="BX256" s="1274"/>
      <c r="BY256" s="1274"/>
      <c r="BZ256" s="1274"/>
      <c r="CA256" s="1274"/>
      <c r="CB256" s="1274"/>
      <c r="CC256" s="1274"/>
      <c r="CD256" s="1274"/>
      <c r="CE256" s="1274"/>
      <c r="CF256" s="1274"/>
      <c r="CG256" s="1274"/>
      <c r="CH256" s="1269"/>
      <c r="CI256" s="1274"/>
      <c r="CJ256" s="1274"/>
      <c r="CK256" s="1274"/>
      <c r="CL256" s="1274"/>
      <c r="CM256" s="1274"/>
      <c r="CN256" s="1274"/>
      <c r="CO256" s="1274"/>
      <c r="CP256" s="1274"/>
      <c r="CQ256" s="1274"/>
      <c r="CR256" s="1274"/>
      <c r="CS256" s="1274"/>
      <c r="CT256" s="1274"/>
      <c r="CU256" s="1274"/>
      <c r="CV256" s="1274"/>
      <c r="CW256" s="1274"/>
      <c r="CX256" s="1274"/>
      <c r="CY256" s="1274"/>
      <c r="CZ256" s="1274"/>
      <c r="DA256" s="1274"/>
      <c r="DB256" s="1274"/>
      <c r="DC256" s="1274"/>
      <c r="DD256" s="1274"/>
      <c r="DE256" s="1274"/>
      <c r="DF256" s="1274"/>
      <c r="DG256" s="1274"/>
      <c r="DH256" s="1274"/>
      <c r="DI256" s="1274"/>
      <c r="DJ256" s="1274"/>
      <c r="DK256" s="1274"/>
      <c r="DL256" s="1274"/>
      <c r="DM256" s="1274"/>
      <c r="DN256" s="1274"/>
      <c r="DO256" s="1274"/>
      <c r="DP256" s="1274"/>
      <c r="DQ256" s="1274"/>
      <c r="DR256" s="1274"/>
      <c r="DS256" s="1274"/>
      <c r="DT256" s="1274"/>
      <c r="DU256" s="1274"/>
      <c r="DV256" s="1274"/>
      <c r="DW256" s="1274"/>
      <c r="DX256" s="1274"/>
      <c r="DY256" s="1274"/>
      <c r="DZ256" s="1274"/>
      <c r="EA256" s="1274"/>
      <c r="EB256" s="1273"/>
      <c r="EC256" s="1273"/>
      <c r="ED256" s="1273"/>
      <c r="EE256" s="1273"/>
      <c r="EF256" s="1273"/>
      <c r="EG256" s="1273"/>
      <c r="EH256" s="1273"/>
      <c r="EI256" s="1273"/>
      <c r="EJ256" s="1273"/>
      <c r="EK256" s="1273"/>
      <c r="EL256" s="1273"/>
      <c r="EM256" s="1313"/>
    </row>
    <row r="257" spans="1:143" s="1271" customFormat="1">
      <c r="B257" s="1272"/>
      <c r="C257" s="1272"/>
      <c r="D257" s="1273"/>
      <c r="E257" s="1273"/>
      <c r="F257" s="1273"/>
      <c r="G257" s="1273"/>
      <c r="H257" s="1273"/>
      <c r="I257" s="1273"/>
      <c r="J257" s="1273"/>
      <c r="K257" s="1273"/>
      <c r="L257" s="1273"/>
      <c r="M257" s="1273"/>
      <c r="N257" s="1273"/>
      <c r="O257" s="1273"/>
      <c r="P257" s="1273"/>
      <c r="Q257" s="1273"/>
      <c r="R257" s="1273"/>
      <c r="S257" s="1273"/>
      <c r="T257" s="1273"/>
      <c r="U257" s="1273"/>
      <c r="V257" s="1273"/>
      <c r="W257" s="1274"/>
      <c r="X257" s="1274"/>
      <c r="Y257" s="1274"/>
      <c r="Z257" s="1274"/>
      <c r="AA257" s="1274"/>
      <c r="AB257" s="1274"/>
      <c r="AC257" s="1274"/>
      <c r="AD257" s="1274"/>
      <c r="AE257" s="1274"/>
      <c r="AF257" s="1274"/>
      <c r="AG257" s="1274"/>
      <c r="AH257" s="1274"/>
      <c r="AI257" s="1274"/>
      <c r="AJ257" s="1274"/>
      <c r="AK257" s="1274"/>
      <c r="AL257" s="1274"/>
      <c r="AM257" s="1274"/>
      <c r="AN257" s="1274"/>
      <c r="AO257" s="1274"/>
      <c r="AP257" s="1274"/>
      <c r="AQ257" s="1274"/>
      <c r="AR257" s="1274"/>
      <c r="AS257" s="1274"/>
      <c r="AT257" s="1274"/>
      <c r="AU257" s="1274"/>
      <c r="AV257" s="1274"/>
      <c r="AW257" s="1274"/>
      <c r="AX257" s="1274"/>
      <c r="AY257" s="1274"/>
      <c r="AZ257" s="1274"/>
      <c r="BA257" s="1274"/>
      <c r="BB257" s="1274"/>
      <c r="BC257" s="1274"/>
      <c r="BD257" s="1274"/>
      <c r="BE257" s="1274"/>
      <c r="BF257" s="1274"/>
      <c r="BG257" s="1274"/>
      <c r="BH257" s="1274"/>
      <c r="BI257" s="1274"/>
      <c r="BJ257" s="1274"/>
      <c r="BK257" s="1274"/>
      <c r="BL257" s="1274"/>
      <c r="BM257" s="1274"/>
      <c r="BN257" s="1274"/>
      <c r="BO257" s="1274"/>
      <c r="BP257" s="1274"/>
      <c r="BQ257" s="1274"/>
      <c r="BR257" s="1274"/>
      <c r="BS257" s="1274"/>
      <c r="BT257" s="1274"/>
      <c r="BU257" s="1274"/>
      <c r="BV257" s="1274"/>
      <c r="BW257" s="1274"/>
      <c r="BX257" s="1274"/>
      <c r="BY257" s="1274"/>
      <c r="BZ257" s="1274"/>
      <c r="CA257" s="1274"/>
      <c r="CB257" s="1274"/>
      <c r="CC257" s="1274"/>
      <c r="CD257" s="1274"/>
      <c r="CE257" s="1274"/>
      <c r="CF257" s="1274"/>
      <c r="CG257" s="1274"/>
      <c r="CH257" s="1269"/>
      <c r="CI257" s="1274"/>
      <c r="CJ257" s="1274"/>
      <c r="CK257" s="1274"/>
      <c r="CL257" s="1274"/>
      <c r="CM257" s="1274"/>
      <c r="CN257" s="1274"/>
      <c r="CO257" s="1274"/>
      <c r="CP257" s="1274"/>
      <c r="CQ257" s="1274"/>
      <c r="CR257" s="1274"/>
      <c r="CS257" s="1274"/>
      <c r="CT257" s="1274"/>
      <c r="CU257" s="1274"/>
      <c r="CV257" s="1274"/>
      <c r="CW257" s="1274"/>
      <c r="CX257" s="1274"/>
      <c r="CY257" s="1274"/>
      <c r="CZ257" s="1274"/>
      <c r="DA257" s="1274"/>
      <c r="DB257" s="1274"/>
      <c r="DC257" s="1274"/>
      <c r="DD257" s="1274"/>
      <c r="DE257" s="1274"/>
      <c r="DF257" s="1274"/>
      <c r="DG257" s="1274"/>
      <c r="DH257" s="1274"/>
      <c r="DI257" s="1274"/>
      <c r="DJ257" s="1274"/>
      <c r="DK257" s="1274"/>
      <c r="DL257" s="1274"/>
      <c r="DM257" s="1274"/>
      <c r="DN257" s="1274"/>
      <c r="DO257" s="1274"/>
      <c r="DP257" s="1274"/>
      <c r="DQ257" s="1274"/>
      <c r="DR257" s="1274"/>
      <c r="DS257" s="1274"/>
      <c r="DT257" s="1274"/>
      <c r="DU257" s="1274"/>
      <c r="DV257" s="1274"/>
      <c r="DW257" s="1274"/>
      <c r="DX257" s="1274"/>
      <c r="DY257" s="1274"/>
      <c r="DZ257" s="1274"/>
      <c r="EA257" s="1274"/>
      <c r="EB257" s="1273"/>
      <c r="EC257" s="1273"/>
      <c r="ED257" s="1273"/>
      <c r="EE257" s="1273"/>
      <c r="EF257" s="1273"/>
      <c r="EG257" s="1273"/>
      <c r="EH257" s="1273"/>
      <c r="EI257" s="1273"/>
      <c r="EJ257" s="1273"/>
      <c r="EK257" s="1273"/>
      <c r="EL257" s="1273"/>
      <c r="EM257" s="1313"/>
    </row>
    <row r="258" spans="1:143" s="1271" customFormat="1">
      <c r="B258" s="1272"/>
      <c r="C258" s="1272"/>
      <c r="D258" s="1273"/>
      <c r="E258" s="1273"/>
      <c r="F258" s="1273"/>
      <c r="G258" s="1273"/>
      <c r="H258" s="1273"/>
      <c r="I258" s="1273"/>
      <c r="J258" s="1273"/>
      <c r="K258" s="1273"/>
      <c r="L258" s="1273"/>
      <c r="M258" s="1273"/>
      <c r="N258" s="1273"/>
      <c r="O258" s="1273"/>
      <c r="P258" s="1273"/>
      <c r="Q258" s="1273"/>
      <c r="R258" s="1273"/>
      <c r="S258" s="1273"/>
      <c r="T258" s="1273"/>
      <c r="U258" s="1273"/>
      <c r="V258" s="1273"/>
      <c r="W258" s="1274"/>
      <c r="X258" s="1274"/>
      <c r="Y258" s="1274"/>
      <c r="Z258" s="1274"/>
      <c r="AA258" s="1274"/>
      <c r="AB258" s="1274"/>
      <c r="AC258" s="1274"/>
      <c r="AD258" s="1274"/>
      <c r="AE258" s="1274"/>
      <c r="AF258" s="1274"/>
      <c r="AG258" s="1274"/>
      <c r="AH258" s="1274"/>
      <c r="AI258" s="1274"/>
      <c r="AJ258" s="1274"/>
      <c r="AK258" s="1274"/>
      <c r="AL258" s="1274"/>
      <c r="AM258" s="1274"/>
      <c r="AN258" s="1274"/>
      <c r="AO258" s="1274"/>
      <c r="AP258" s="1274"/>
      <c r="AQ258" s="1274"/>
      <c r="AR258" s="1274"/>
      <c r="AS258" s="1274"/>
      <c r="AT258" s="1274"/>
      <c r="AU258" s="1274"/>
      <c r="AV258" s="1274"/>
      <c r="AW258" s="1274"/>
      <c r="AX258" s="1274"/>
      <c r="AY258" s="1274"/>
      <c r="AZ258" s="1274"/>
      <c r="BA258" s="1274"/>
      <c r="BB258" s="1274"/>
      <c r="BC258" s="1274"/>
      <c r="BD258" s="1274"/>
      <c r="BE258" s="1274"/>
      <c r="BF258" s="1274"/>
      <c r="BG258" s="1274"/>
      <c r="BH258" s="1274"/>
      <c r="BI258" s="1274"/>
      <c r="BJ258" s="1274"/>
      <c r="BK258" s="1274"/>
      <c r="BL258" s="1274"/>
      <c r="BM258" s="1274"/>
      <c r="BN258" s="1274"/>
      <c r="BO258" s="1274"/>
      <c r="BP258" s="1274"/>
      <c r="BQ258" s="1274"/>
      <c r="BR258" s="1274"/>
      <c r="BS258" s="1274"/>
      <c r="BT258" s="1274"/>
      <c r="BU258" s="1274"/>
      <c r="BV258" s="1274"/>
      <c r="BW258" s="1274"/>
      <c r="BX258" s="1274"/>
      <c r="BY258" s="1274"/>
      <c r="BZ258" s="1274"/>
      <c r="CA258" s="1274"/>
      <c r="CB258" s="1274"/>
      <c r="CC258" s="1274"/>
      <c r="CD258" s="1274"/>
      <c r="CE258" s="1274"/>
      <c r="CF258" s="1274"/>
      <c r="CG258" s="1274"/>
      <c r="CH258" s="1269"/>
      <c r="CI258" s="1274"/>
      <c r="CJ258" s="1274"/>
      <c r="CK258" s="1274"/>
      <c r="CL258" s="1274"/>
      <c r="CM258" s="1274"/>
      <c r="CN258" s="1274"/>
      <c r="CO258" s="1274"/>
      <c r="CP258" s="1274"/>
      <c r="CQ258" s="1274"/>
      <c r="CR258" s="1274"/>
      <c r="CS258" s="1274"/>
      <c r="CT258" s="1274"/>
      <c r="CU258" s="1274"/>
      <c r="CV258" s="1274"/>
      <c r="CW258" s="1274"/>
      <c r="CX258" s="1274"/>
      <c r="CY258" s="1274"/>
      <c r="CZ258" s="1274"/>
      <c r="DA258" s="1274"/>
      <c r="DB258" s="1274"/>
      <c r="DC258" s="1274"/>
      <c r="DD258" s="1274"/>
      <c r="DE258" s="1274"/>
      <c r="DF258" s="1274"/>
      <c r="DG258" s="1274"/>
      <c r="DH258" s="1274"/>
      <c r="DI258" s="1274"/>
      <c r="DJ258" s="1274"/>
      <c r="DK258" s="1274"/>
      <c r="DL258" s="1274"/>
      <c r="DM258" s="1274"/>
      <c r="DN258" s="1274"/>
      <c r="DO258" s="1274"/>
      <c r="DP258" s="1274"/>
      <c r="DQ258" s="1274"/>
      <c r="DR258" s="1274"/>
      <c r="DS258" s="1274"/>
      <c r="DT258" s="1274"/>
      <c r="DU258" s="1274"/>
      <c r="DV258" s="1274"/>
      <c r="DW258" s="1274"/>
      <c r="DX258" s="1274"/>
      <c r="DY258" s="1274"/>
      <c r="DZ258" s="1274"/>
      <c r="EA258" s="1274"/>
      <c r="EB258" s="1273"/>
      <c r="EC258" s="1273"/>
      <c r="ED258" s="1273"/>
      <c r="EE258" s="1273"/>
      <c r="EF258" s="1273"/>
      <c r="EG258" s="1273"/>
      <c r="EH258" s="1273"/>
      <c r="EI258" s="1273"/>
      <c r="EJ258" s="1273"/>
      <c r="EK258" s="1273"/>
      <c r="EL258" s="1273"/>
      <c r="EM258" s="1313"/>
    </row>
    <row r="259" spans="1:143" s="1271" customFormat="1">
      <c r="B259" s="1272"/>
      <c r="C259" s="1272"/>
      <c r="D259" s="1273"/>
      <c r="E259" s="1273"/>
      <c r="F259" s="1273"/>
      <c r="G259" s="1273"/>
      <c r="H259" s="1273"/>
      <c r="I259" s="1273"/>
      <c r="J259" s="1273"/>
      <c r="K259" s="1273"/>
      <c r="L259" s="1273"/>
      <c r="M259" s="1273"/>
      <c r="N259" s="1273"/>
      <c r="O259" s="1273"/>
      <c r="P259" s="1273"/>
      <c r="Q259" s="1273"/>
      <c r="R259" s="1273"/>
      <c r="S259" s="1273"/>
      <c r="T259" s="1273"/>
      <c r="U259" s="1273"/>
      <c r="V259" s="1273"/>
      <c r="W259" s="1274"/>
      <c r="X259" s="1274"/>
      <c r="Y259" s="1274"/>
      <c r="Z259" s="1274"/>
      <c r="AA259" s="1274"/>
      <c r="AB259" s="1274"/>
      <c r="AC259" s="1274"/>
      <c r="AD259" s="1274"/>
      <c r="AE259" s="1274"/>
      <c r="AF259" s="1274"/>
      <c r="AG259" s="1274"/>
      <c r="AH259" s="1274"/>
      <c r="AI259" s="1274"/>
      <c r="AJ259" s="1274"/>
      <c r="AK259" s="1274"/>
      <c r="AL259" s="1274"/>
      <c r="AM259" s="1274"/>
      <c r="AN259" s="1274"/>
      <c r="AO259" s="1274"/>
      <c r="AP259" s="1274"/>
      <c r="AQ259" s="1274"/>
      <c r="AR259" s="1274"/>
      <c r="AS259" s="1274"/>
      <c r="AT259" s="1274"/>
      <c r="AU259" s="1274"/>
      <c r="AV259" s="1274"/>
      <c r="AW259" s="1274"/>
      <c r="AX259" s="1274"/>
      <c r="AY259" s="1274"/>
      <c r="AZ259" s="1274"/>
      <c r="BA259" s="1274"/>
      <c r="BB259" s="1274"/>
      <c r="BC259" s="1274"/>
      <c r="BD259" s="1274"/>
      <c r="BE259" s="1274"/>
      <c r="BF259" s="1274"/>
      <c r="BG259" s="1274"/>
      <c r="BH259" s="1274"/>
      <c r="BI259" s="1274"/>
      <c r="BJ259" s="1274"/>
      <c r="BK259" s="1274"/>
      <c r="BL259" s="1274"/>
      <c r="BM259" s="1274"/>
      <c r="BN259" s="1274"/>
      <c r="BO259" s="1274"/>
      <c r="BP259" s="1274"/>
      <c r="BQ259" s="1274"/>
      <c r="BR259" s="1274"/>
      <c r="BS259" s="1274"/>
      <c r="BT259" s="1274"/>
      <c r="BU259" s="1274"/>
      <c r="BV259" s="1274"/>
      <c r="BW259" s="1274"/>
      <c r="BX259" s="1274"/>
      <c r="BY259" s="1274"/>
      <c r="BZ259" s="1274"/>
      <c r="CA259" s="1274"/>
      <c r="CB259" s="1274"/>
      <c r="CC259" s="1274"/>
      <c r="CD259" s="1274"/>
      <c r="CE259" s="1274"/>
      <c r="CF259" s="1274"/>
      <c r="CG259" s="1274"/>
      <c r="CH259" s="1269"/>
      <c r="CI259" s="1274"/>
      <c r="CJ259" s="1274"/>
      <c r="CK259" s="1274"/>
      <c r="CL259" s="1274"/>
      <c r="CM259" s="1274"/>
      <c r="CN259" s="1274"/>
      <c r="CO259" s="1274"/>
      <c r="CP259" s="1274"/>
      <c r="CQ259" s="1274"/>
      <c r="CR259" s="1274"/>
      <c r="CS259" s="1274"/>
      <c r="CT259" s="1274"/>
      <c r="CU259" s="1274"/>
      <c r="CV259" s="1274"/>
      <c r="CW259" s="1274"/>
      <c r="CX259" s="1274"/>
      <c r="CY259" s="1274"/>
      <c r="CZ259" s="1274"/>
      <c r="DA259" s="1274"/>
      <c r="DB259" s="1274"/>
      <c r="DC259" s="1274"/>
      <c r="DD259" s="1274"/>
      <c r="DE259" s="1274"/>
      <c r="DF259" s="1274"/>
      <c r="DG259" s="1274"/>
      <c r="DH259" s="1274"/>
      <c r="DI259" s="1274"/>
      <c r="DJ259" s="1274"/>
      <c r="DK259" s="1274"/>
      <c r="DL259" s="1274"/>
      <c r="DM259" s="1274"/>
      <c r="DN259" s="1274"/>
      <c r="DO259" s="1274"/>
      <c r="DP259" s="1274"/>
      <c r="DQ259" s="1274"/>
      <c r="DR259" s="1274"/>
      <c r="DS259" s="1274"/>
      <c r="DT259" s="1274"/>
      <c r="DU259" s="1274"/>
      <c r="DV259" s="1274"/>
      <c r="DW259" s="1274"/>
      <c r="DX259" s="1274"/>
      <c r="DY259" s="1274"/>
      <c r="DZ259" s="1274"/>
      <c r="EA259" s="1274"/>
      <c r="EB259" s="1273"/>
      <c r="EC259" s="1273"/>
      <c r="ED259" s="1273"/>
      <c r="EE259" s="1273"/>
      <c r="EF259" s="1273"/>
      <c r="EG259" s="1273"/>
      <c r="EH259" s="1273"/>
      <c r="EI259" s="1273"/>
      <c r="EJ259" s="1273"/>
      <c r="EK259" s="1273"/>
      <c r="EL259" s="1273"/>
      <c r="EM259" s="1313"/>
    </row>
    <row r="260" spans="1:143" s="1271" customFormat="1">
      <c r="B260" s="1272"/>
      <c r="C260" s="1272"/>
      <c r="D260" s="1273"/>
      <c r="E260" s="1273"/>
      <c r="F260" s="1273"/>
      <c r="G260" s="1273"/>
      <c r="H260" s="1273"/>
      <c r="I260" s="1273"/>
      <c r="J260" s="1273"/>
      <c r="K260" s="1273"/>
      <c r="L260" s="1273"/>
      <c r="M260" s="1273"/>
      <c r="N260" s="1273"/>
      <c r="O260" s="1273"/>
      <c r="P260" s="1273"/>
      <c r="Q260" s="1273"/>
      <c r="R260" s="1273"/>
      <c r="S260" s="1273"/>
      <c r="T260" s="1273"/>
      <c r="U260" s="1273"/>
      <c r="V260" s="1273"/>
      <c r="W260" s="1274"/>
      <c r="X260" s="1274"/>
      <c r="Y260" s="1274"/>
      <c r="Z260" s="1274"/>
      <c r="AA260" s="1274"/>
      <c r="AB260" s="1274"/>
      <c r="AC260" s="1274"/>
      <c r="AD260" s="1274"/>
      <c r="AE260" s="1274"/>
      <c r="AF260" s="1274"/>
      <c r="AG260" s="1274"/>
      <c r="AH260" s="1274"/>
      <c r="AI260" s="1274"/>
      <c r="AJ260" s="1274"/>
      <c r="AK260" s="1274"/>
      <c r="AL260" s="1274"/>
      <c r="AM260" s="1274"/>
      <c r="AN260" s="1274"/>
      <c r="AO260" s="1274"/>
      <c r="AP260" s="1274"/>
      <c r="AQ260" s="1274"/>
      <c r="AR260" s="1274"/>
      <c r="AS260" s="1274"/>
      <c r="AT260" s="1274"/>
      <c r="AU260" s="1274"/>
      <c r="AV260" s="1274"/>
      <c r="AW260" s="1274"/>
      <c r="AX260" s="1274"/>
      <c r="AY260" s="1274"/>
      <c r="AZ260" s="1274"/>
      <c r="BA260" s="1274"/>
      <c r="BB260" s="1274"/>
      <c r="BC260" s="1274"/>
      <c r="BD260" s="1274"/>
      <c r="BE260" s="1274"/>
      <c r="BF260" s="1274"/>
      <c r="BG260" s="1274"/>
      <c r="BH260" s="1274"/>
      <c r="BI260" s="1274"/>
      <c r="BJ260" s="1274"/>
      <c r="BK260" s="1274"/>
      <c r="BL260" s="1274"/>
      <c r="BM260" s="1274"/>
      <c r="BN260" s="1274"/>
      <c r="BO260" s="1274"/>
      <c r="BP260" s="1274"/>
      <c r="BQ260" s="1274"/>
      <c r="BR260" s="1274"/>
      <c r="BS260" s="1274"/>
      <c r="BT260" s="1274"/>
      <c r="BU260" s="1274"/>
      <c r="BV260" s="1274"/>
      <c r="BW260" s="1274"/>
      <c r="BX260" s="1274"/>
      <c r="BY260" s="1274"/>
      <c r="BZ260" s="1274"/>
      <c r="CA260" s="1274"/>
      <c r="CB260" s="1274"/>
      <c r="CC260" s="1274"/>
      <c r="CD260" s="1274"/>
      <c r="CE260" s="1274"/>
      <c r="CF260" s="1274"/>
      <c r="CG260" s="1274"/>
      <c r="CH260" s="1269"/>
      <c r="CI260" s="1274"/>
      <c r="CJ260" s="1274"/>
      <c r="CK260" s="1274"/>
      <c r="CL260" s="1274"/>
      <c r="CM260" s="1274"/>
      <c r="CN260" s="1274"/>
      <c r="CO260" s="1274"/>
      <c r="CP260" s="1274"/>
      <c r="CQ260" s="1274"/>
      <c r="CR260" s="1274"/>
      <c r="CS260" s="1274"/>
      <c r="CT260" s="1274"/>
      <c r="CU260" s="1274"/>
      <c r="CV260" s="1274"/>
      <c r="CW260" s="1274"/>
      <c r="CX260" s="1274"/>
      <c r="CY260" s="1274"/>
      <c r="CZ260" s="1274"/>
      <c r="DA260" s="1274"/>
      <c r="DB260" s="1274"/>
      <c r="DC260" s="1274"/>
      <c r="DD260" s="1274"/>
      <c r="DE260" s="1274"/>
      <c r="DF260" s="1274"/>
      <c r="DG260" s="1274"/>
      <c r="DH260" s="1274"/>
      <c r="DI260" s="1274"/>
      <c r="DJ260" s="1274"/>
      <c r="DK260" s="1274"/>
      <c r="DL260" s="1274"/>
      <c r="DM260" s="1274"/>
      <c r="DN260" s="1274"/>
      <c r="DO260" s="1274"/>
      <c r="DP260" s="1274"/>
      <c r="DQ260" s="1274"/>
      <c r="DR260" s="1274"/>
      <c r="DS260" s="1274"/>
      <c r="DT260" s="1274"/>
      <c r="DU260" s="1274"/>
      <c r="DV260" s="1274"/>
      <c r="DW260" s="1274"/>
      <c r="DX260" s="1274"/>
      <c r="DY260" s="1274"/>
      <c r="DZ260" s="1274"/>
      <c r="EA260" s="1274"/>
      <c r="EB260" s="1273"/>
      <c r="EC260" s="1273"/>
      <c r="ED260" s="1273"/>
      <c r="EE260" s="1273"/>
      <c r="EF260" s="1273"/>
      <c r="EG260" s="1273"/>
      <c r="EH260" s="1273"/>
      <c r="EI260" s="1273"/>
      <c r="EJ260" s="1273"/>
      <c r="EK260" s="1273"/>
      <c r="EL260" s="1273"/>
      <c r="EM260" s="1313"/>
    </row>
    <row r="261" spans="1:143" s="1271" customFormat="1">
      <c r="B261" s="1272"/>
      <c r="C261" s="1272"/>
      <c r="D261" s="1273"/>
      <c r="E261" s="1273"/>
      <c r="F261" s="1273"/>
      <c r="G261" s="1273"/>
      <c r="H261" s="1273"/>
      <c r="I261" s="1273"/>
      <c r="J261" s="1273"/>
      <c r="K261" s="1273"/>
      <c r="L261" s="1273"/>
      <c r="M261" s="1273"/>
      <c r="N261" s="1273"/>
      <c r="O261" s="1273"/>
      <c r="P261" s="1273"/>
      <c r="Q261" s="1273"/>
      <c r="R261" s="1273"/>
      <c r="S261" s="1273"/>
      <c r="T261" s="1273"/>
      <c r="U261" s="1273"/>
      <c r="V261" s="1273"/>
      <c r="W261" s="1274"/>
      <c r="X261" s="1274"/>
      <c r="Y261" s="1274"/>
      <c r="Z261" s="1274"/>
      <c r="AA261" s="1274"/>
      <c r="AB261" s="1274"/>
      <c r="AC261" s="1274"/>
      <c r="AD261" s="1274"/>
      <c r="AE261" s="1274"/>
      <c r="AF261" s="1274"/>
      <c r="AG261" s="1274"/>
      <c r="AH261" s="1274"/>
      <c r="AI261" s="1274"/>
      <c r="AJ261" s="1274"/>
      <c r="AK261" s="1274"/>
      <c r="AL261" s="1274"/>
      <c r="AM261" s="1274"/>
      <c r="AN261" s="1274"/>
      <c r="AO261" s="1274"/>
      <c r="AP261" s="1274"/>
      <c r="AQ261" s="1274"/>
      <c r="AR261" s="1274"/>
      <c r="AS261" s="1274"/>
      <c r="AT261" s="1274"/>
      <c r="AU261" s="1274"/>
      <c r="AV261" s="1274"/>
      <c r="AW261" s="1274"/>
      <c r="AX261" s="1274"/>
      <c r="AY261" s="1274"/>
      <c r="AZ261" s="1274"/>
      <c r="BA261" s="1274"/>
      <c r="BB261" s="1274"/>
      <c r="BC261" s="1274"/>
      <c r="BD261" s="1274"/>
      <c r="BE261" s="1274"/>
      <c r="BF261" s="1274"/>
      <c r="BG261" s="1274"/>
      <c r="BH261" s="1274"/>
      <c r="BI261" s="1274"/>
      <c r="BJ261" s="1274"/>
      <c r="BK261" s="1274"/>
      <c r="BL261" s="1274"/>
      <c r="BM261" s="1274"/>
      <c r="BN261" s="1274"/>
      <c r="BO261" s="1274"/>
      <c r="BP261" s="1274"/>
      <c r="BQ261" s="1274"/>
      <c r="BR261" s="1274"/>
      <c r="BS261" s="1274"/>
      <c r="BT261" s="1274"/>
      <c r="BU261" s="1274"/>
      <c r="BV261" s="1274"/>
      <c r="BW261" s="1274"/>
      <c r="BX261" s="1274"/>
      <c r="BY261" s="1274"/>
      <c r="BZ261" s="1274"/>
      <c r="CA261" s="1274"/>
      <c r="CB261" s="1274"/>
      <c r="CC261" s="1274"/>
      <c r="CD261" s="1274"/>
      <c r="CE261" s="1274"/>
      <c r="CF261" s="1274"/>
      <c r="CG261" s="1274"/>
      <c r="CH261" s="1269"/>
      <c r="CI261" s="1274"/>
      <c r="CJ261" s="1274"/>
      <c r="CK261" s="1274"/>
      <c r="CL261" s="1274"/>
      <c r="CM261" s="1274"/>
      <c r="CN261" s="1274"/>
      <c r="CO261" s="1274"/>
      <c r="CP261" s="1274"/>
      <c r="CQ261" s="1274"/>
      <c r="CR261" s="1274"/>
      <c r="CS261" s="1274"/>
      <c r="CT261" s="1274"/>
      <c r="CU261" s="1274"/>
      <c r="CV261" s="1274"/>
      <c r="CW261" s="1274"/>
      <c r="CX261" s="1274"/>
      <c r="CY261" s="1274"/>
      <c r="CZ261" s="1274"/>
      <c r="DA261" s="1274"/>
      <c r="DB261" s="1274"/>
      <c r="DC261" s="1274"/>
      <c r="DD261" s="1274"/>
      <c r="DE261" s="1274"/>
      <c r="DF261" s="1274"/>
      <c r="DG261" s="1274"/>
      <c r="DH261" s="1274"/>
      <c r="DI261" s="1274"/>
      <c r="DJ261" s="1274"/>
      <c r="DK261" s="1274"/>
      <c r="DL261" s="1274"/>
      <c r="DM261" s="1274"/>
      <c r="DN261" s="1274"/>
      <c r="DO261" s="1274"/>
      <c r="DP261" s="1274"/>
      <c r="DQ261" s="1274"/>
      <c r="DR261" s="1274"/>
      <c r="DS261" s="1274"/>
      <c r="DT261" s="1274"/>
      <c r="DU261" s="1274"/>
      <c r="DV261" s="1274"/>
      <c r="DW261" s="1274"/>
      <c r="DX261" s="1274"/>
      <c r="DY261" s="1274"/>
      <c r="DZ261" s="1274"/>
      <c r="EA261" s="1274"/>
      <c r="EB261" s="1273"/>
      <c r="EC261" s="1273"/>
      <c r="ED261" s="1273"/>
      <c r="EE261" s="1273"/>
      <c r="EF261" s="1273"/>
      <c r="EG261" s="1273"/>
      <c r="EH261" s="1273"/>
      <c r="EI261" s="1273"/>
      <c r="EJ261" s="1273"/>
      <c r="EK261" s="1273"/>
      <c r="EL261" s="1273"/>
      <c r="EM261" s="1313"/>
    </row>
    <row r="262" spans="1:143" s="1271" customFormat="1">
      <c r="A262" s="1284"/>
      <c r="B262" s="1272"/>
      <c r="C262" s="1272"/>
      <c r="D262" s="1273"/>
      <c r="E262" s="1273"/>
      <c r="F262" s="1273"/>
      <c r="G262" s="1273"/>
      <c r="H262" s="1273"/>
      <c r="I262" s="1273"/>
      <c r="J262" s="1273"/>
      <c r="K262" s="1273"/>
      <c r="L262" s="1273"/>
      <c r="M262" s="1273"/>
      <c r="N262" s="1273"/>
      <c r="O262" s="1273"/>
      <c r="P262" s="1273"/>
      <c r="Q262" s="1273"/>
      <c r="R262" s="1273"/>
      <c r="S262" s="1273"/>
      <c r="T262" s="1273"/>
      <c r="U262" s="1273"/>
      <c r="V262" s="1273"/>
      <c r="W262" s="1274"/>
      <c r="X262" s="1274"/>
      <c r="Y262" s="1274"/>
      <c r="Z262" s="1274"/>
      <c r="AA262" s="1274"/>
      <c r="AB262" s="1274"/>
      <c r="AC262" s="1274"/>
      <c r="AD262" s="1274"/>
      <c r="AE262" s="1274"/>
      <c r="AF262" s="1274"/>
      <c r="AG262" s="1274"/>
      <c r="AH262" s="1274"/>
      <c r="AI262" s="1274"/>
      <c r="AJ262" s="1274"/>
      <c r="AK262" s="1274"/>
      <c r="AL262" s="1274"/>
      <c r="AM262" s="1274"/>
      <c r="AN262" s="1274"/>
      <c r="AO262" s="1274"/>
      <c r="AP262" s="1274"/>
      <c r="AQ262" s="1274"/>
      <c r="AR262" s="1274"/>
      <c r="AS262" s="1274"/>
      <c r="AT262" s="1274"/>
      <c r="AU262" s="1274"/>
      <c r="AV262" s="1274"/>
      <c r="AW262" s="1274"/>
      <c r="AX262" s="1274"/>
      <c r="AY262" s="1274"/>
      <c r="AZ262" s="1274"/>
      <c r="BA262" s="1274"/>
      <c r="BB262" s="1274"/>
      <c r="BC262" s="1274"/>
      <c r="BD262" s="1274"/>
      <c r="BE262" s="1274"/>
      <c r="BF262" s="1274"/>
      <c r="BG262" s="1274"/>
      <c r="BH262" s="1274"/>
      <c r="BI262" s="1274"/>
      <c r="BJ262" s="1274"/>
      <c r="BK262" s="1274"/>
      <c r="BL262" s="1274"/>
      <c r="BM262" s="1274"/>
      <c r="BN262" s="1274"/>
      <c r="BO262" s="1274"/>
      <c r="BP262" s="1274"/>
      <c r="BQ262" s="1274"/>
      <c r="BR262" s="1274"/>
      <c r="BS262" s="1274"/>
      <c r="BT262" s="1274"/>
      <c r="BU262" s="1274"/>
      <c r="BV262" s="1274"/>
      <c r="BW262" s="1274"/>
      <c r="BX262" s="1274"/>
      <c r="BY262" s="1274"/>
      <c r="BZ262" s="1274"/>
      <c r="CA262" s="1274"/>
      <c r="CB262" s="1274"/>
      <c r="CC262" s="1274"/>
      <c r="CD262" s="1274"/>
      <c r="CE262" s="1274"/>
      <c r="CF262" s="1274"/>
      <c r="CG262" s="1274"/>
      <c r="CH262" s="1269"/>
      <c r="CI262" s="1274"/>
      <c r="CJ262" s="1274"/>
      <c r="CK262" s="1274"/>
      <c r="CL262" s="1274"/>
      <c r="CM262" s="1274"/>
      <c r="CN262" s="1274"/>
      <c r="CO262" s="1274"/>
      <c r="CP262" s="1274"/>
      <c r="CQ262" s="1274"/>
      <c r="CR262" s="1274"/>
      <c r="CS262" s="1274"/>
      <c r="CT262" s="1274"/>
      <c r="CU262" s="1274"/>
      <c r="CV262" s="1274"/>
      <c r="CW262" s="1274"/>
      <c r="CX262" s="1274"/>
      <c r="CY262" s="1274"/>
      <c r="CZ262" s="1274"/>
      <c r="DA262" s="1274"/>
      <c r="DB262" s="1274"/>
      <c r="DC262" s="1274"/>
      <c r="DD262" s="1274"/>
      <c r="DE262" s="1274"/>
      <c r="DF262" s="1274"/>
      <c r="DG262" s="1274"/>
      <c r="DH262" s="1274"/>
      <c r="DI262" s="1274"/>
      <c r="DJ262" s="1274"/>
      <c r="DK262" s="1274"/>
      <c r="DL262" s="1274"/>
      <c r="DM262" s="1274"/>
      <c r="DN262" s="1274"/>
      <c r="DO262" s="1274"/>
      <c r="DP262" s="1274"/>
      <c r="DQ262" s="1274"/>
      <c r="DR262" s="1274"/>
      <c r="DS262" s="1274"/>
      <c r="DT262" s="1274"/>
      <c r="DU262" s="1274"/>
      <c r="DV262" s="1274"/>
      <c r="DW262" s="1274"/>
      <c r="DX262" s="1274"/>
      <c r="DY262" s="1274"/>
      <c r="DZ262" s="1274"/>
      <c r="EA262" s="1274"/>
      <c r="EB262" s="1273"/>
      <c r="EC262" s="1273"/>
      <c r="ED262" s="1273"/>
      <c r="EE262" s="1273"/>
      <c r="EF262" s="1273"/>
      <c r="EG262" s="1273"/>
      <c r="EH262" s="1273"/>
      <c r="EI262" s="1273"/>
      <c r="EJ262" s="1273"/>
      <c r="EK262" s="1273"/>
      <c r="EL262" s="1273"/>
      <c r="EM262" s="1313"/>
    </row>
    <row r="263" spans="1:143" s="1271" customFormat="1">
      <c r="B263" s="1276"/>
      <c r="C263" s="1276"/>
      <c r="D263" s="1276"/>
      <c r="E263" s="1276"/>
      <c r="F263" s="1276"/>
      <c r="G263" s="1276"/>
      <c r="H263" s="1276"/>
      <c r="I263" s="1276"/>
      <c r="J263" s="1276"/>
      <c r="K263" s="1276"/>
      <c r="L263" s="1276"/>
      <c r="M263" s="1276"/>
      <c r="N263" s="1276"/>
      <c r="O263" s="1276"/>
      <c r="P263" s="1276"/>
      <c r="Q263" s="1276"/>
      <c r="R263" s="1276"/>
      <c r="S263" s="1276"/>
      <c r="T263" s="1276"/>
      <c r="U263" s="1276"/>
      <c r="V263" s="1276"/>
      <c r="W263" s="1277"/>
      <c r="X263" s="1277"/>
      <c r="Y263" s="1277"/>
      <c r="Z263" s="1277"/>
      <c r="AA263" s="1277"/>
      <c r="AB263" s="1277"/>
      <c r="AC263" s="1277"/>
      <c r="AD263" s="1277"/>
      <c r="AE263" s="1277"/>
      <c r="AF263" s="1277"/>
      <c r="AG263" s="1277"/>
      <c r="AH263" s="1277"/>
      <c r="AI263" s="1277"/>
      <c r="AJ263" s="1277"/>
      <c r="AK263" s="1277"/>
      <c r="AL263" s="1277"/>
      <c r="AM263" s="1277"/>
      <c r="AN263" s="1277"/>
      <c r="AO263" s="1277"/>
      <c r="AP263" s="1277"/>
      <c r="AQ263" s="1277"/>
      <c r="AR263" s="1277"/>
      <c r="AS263" s="1277"/>
      <c r="AT263" s="1277"/>
      <c r="AU263" s="1277"/>
      <c r="AV263" s="1277"/>
      <c r="AW263" s="1277"/>
      <c r="AX263" s="1277"/>
      <c r="AY263" s="1277"/>
      <c r="AZ263" s="1277"/>
      <c r="BA263" s="1277"/>
      <c r="BB263" s="1277"/>
      <c r="BC263" s="1277"/>
      <c r="BD263" s="1277"/>
      <c r="BE263" s="1277"/>
      <c r="BF263" s="1277"/>
      <c r="BG263" s="1277"/>
      <c r="BH263" s="1277"/>
      <c r="BI263" s="1277"/>
      <c r="BJ263" s="1277"/>
      <c r="BK263" s="1277"/>
      <c r="BL263" s="1277"/>
      <c r="BM263" s="1277"/>
      <c r="BN263" s="1277"/>
      <c r="BO263" s="1277"/>
      <c r="BP263" s="1277"/>
      <c r="BQ263" s="1277"/>
      <c r="BR263" s="1277"/>
      <c r="BS263" s="1277"/>
      <c r="BT263" s="1277"/>
      <c r="BU263" s="1277"/>
      <c r="BV263" s="1277"/>
      <c r="BW263" s="1277"/>
      <c r="BX263" s="1277"/>
      <c r="BY263" s="1277"/>
      <c r="BZ263" s="1277"/>
      <c r="CA263" s="1277"/>
      <c r="CB263" s="1277"/>
      <c r="CC263" s="1277"/>
      <c r="CD263" s="1277"/>
      <c r="CE263" s="1277"/>
      <c r="CF263" s="1277"/>
      <c r="CG263" s="1277"/>
      <c r="CH263" s="1269"/>
      <c r="CI263" s="1277"/>
      <c r="CJ263" s="1277"/>
      <c r="CK263" s="1277"/>
      <c r="CL263" s="1277"/>
      <c r="CM263" s="1277"/>
      <c r="CN263" s="1277"/>
      <c r="CO263" s="1277"/>
      <c r="CP263" s="1277"/>
      <c r="CQ263" s="1277"/>
      <c r="CR263" s="1277"/>
      <c r="CS263" s="1277"/>
      <c r="CT263" s="1277"/>
      <c r="CU263" s="1277"/>
      <c r="CV263" s="1277"/>
      <c r="CW263" s="1277"/>
      <c r="CX263" s="1277"/>
      <c r="CY263" s="1277"/>
      <c r="CZ263" s="1277"/>
      <c r="DA263" s="1277"/>
      <c r="DB263" s="1277"/>
      <c r="DC263" s="1277"/>
      <c r="DD263" s="1277"/>
      <c r="DE263" s="1277"/>
      <c r="DF263" s="1277"/>
      <c r="DG263" s="1277"/>
      <c r="DH263" s="1277"/>
      <c r="DI263" s="1277"/>
      <c r="DJ263" s="1277"/>
      <c r="DK263" s="1277"/>
      <c r="DL263" s="1277"/>
      <c r="DM263" s="1277"/>
      <c r="DN263" s="1277"/>
      <c r="DO263" s="1277"/>
      <c r="DP263" s="1277"/>
      <c r="DQ263" s="1277"/>
      <c r="DR263" s="1277"/>
      <c r="DS263" s="1277"/>
      <c r="DT263" s="1277"/>
      <c r="DU263" s="1277"/>
      <c r="DV263" s="1277"/>
      <c r="DW263" s="1277"/>
      <c r="DX263" s="1277"/>
      <c r="DY263" s="1277"/>
      <c r="DZ263" s="1277"/>
      <c r="EA263" s="1277"/>
      <c r="EB263" s="1276"/>
      <c r="EC263" s="1276"/>
      <c r="ED263" s="1276"/>
      <c r="EE263" s="1276"/>
      <c r="EF263" s="1276"/>
      <c r="EG263" s="1276"/>
      <c r="EH263" s="1276"/>
      <c r="EI263" s="1276"/>
      <c r="EJ263" s="1276"/>
      <c r="EK263" s="1275"/>
      <c r="EL263" s="1275"/>
      <c r="EM263" s="1313"/>
    </row>
    <row r="264" spans="1:143" s="1271" customFormat="1">
      <c r="B264" s="1276"/>
      <c r="C264" s="1276"/>
      <c r="D264" s="1276"/>
      <c r="E264" s="1276"/>
      <c r="F264" s="1276"/>
      <c r="G264" s="1276"/>
      <c r="H264" s="1276"/>
      <c r="I264" s="1276"/>
      <c r="J264" s="1276"/>
      <c r="K264" s="1276"/>
      <c r="L264" s="1276"/>
      <c r="M264" s="1276"/>
      <c r="N264" s="1276"/>
      <c r="O264" s="1276"/>
      <c r="P264" s="1276"/>
      <c r="Q264" s="1276"/>
      <c r="R264" s="1276"/>
      <c r="S264" s="1276"/>
      <c r="T264" s="1276"/>
      <c r="U264" s="1276"/>
      <c r="V264" s="1276"/>
      <c r="W264" s="1277"/>
      <c r="X264" s="1277"/>
      <c r="Y264" s="1277"/>
      <c r="Z264" s="1277"/>
      <c r="AA264" s="1277"/>
      <c r="AB264" s="1277"/>
      <c r="AC264" s="1277"/>
      <c r="AD264" s="1277"/>
      <c r="AE264" s="1277"/>
      <c r="AF264" s="1277"/>
      <c r="AG264" s="1277"/>
      <c r="AH264" s="1277"/>
      <c r="AI264" s="1277"/>
      <c r="AJ264" s="1277"/>
      <c r="AK264" s="1277"/>
      <c r="AL264" s="1277"/>
      <c r="AM264" s="1277"/>
      <c r="AN264" s="1277"/>
      <c r="AO264" s="1277"/>
      <c r="AP264" s="1277"/>
      <c r="AQ264" s="1277"/>
      <c r="AR264" s="1277"/>
      <c r="AS264" s="1277"/>
      <c r="AT264" s="1277"/>
      <c r="AU264" s="1277"/>
      <c r="AV264" s="1277"/>
      <c r="AW264" s="1277"/>
      <c r="AX264" s="1277"/>
      <c r="AY264" s="1277"/>
      <c r="AZ264" s="1277"/>
      <c r="BA264" s="1277"/>
      <c r="BB264" s="1277"/>
      <c r="BC264" s="1277"/>
      <c r="BD264" s="1277"/>
      <c r="BE264" s="1277"/>
      <c r="BF264" s="1277"/>
      <c r="BG264" s="1277"/>
      <c r="BH264" s="1277"/>
      <c r="BI264" s="1277"/>
      <c r="BJ264" s="1277"/>
      <c r="BK264" s="1277"/>
      <c r="BL264" s="1277"/>
      <c r="BM264" s="1277"/>
      <c r="BN264" s="1277"/>
      <c r="BO264" s="1277"/>
      <c r="BP264" s="1277"/>
      <c r="BQ264" s="1277"/>
      <c r="BR264" s="1277"/>
      <c r="BS264" s="1277"/>
      <c r="BT264" s="1277"/>
      <c r="BU264" s="1277"/>
      <c r="BV264" s="1277"/>
      <c r="BW264" s="1277"/>
      <c r="BX264" s="1277"/>
      <c r="BY264" s="1277"/>
      <c r="BZ264" s="1277"/>
      <c r="CA264" s="1277"/>
      <c r="CB264" s="1277"/>
      <c r="CC264" s="1277"/>
      <c r="CD264" s="1277"/>
      <c r="CE264" s="1277"/>
      <c r="CF264" s="1277"/>
      <c r="CG264" s="1277"/>
      <c r="CH264" s="1269"/>
      <c r="CI264" s="1277"/>
      <c r="CJ264" s="1277"/>
      <c r="CK264" s="1277"/>
      <c r="CL264" s="1277"/>
      <c r="CM264" s="1277"/>
      <c r="CN264" s="1277"/>
      <c r="CO264" s="1277"/>
      <c r="CP264" s="1277"/>
      <c r="CQ264" s="1277"/>
      <c r="CR264" s="1277"/>
      <c r="CS264" s="1277"/>
      <c r="CT264" s="1277"/>
      <c r="CU264" s="1277"/>
      <c r="CV264" s="1277"/>
      <c r="CW264" s="1277"/>
      <c r="CX264" s="1277"/>
      <c r="CY264" s="1277"/>
      <c r="CZ264" s="1277"/>
      <c r="DA264" s="1277"/>
      <c r="DB264" s="1277"/>
      <c r="DC264" s="1277"/>
      <c r="DD264" s="1277"/>
      <c r="DE264" s="1277"/>
      <c r="DF264" s="1277"/>
      <c r="DG264" s="1277"/>
      <c r="DH264" s="1277"/>
      <c r="DI264" s="1277"/>
      <c r="DJ264" s="1277"/>
      <c r="DK264" s="1277"/>
      <c r="DL264" s="1277"/>
      <c r="DM264" s="1277"/>
      <c r="DN264" s="1277"/>
      <c r="DO264" s="1277"/>
      <c r="DP264" s="1277"/>
      <c r="DQ264" s="1277"/>
      <c r="DR264" s="1277"/>
      <c r="DS264" s="1277"/>
      <c r="DT264" s="1277"/>
      <c r="DU264" s="1277"/>
      <c r="DV264" s="1277"/>
      <c r="DW264" s="1277"/>
      <c r="DX264" s="1277"/>
      <c r="DY264" s="1277"/>
      <c r="DZ264" s="1277"/>
      <c r="EA264" s="1277"/>
      <c r="EB264" s="1276"/>
      <c r="EC264" s="1276"/>
      <c r="ED264" s="1276"/>
      <c r="EE264" s="1276"/>
      <c r="EF264" s="1276"/>
      <c r="EG264" s="1276"/>
      <c r="EH264" s="1276"/>
      <c r="EI264" s="1276"/>
      <c r="EJ264" s="1276"/>
      <c r="EK264" s="1275"/>
      <c r="EL264" s="1275"/>
      <c r="EM264" s="1313"/>
    </row>
    <row r="265" spans="1:143" s="1271" customFormat="1">
      <c r="B265" s="1276"/>
      <c r="C265" s="1276"/>
      <c r="D265" s="1276"/>
      <c r="E265" s="1276"/>
      <c r="F265" s="1276"/>
      <c r="G265" s="1276"/>
      <c r="H265" s="1276"/>
      <c r="I265" s="1276"/>
      <c r="J265" s="1276"/>
      <c r="K265" s="1276"/>
      <c r="L265" s="1276"/>
      <c r="M265" s="1276"/>
      <c r="N265" s="1276"/>
      <c r="O265" s="1276"/>
      <c r="P265" s="1276"/>
      <c r="Q265" s="1276"/>
      <c r="R265" s="1276"/>
      <c r="S265" s="1276"/>
      <c r="T265" s="1276"/>
      <c r="U265" s="1276"/>
      <c r="V265" s="1276"/>
      <c r="W265" s="1277"/>
      <c r="X265" s="1277"/>
      <c r="Y265" s="1277"/>
      <c r="Z265" s="1277"/>
      <c r="AA265" s="1277"/>
      <c r="AB265" s="1277"/>
      <c r="AC265" s="1277"/>
      <c r="AD265" s="1277"/>
      <c r="AE265" s="1277"/>
      <c r="AF265" s="1277"/>
      <c r="AG265" s="1277"/>
      <c r="AH265" s="1277"/>
      <c r="AI265" s="1277"/>
      <c r="AJ265" s="1277"/>
      <c r="AK265" s="1277"/>
      <c r="AL265" s="1277"/>
      <c r="AM265" s="1277"/>
      <c r="AN265" s="1277"/>
      <c r="AO265" s="1277"/>
      <c r="AP265" s="1277"/>
      <c r="AQ265" s="1277"/>
      <c r="AR265" s="1277"/>
      <c r="AS265" s="1277"/>
      <c r="AT265" s="1277"/>
      <c r="AU265" s="1277"/>
      <c r="AV265" s="1277"/>
      <c r="AW265" s="1277"/>
      <c r="AX265" s="1277"/>
      <c r="AY265" s="1277"/>
      <c r="AZ265" s="1277"/>
      <c r="BA265" s="1277"/>
      <c r="BB265" s="1277"/>
      <c r="BC265" s="1277"/>
      <c r="BD265" s="1277"/>
      <c r="BE265" s="1277"/>
      <c r="BF265" s="1277"/>
      <c r="BG265" s="1277"/>
      <c r="BH265" s="1277"/>
      <c r="BI265" s="1277"/>
      <c r="BJ265" s="1277"/>
      <c r="BK265" s="1277"/>
      <c r="BL265" s="1277"/>
      <c r="BM265" s="1277"/>
      <c r="BN265" s="1277"/>
      <c r="BO265" s="1277"/>
      <c r="BP265" s="1277"/>
      <c r="BQ265" s="1277"/>
      <c r="BR265" s="1277"/>
      <c r="BS265" s="1277"/>
      <c r="BT265" s="1277"/>
      <c r="BU265" s="1277"/>
      <c r="BV265" s="1277"/>
      <c r="BW265" s="1277"/>
      <c r="BX265" s="1277"/>
      <c r="BY265" s="1277"/>
      <c r="BZ265" s="1277"/>
      <c r="CA265" s="1277"/>
      <c r="CB265" s="1277"/>
      <c r="CC265" s="1277"/>
      <c r="CD265" s="1277"/>
      <c r="CE265" s="1277"/>
      <c r="CF265" s="1277"/>
      <c r="CG265" s="1277"/>
      <c r="CH265" s="1269"/>
      <c r="CI265" s="1277"/>
      <c r="CJ265" s="1277"/>
      <c r="CK265" s="1277"/>
      <c r="CL265" s="1277"/>
      <c r="CM265" s="1277"/>
      <c r="CN265" s="1277"/>
      <c r="CO265" s="1277"/>
      <c r="CP265" s="1277"/>
      <c r="CQ265" s="1277"/>
      <c r="CR265" s="1277"/>
      <c r="CS265" s="1277"/>
      <c r="CT265" s="1277"/>
      <c r="CU265" s="1277"/>
      <c r="CV265" s="1277"/>
      <c r="CW265" s="1277"/>
      <c r="CX265" s="1277"/>
      <c r="CY265" s="1277"/>
      <c r="CZ265" s="1277"/>
      <c r="DA265" s="1277"/>
      <c r="DB265" s="1277"/>
      <c r="DC265" s="1277"/>
      <c r="DD265" s="1277"/>
      <c r="DE265" s="1277"/>
      <c r="DF265" s="1277"/>
      <c r="DG265" s="1277"/>
      <c r="DH265" s="1277"/>
      <c r="DI265" s="1277"/>
      <c r="DJ265" s="1277"/>
      <c r="DK265" s="1277"/>
      <c r="DL265" s="1277"/>
      <c r="DM265" s="1277"/>
      <c r="DN265" s="1277"/>
      <c r="DO265" s="1277"/>
      <c r="DP265" s="1277"/>
      <c r="DQ265" s="1277"/>
      <c r="DR265" s="1277"/>
      <c r="DS265" s="1277"/>
      <c r="DT265" s="1277"/>
      <c r="DU265" s="1277"/>
      <c r="DV265" s="1277"/>
      <c r="DW265" s="1277"/>
      <c r="DX265" s="1277"/>
      <c r="DY265" s="1277"/>
      <c r="DZ265" s="1277"/>
      <c r="EA265" s="1277"/>
      <c r="EB265" s="1276"/>
      <c r="EC265" s="1276"/>
      <c r="ED265" s="1276"/>
      <c r="EE265" s="1276"/>
      <c r="EF265" s="1276"/>
      <c r="EG265" s="1276"/>
      <c r="EH265" s="1276"/>
      <c r="EI265" s="1276"/>
      <c r="EJ265" s="1276"/>
      <c r="EK265" s="1275"/>
      <c r="EL265" s="1275"/>
      <c r="EM265" s="1313"/>
    </row>
    <row r="266" spans="1:143" s="1271" customFormat="1">
      <c r="B266" s="1276"/>
      <c r="C266" s="1276"/>
      <c r="D266" s="1276"/>
      <c r="E266" s="1276"/>
      <c r="F266" s="1276"/>
      <c r="G266" s="1276"/>
      <c r="H266" s="1276"/>
      <c r="I266" s="1276"/>
      <c r="J266" s="1276"/>
      <c r="K266" s="1276"/>
      <c r="L266" s="1276"/>
      <c r="M266" s="1276"/>
      <c r="N266" s="1276"/>
      <c r="O266" s="1276"/>
      <c r="P266" s="1276"/>
      <c r="Q266" s="1276"/>
      <c r="R266" s="1276"/>
      <c r="S266" s="1276"/>
      <c r="T266" s="1276"/>
      <c r="U266" s="1276"/>
      <c r="V266" s="1276"/>
      <c r="W266" s="1277"/>
      <c r="X266" s="1277"/>
      <c r="Y266" s="1277"/>
      <c r="Z266" s="1277"/>
      <c r="AA266" s="1277"/>
      <c r="AB266" s="1277"/>
      <c r="AC266" s="1277"/>
      <c r="AD266" s="1277"/>
      <c r="AE266" s="1277"/>
      <c r="AF266" s="1277"/>
      <c r="AG266" s="1277"/>
      <c r="AH266" s="1277"/>
      <c r="AI266" s="1277"/>
      <c r="AJ266" s="1277"/>
      <c r="AK266" s="1277"/>
      <c r="AL266" s="1277"/>
      <c r="AM266" s="1277"/>
      <c r="AN266" s="1277"/>
      <c r="AO266" s="1277"/>
      <c r="AP266" s="1277"/>
      <c r="AQ266" s="1277"/>
      <c r="AR266" s="1277"/>
      <c r="AS266" s="1277"/>
      <c r="AT266" s="1277"/>
      <c r="AU266" s="1277"/>
      <c r="AV266" s="1277"/>
      <c r="AW266" s="1277"/>
      <c r="AX266" s="1277"/>
      <c r="AY266" s="1277"/>
      <c r="AZ266" s="1277"/>
      <c r="BA266" s="1277"/>
      <c r="BB266" s="1277"/>
      <c r="BC266" s="1277"/>
      <c r="BD266" s="1277"/>
      <c r="BE266" s="1277"/>
      <c r="BF266" s="1277"/>
      <c r="BG266" s="1277"/>
      <c r="BH266" s="1277"/>
      <c r="BI266" s="1277"/>
      <c r="BJ266" s="1277"/>
      <c r="BK266" s="1277"/>
      <c r="BL266" s="1277"/>
      <c r="BM266" s="1277"/>
      <c r="BN266" s="1277"/>
      <c r="BO266" s="1277"/>
      <c r="BP266" s="1277"/>
      <c r="BQ266" s="1277"/>
      <c r="BR266" s="1277"/>
      <c r="BS266" s="1277"/>
      <c r="BT266" s="1277"/>
      <c r="BU266" s="1277"/>
      <c r="BV266" s="1277"/>
      <c r="BW266" s="1277"/>
      <c r="BX266" s="1277"/>
      <c r="BY266" s="1277"/>
      <c r="BZ266" s="1277"/>
      <c r="CA266" s="1277"/>
      <c r="CB266" s="1277"/>
      <c r="CC266" s="1277"/>
      <c r="CD266" s="1277"/>
      <c r="CE266" s="1277"/>
      <c r="CF266" s="1277"/>
      <c r="CG266" s="1277"/>
      <c r="CH266" s="1269"/>
      <c r="CI266" s="1277"/>
      <c r="CJ266" s="1277"/>
      <c r="CK266" s="1277"/>
      <c r="CL266" s="1277"/>
      <c r="CM266" s="1277"/>
      <c r="CN266" s="1277"/>
      <c r="CO266" s="1277"/>
      <c r="CP266" s="1277"/>
      <c r="CQ266" s="1277"/>
      <c r="CR266" s="1277"/>
      <c r="CS266" s="1277"/>
      <c r="CT266" s="1277"/>
      <c r="CU266" s="1277"/>
      <c r="CV266" s="1277"/>
      <c r="CW266" s="1277"/>
      <c r="CX266" s="1277"/>
      <c r="CY266" s="1277"/>
      <c r="CZ266" s="1277"/>
      <c r="DA266" s="1277"/>
      <c r="DB266" s="1277"/>
      <c r="DC266" s="1277"/>
      <c r="DD266" s="1277"/>
      <c r="DE266" s="1277"/>
      <c r="DF266" s="1277"/>
      <c r="DG266" s="1277"/>
      <c r="DH266" s="1277"/>
      <c r="DI266" s="1277"/>
      <c r="DJ266" s="1277"/>
      <c r="DK266" s="1277"/>
      <c r="DL266" s="1277"/>
      <c r="DM266" s="1277"/>
      <c r="DN266" s="1277"/>
      <c r="DO266" s="1277"/>
      <c r="DP266" s="1277"/>
      <c r="DQ266" s="1277"/>
      <c r="DR266" s="1277"/>
      <c r="DS266" s="1277"/>
      <c r="DT266" s="1277"/>
      <c r="DU266" s="1277"/>
      <c r="DV266" s="1277"/>
      <c r="DW266" s="1277"/>
      <c r="DX266" s="1277"/>
      <c r="DY266" s="1277"/>
      <c r="DZ266" s="1277"/>
      <c r="EA266" s="1277"/>
      <c r="EB266" s="1276"/>
      <c r="EC266" s="1276"/>
      <c r="ED266" s="1276"/>
      <c r="EE266" s="1276"/>
      <c r="EF266" s="1276"/>
      <c r="EG266" s="1276"/>
      <c r="EH266" s="1276"/>
      <c r="EI266" s="1276"/>
      <c r="EJ266" s="1276"/>
      <c r="EK266" s="1275"/>
      <c r="EL266" s="1275"/>
      <c r="EM266" s="1313"/>
    </row>
    <row r="267" spans="1:143" s="1271" customFormat="1">
      <c r="A267" s="1262"/>
      <c r="B267" s="1276"/>
      <c r="C267" s="1276"/>
      <c r="D267" s="1276"/>
      <c r="E267" s="1276"/>
      <c r="F267" s="1276"/>
      <c r="G267" s="1276"/>
      <c r="H267" s="1276"/>
      <c r="I267" s="1276"/>
      <c r="J267" s="1276"/>
      <c r="K267" s="1276"/>
      <c r="L267" s="1276"/>
      <c r="M267" s="1276"/>
      <c r="N267" s="1276"/>
      <c r="O267" s="1276"/>
      <c r="P267" s="1276"/>
      <c r="Q267" s="1276"/>
      <c r="R267" s="1276"/>
      <c r="S267" s="1276"/>
      <c r="T267" s="1276"/>
      <c r="U267" s="1276"/>
      <c r="V267" s="1276"/>
      <c r="W267" s="1277"/>
      <c r="X267" s="1277"/>
      <c r="Y267" s="1277"/>
      <c r="Z267" s="1277"/>
      <c r="AA267" s="1277"/>
      <c r="AB267" s="1277"/>
      <c r="AC267" s="1277"/>
      <c r="AD267" s="1277"/>
      <c r="AE267" s="1277"/>
      <c r="AF267" s="1277"/>
      <c r="AG267" s="1277"/>
      <c r="AH267" s="1277"/>
      <c r="AI267" s="1277"/>
      <c r="AJ267" s="1277"/>
      <c r="AK267" s="1277"/>
      <c r="AL267" s="1277"/>
      <c r="AM267" s="1277"/>
      <c r="AN267" s="1277"/>
      <c r="AO267" s="1277"/>
      <c r="AP267" s="1277"/>
      <c r="AQ267" s="1277"/>
      <c r="AR267" s="1277"/>
      <c r="AS267" s="1277"/>
      <c r="AT267" s="1277"/>
      <c r="AU267" s="1277"/>
      <c r="AV267" s="1277"/>
      <c r="AW267" s="1277"/>
      <c r="AX267" s="1277"/>
      <c r="AY267" s="1277"/>
      <c r="AZ267" s="1277"/>
      <c r="BA267" s="1277"/>
      <c r="BB267" s="1277"/>
      <c r="BC267" s="1277"/>
      <c r="BD267" s="1277"/>
      <c r="BE267" s="1277"/>
      <c r="BF267" s="1277"/>
      <c r="BG267" s="1277"/>
      <c r="BH267" s="1277"/>
      <c r="BI267" s="1277"/>
      <c r="BJ267" s="1277"/>
      <c r="BK267" s="1277"/>
      <c r="BL267" s="1277"/>
      <c r="BM267" s="1277"/>
      <c r="BN267" s="1277"/>
      <c r="BO267" s="1277"/>
      <c r="BP267" s="1277"/>
      <c r="BQ267" s="1277"/>
      <c r="BR267" s="1277"/>
      <c r="BS267" s="1277"/>
      <c r="BT267" s="1277"/>
      <c r="BU267" s="1277"/>
      <c r="BV267" s="1277"/>
      <c r="BW267" s="1277"/>
      <c r="BX267" s="1277"/>
      <c r="BY267" s="1277"/>
      <c r="BZ267" s="1277"/>
      <c r="CA267" s="1277"/>
      <c r="CB267" s="1277"/>
      <c r="CC267" s="1277"/>
      <c r="CD267" s="1277"/>
      <c r="CE267" s="1277"/>
      <c r="CF267" s="1277"/>
      <c r="CG267" s="1277"/>
      <c r="CH267" s="1269"/>
      <c r="CI267" s="1277"/>
      <c r="CJ267" s="1277"/>
      <c r="CK267" s="1277"/>
      <c r="CL267" s="1277"/>
      <c r="CM267" s="1277"/>
      <c r="CN267" s="1277"/>
      <c r="CO267" s="1277"/>
      <c r="CP267" s="1277"/>
      <c r="CQ267" s="1277"/>
      <c r="CR267" s="1277"/>
      <c r="CS267" s="1277"/>
      <c r="CT267" s="1277"/>
      <c r="CU267" s="1277"/>
      <c r="CV267" s="1277"/>
      <c r="CW267" s="1277"/>
      <c r="CX267" s="1277"/>
      <c r="CY267" s="1277"/>
      <c r="CZ267" s="1277"/>
      <c r="DA267" s="1277"/>
      <c r="DB267" s="1277"/>
      <c r="DC267" s="1277"/>
      <c r="DD267" s="1277"/>
      <c r="DE267" s="1277"/>
      <c r="DF267" s="1277"/>
      <c r="DG267" s="1277"/>
      <c r="DH267" s="1277"/>
      <c r="DI267" s="1277"/>
      <c r="DJ267" s="1277"/>
      <c r="DK267" s="1277"/>
      <c r="DL267" s="1277"/>
      <c r="DM267" s="1277"/>
      <c r="DN267" s="1277"/>
      <c r="DO267" s="1277"/>
      <c r="DP267" s="1277"/>
      <c r="DQ267" s="1277"/>
      <c r="DR267" s="1277"/>
      <c r="DS267" s="1277"/>
      <c r="DT267" s="1277"/>
      <c r="DU267" s="1277"/>
      <c r="DV267" s="1277"/>
      <c r="DW267" s="1277"/>
      <c r="DX267" s="1277"/>
      <c r="DY267" s="1277"/>
      <c r="DZ267" s="1277"/>
      <c r="EA267" s="1277"/>
      <c r="EB267" s="1276"/>
      <c r="EC267" s="1276"/>
      <c r="ED267" s="1276"/>
      <c r="EE267" s="1276"/>
      <c r="EF267" s="1276"/>
      <c r="EG267" s="1276"/>
      <c r="EH267" s="1276"/>
      <c r="EI267" s="1276"/>
      <c r="EJ267" s="1276"/>
      <c r="EK267" s="1275"/>
      <c r="EL267" s="1275"/>
      <c r="EM267" s="1313"/>
    </row>
    <row r="268" spans="1:143" s="1271" customFormat="1">
      <c r="B268" s="1272"/>
      <c r="C268" s="1272"/>
      <c r="D268" s="1273"/>
      <c r="E268" s="1273"/>
      <c r="F268" s="1273"/>
      <c r="G268" s="1273"/>
      <c r="H268" s="1273"/>
      <c r="I268" s="1273"/>
      <c r="J268" s="1273"/>
      <c r="K268" s="1273"/>
      <c r="L268" s="1273"/>
      <c r="M268" s="1273"/>
      <c r="N268" s="1273"/>
      <c r="O268" s="1273"/>
      <c r="P268" s="1273"/>
      <c r="Q268" s="1273"/>
      <c r="R268" s="1273"/>
      <c r="S268" s="1273"/>
      <c r="T268" s="1273"/>
      <c r="U268" s="1273"/>
      <c r="V268" s="1273"/>
      <c r="W268" s="1274"/>
      <c r="X268" s="1274"/>
      <c r="Y268" s="1274"/>
      <c r="Z268" s="1274"/>
      <c r="AA268" s="1274"/>
      <c r="AB268" s="1274"/>
      <c r="AC268" s="1274"/>
      <c r="AD268" s="1274"/>
      <c r="AE268" s="1274"/>
      <c r="AF268" s="1274"/>
      <c r="AG268" s="1274"/>
      <c r="AH268" s="1274"/>
      <c r="AI268" s="1274"/>
      <c r="AJ268" s="1274"/>
      <c r="AK268" s="1274"/>
      <c r="AL268" s="1274"/>
      <c r="AM268" s="1274"/>
      <c r="AN268" s="1274"/>
      <c r="AO268" s="1274"/>
      <c r="AP268" s="1274"/>
      <c r="AQ268" s="1274"/>
      <c r="AR268" s="1274"/>
      <c r="AS268" s="1274"/>
      <c r="AT268" s="1274"/>
      <c r="AU268" s="1274"/>
      <c r="AV268" s="1274"/>
      <c r="AW268" s="1274"/>
      <c r="AX268" s="1274"/>
      <c r="AY268" s="1274"/>
      <c r="AZ268" s="1274"/>
      <c r="BA268" s="1274"/>
      <c r="BB268" s="1274"/>
      <c r="BC268" s="1274"/>
      <c r="BD268" s="1274"/>
      <c r="BE268" s="1274"/>
      <c r="BF268" s="1274"/>
      <c r="BG268" s="1274"/>
      <c r="BH268" s="1274"/>
      <c r="BI268" s="1274"/>
      <c r="BJ268" s="1274"/>
      <c r="BK268" s="1274"/>
      <c r="BL268" s="1274"/>
      <c r="BM268" s="1274"/>
      <c r="BN268" s="1274"/>
      <c r="BO268" s="1274"/>
      <c r="BP268" s="1274"/>
      <c r="BQ268" s="1274"/>
      <c r="BR268" s="1274"/>
      <c r="BS268" s="1274"/>
      <c r="BT268" s="1274"/>
      <c r="BU268" s="1274"/>
      <c r="BV268" s="1274"/>
      <c r="BW268" s="1274"/>
      <c r="BX268" s="1274"/>
      <c r="BY268" s="1274"/>
      <c r="BZ268" s="1274"/>
      <c r="CA268" s="1274"/>
      <c r="CB268" s="1274"/>
      <c r="CC268" s="1274"/>
      <c r="CD268" s="1274"/>
      <c r="CE268" s="1274"/>
      <c r="CF268" s="1274"/>
      <c r="CG268" s="1274"/>
      <c r="CH268" s="1269"/>
      <c r="CI268" s="1274"/>
      <c r="CJ268" s="1274"/>
      <c r="CK268" s="1274"/>
      <c r="CL268" s="1274"/>
      <c r="CM268" s="1274"/>
      <c r="CN268" s="1274"/>
      <c r="CO268" s="1274"/>
      <c r="CP268" s="1274"/>
      <c r="CQ268" s="1274"/>
      <c r="CR268" s="1274"/>
      <c r="CS268" s="1274"/>
      <c r="CT268" s="1274"/>
      <c r="CU268" s="1274"/>
      <c r="CV268" s="1274"/>
      <c r="CW268" s="1274"/>
      <c r="CX268" s="1274"/>
      <c r="CY268" s="1274"/>
      <c r="CZ268" s="1274"/>
      <c r="DA268" s="1274"/>
      <c r="DB268" s="1274"/>
      <c r="DC268" s="1274"/>
      <c r="DD268" s="1274"/>
      <c r="DE268" s="1274"/>
      <c r="DF268" s="1274"/>
      <c r="DG268" s="1274"/>
      <c r="DH268" s="1274"/>
      <c r="DI268" s="1274"/>
      <c r="DJ268" s="1274"/>
      <c r="DK268" s="1274"/>
      <c r="DL268" s="1274"/>
      <c r="DM268" s="1274"/>
      <c r="DN268" s="1274"/>
      <c r="DO268" s="1274"/>
      <c r="DP268" s="1274"/>
      <c r="DQ268" s="1274"/>
      <c r="DR268" s="1274"/>
      <c r="DS268" s="1274"/>
      <c r="DT268" s="1274"/>
      <c r="DU268" s="1274"/>
      <c r="DV268" s="1274"/>
      <c r="DW268" s="1274"/>
      <c r="DX268" s="1274"/>
      <c r="DY268" s="1274"/>
      <c r="DZ268" s="1274"/>
      <c r="EA268" s="1274"/>
      <c r="EB268" s="1273"/>
      <c r="EC268" s="1273"/>
      <c r="ED268" s="1273"/>
      <c r="EE268" s="1273"/>
      <c r="EF268" s="1273"/>
      <c r="EG268" s="1273"/>
      <c r="EH268" s="1273"/>
      <c r="EI268" s="1273"/>
      <c r="EJ268" s="1273"/>
      <c r="EK268" s="1273"/>
      <c r="EL268" s="1273"/>
      <c r="EM268" s="1313"/>
    </row>
    <row r="269" spans="1:143" s="1271" customFormat="1">
      <c r="B269" s="1272"/>
      <c r="C269" s="1272"/>
      <c r="D269" s="1273"/>
      <c r="E269" s="1273"/>
      <c r="F269" s="1273"/>
      <c r="G269" s="1273"/>
      <c r="H269" s="1273"/>
      <c r="I269" s="1273"/>
      <c r="J269" s="1273"/>
      <c r="K269" s="1273"/>
      <c r="L269" s="1273"/>
      <c r="M269" s="1273"/>
      <c r="N269" s="1273"/>
      <c r="O269" s="1273"/>
      <c r="P269" s="1273"/>
      <c r="Q269" s="1273"/>
      <c r="R269" s="1273"/>
      <c r="S269" s="1273"/>
      <c r="T269" s="1273"/>
      <c r="U269" s="1273"/>
      <c r="V269" s="1273"/>
      <c r="W269" s="1274"/>
      <c r="X269" s="1274"/>
      <c r="Y269" s="1274"/>
      <c r="Z269" s="1274"/>
      <c r="AA269" s="1274"/>
      <c r="AB269" s="1274"/>
      <c r="AC269" s="1274"/>
      <c r="AD269" s="1274"/>
      <c r="AE269" s="1274"/>
      <c r="AF269" s="1274"/>
      <c r="AG269" s="1274"/>
      <c r="AH269" s="1274"/>
      <c r="AI269" s="1274"/>
      <c r="AJ269" s="1274"/>
      <c r="AK269" s="1274"/>
      <c r="AL269" s="1274"/>
      <c r="AM269" s="1274"/>
      <c r="AN269" s="1274"/>
      <c r="AO269" s="1274"/>
      <c r="AP269" s="1274"/>
      <c r="AQ269" s="1274"/>
      <c r="AR269" s="1274"/>
      <c r="AS269" s="1274"/>
      <c r="AT269" s="1274"/>
      <c r="AU269" s="1274"/>
      <c r="AV269" s="1274"/>
      <c r="AW269" s="1274"/>
      <c r="AX269" s="1274"/>
      <c r="AY269" s="1274"/>
      <c r="AZ269" s="1274"/>
      <c r="BA269" s="1274"/>
      <c r="BB269" s="1274"/>
      <c r="BC269" s="1274"/>
      <c r="BD269" s="1274"/>
      <c r="BE269" s="1274"/>
      <c r="BF269" s="1274"/>
      <c r="BG269" s="1274"/>
      <c r="BH269" s="1274"/>
      <c r="BI269" s="1274"/>
      <c r="BJ269" s="1274"/>
      <c r="BK269" s="1274"/>
      <c r="BL269" s="1274"/>
      <c r="BM269" s="1274"/>
      <c r="BN269" s="1274"/>
      <c r="BO269" s="1274"/>
      <c r="BP269" s="1274"/>
      <c r="BQ269" s="1274"/>
      <c r="BR269" s="1274"/>
      <c r="BS269" s="1274"/>
      <c r="BT269" s="1274"/>
      <c r="BU269" s="1274"/>
      <c r="BV269" s="1274"/>
      <c r="BW269" s="1274"/>
      <c r="BX269" s="1274"/>
      <c r="BY269" s="1274"/>
      <c r="BZ269" s="1274"/>
      <c r="CA269" s="1274"/>
      <c r="CB269" s="1274"/>
      <c r="CC269" s="1274"/>
      <c r="CD269" s="1274"/>
      <c r="CE269" s="1274"/>
      <c r="CF269" s="1274"/>
      <c r="CG269" s="1274"/>
      <c r="CH269" s="1269"/>
      <c r="CI269" s="1274"/>
      <c r="CJ269" s="1274"/>
      <c r="CK269" s="1274"/>
      <c r="CL269" s="1274"/>
      <c r="CM269" s="1274"/>
      <c r="CN269" s="1274"/>
      <c r="CO269" s="1274"/>
      <c r="CP269" s="1274"/>
      <c r="CQ269" s="1274"/>
      <c r="CR269" s="1274"/>
      <c r="CS269" s="1274"/>
      <c r="CT269" s="1274"/>
      <c r="CU269" s="1274"/>
      <c r="CV269" s="1274"/>
      <c r="CW269" s="1274"/>
      <c r="CX269" s="1274"/>
      <c r="CY269" s="1274"/>
      <c r="CZ269" s="1274"/>
      <c r="DA269" s="1274"/>
      <c r="DB269" s="1274"/>
      <c r="DC269" s="1274"/>
      <c r="DD269" s="1274"/>
      <c r="DE269" s="1274"/>
      <c r="DF269" s="1274"/>
      <c r="DG269" s="1274"/>
      <c r="DH269" s="1274"/>
      <c r="DI269" s="1274"/>
      <c r="DJ269" s="1274"/>
      <c r="DK269" s="1274"/>
      <c r="DL269" s="1274"/>
      <c r="DM269" s="1274"/>
      <c r="DN269" s="1274"/>
      <c r="DO269" s="1274"/>
      <c r="DP269" s="1274"/>
      <c r="DQ269" s="1274"/>
      <c r="DR269" s="1274"/>
      <c r="DS269" s="1274"/>
      <c r="DT269" s="1274"/>
      <c r="DU269" s="1274"/>
      <c r="DV269" s="1274"/>
      <c r="DW269" s="1274"/>
      <c r="DX269" s="1274"/>
      <c r="DY269" s="1274"/>
      <c r="DZ269" s="1274"/>
      <c r="EA269" s="1274"/>
      <c r="EB269" s="1273"/>
      <c r="EC269" s="1273"/>
      <c r="ED269" s="1273"/>
      <c r="EE269" s="1273"/>
      <c r="EF269" s="1273"/>
      <c r="EG269" s="1273"/>
      <c r="EH269" s="1273"/>
      <c r="EI269" s="1273"/>
      <c r="EJ269" s="1273"/>
      <c r="EK269" s="1273"/>
      <c r="EL269" s="1273"/>
      <c r="EM269" s="1313"/>
    </row>
    <row r="270" spans="1:143" s="1271" customFormat="1">
      <c r="B270" s="1272"/>
      <c r="C270" s="1272"/>
      <c r="D270" s="1273"/>
      <c r="E270" s="1273"/>
      <c r="F270" s="1273"/>
      <c r="G270" s="1273"/>
      <c r="H270" s="1273"/>
      <c r="I270" s="1273"/>
      <c r="J270" s="1273"/>
      <c r="K270" s="1273"/>
      <c r="L270" s="1273"/>
      <c r="M270" s="1273"/>
      <c r="N270" s="1273"/>
      <c r="O270" s="1273"/>
      <c r="P270" s="1273"/>
      <c r="Q270" s="1273"/>
      <c r="R270" s="1273"/>
      <c r="S270" s="1273"/>
      <c r="T270" s="1273"/>
      <c r="U270" s="1273"/>
      <c r="V270" s="1273"/>
      <c r="W270" s="1274"/>
      <c r="X270" s="1274"/>
      <c r="Y270" s="1274"/>
      <c r="Z270" s="1274"/>
      <c r="AA270" s="1274"/>
      <c r="AB270" s="1274"/>
      <c r="AC270" s="1274"/>
      <c r="AD270" s="1274"/>
      <c r="AE270" s="1274"/>
      <c r="AF270" s="1274"/>
      <c r="AG270" s="1274"/>
      <c r="AH270" s="1274"/>
      <c r="AI270" s="1274"/>
      <c r="AJ270" s="1274"/>
      <c r="AK270" s="1274"/>
      <c r="AL270" s="1274"/>
      <c r="AM270" s="1274"/>
      <c r="AN270" s="1274"/>
      <c r="AO270" s="1274"/>
      <c r="AP270" s="1274"/>
      <c r="AQ270" s="1274"/>
      <c r="AR270" s="1274"/>
      <c r="AS270" s="1274"/>
      <c r="AT270" s="1274"/>
      <c r="AU270" s="1274"/>
      <c r="AV270" s="1274"/>
      <c r="AW270" s="1274"/>
      <c r="AX270" s="1274"/>
      <c r="AY270" s="1274"/>
      <c r="AZ270" s="1274"/>
      <c r="BA270" s="1274"/>
      <c r="BB270" s="1274"/>
      <c r="BC270" s="1274"/>
      <c r="BD270" s="1274"/>
      <c r="BE270" s="1274"/>
      <c r="BF270" s="1274"/>
      <c r="BG270" s="1274"/>
      <c r="BH270" s="1274"/>
      <c r="BI270" s="1274"/>
      <c r="BJ270" s="1274"/>
      <c r="BK270" s="1274"/>
      <c r="BL270" s="1274"/>
      <c r="BM270" s="1274"/>
      <c r="BN270" s="1274"/>
      <c r="BO270" s="1274"/>
      <c r="BP270" s="1274"/>
      <c r="BQ270" s="1274"/>
      <c r="BR270" s="1274"/>
      <c r="BS270" s="1274"/>
      <c r="BT270" s="1274"/>
      <c r="BU270" s="1274"/>
      <c r="BV270" s="1274"/>
      <c r="BW270" s="1274"/>
      <c r="BX270" s="1274"/>
      <c r="BY270" s="1274"/>
      <c r="BZ270" s="1274"/>
      <c r="CA270" s="1274"/>
      <c r="CB270" s="1274"/>
      <c r="CC270" s="1274"/>
      <c r="CD270" s="1274"/>
      <c r="CE270" s="1274"/>
      <c r="CF270" s="1274"/>
      <c r="CG270" s="1274"/>
      <c r="CH270" s="1269"/>
      <c r="CI270" s="1274"/>
      <c r="CJ270" s="1274"/>
      <c r="CK270" s="1274"/>
      <c r="CL270" s="1274"/>
      <c r="CM270" s="1274"/>
      <c r="CN270" s="1274"/>
      <c r="CO270" s="1274"/>
      <c r="CP270" s="1274"/>
      <c r="CQ270" s="1274"/>
      <c r="CR270" s="1274"/>
      <c r="CS270" s="1274"/>
      <c r="CT270" s="1274"/>
      <c r="CU270" s="1274"/>
      <c r="CV270" s="1274"/>
      <c r="CW270" s="1274"/>
      <c r="CX270" s="1274"/>
      <c r="CY270" s="1274"/>
      <c r="CZ270" s="1274"/>
      <c r="DA270" s="1274"/>
      <c r="DB270" s="1274"/>
      <c r="DC270" s="1274"/>
      <c r="DD270" s="1274"/>
      <c r="DE270" s="1274"/>
      <c r="DF270" s="1274"/>
      <c r="DG270" s="1274"/>
      <c r="DH270" s="1274"/>
      <c r="DI270" s="1274"/>
      <c r="DJ270" s="1274"/>
      <c r="DK270" s="1274"/>
      <c r="DL270" s="1274"/>
      <c r="DM270" s="1274"/>
      <c r="DN270" s="1274"/>
      <c r="DO270" s="1274"/>
      <c r="DP270" s="1274"/>
      <c r="DQ270" s="1274"/>
      <c r="DR270" s="1274"/>
      <c r="DS270" s="1274"/>
      <c r="DT270" s="1274"/>
      <c r="DU270" s="1274"/>
      <c r="DV270" s="1274"/>
      <c r="DW270" s="1274"/>
      <c r="DX270" s="1274"/>
      <c r="DY270" s="1274"/>
      <c r="DZ270" s="1274"/>
      <c r="EA270" s="1274"/>
      <c r="EB270" s="1273"/>
      <c r="EC270" s="1273"/>
      <c r="ED270" s="1273"/>
      <c r="EE270" s="1273"/>
      <c r="EF270" s="1273"/>
      <c r="EG270" s="1273"/>
      <c r="EH270" s="1273"/>
      <c r="EI270" s="1273"/>
      <c r="EJ270" s="1273"/>
      <c r="EK270" s="1273"/>
      <c r="EL270" s="1273"/>
      <c r="EM270" s="1313"/>
    </row>
    <row r="271" spans="1:143" s="1271" customFormat="1">
      <c r="B271" s="1272"/>
      <c r="C271" s="1272"/>
      <c r="D271" s="1273"/>
      <c r="E271" s="1273"/>
      <c r="F271" s="1273"/>
      <c r="G271" s="1273"/>
      <c r="H271" s="1273"/>
      <c r="I271" s="1273"/>
      <c r="J271" s="1273"/>
      <c r="K271" s="1273"/>
      <c r="L271" s="1273"/>
      <c r="M271" s="1273"/>
      <c r="N271" s="1273"/>
      <c r="O271" s="1273"/>
      <c r="P271" s="1273"/>
      <c r="Q271" s="1273"/>
      <c r="R271" s="1273"/>
      <c r="S271" s="1273"/>
      <c r="T271" s="1273"/>
      <c r="U271" s="1273"/>
      <c r="V271" s="1273"/>
      <c r="W271" s="1274"/>
      <c r="X271" s="1274"/>
      <c r="Y271" s="1274"/>
      <c r="Z271" s="1274"/>
      <c r="AA271" s="1274"/>
      <c r="AB271" s="1274"/>
      <c r="AC271" s="1274"/>
      <c r="AD271" s="1274"/>
      <c r="AE271" s="1274"/>
      <c r="AF271" s="1274"/>
      <c r="AG271" s="1274"/>
      <c r="AH271" s="1274"/>
      <c r="AI271" s="1274"/>
      <c r="AJ271" s="1274"/>
      <c r="AK271" s="1274"/>
      <c r="AL271" s="1274"/>
      <c r="AM271" s="1274"/>
      <c r="AN271" s="1274"/>
      <c r="AO271" s="1274"/>
      <c r="AP271" s="1274"/>
      <c r="AQ271" s="1274"/>
      <c r="AR271" s="1274"/>
      <c r="AS271" s="1274"/>
      <c r="AT271" s="1274"/>
      <c r="AU271" s="1274"/>
      <c r="AV271" s="1274"/>
      <c r="AW271" s="1274"/>
      <c r="AX271" s="1274"/>
      <c r="AY271" s="1274"/>
      <c r="AZ271" s="1274"/>
      <c r="BA271" s="1274"/>
      <c r="BB271" s="1274"/>
      <c r="BC271" s="1274"/>
      <c r="BD271" s="1274"/>
      <c r="BE271" s="1274"/>
      <c r="BF271" s="1274"/>
      <c r="BG271" s="1274"/>
      <c r="BH271" s="1274"/>
      <c r="BI271" s="1274"/>
      <c r="BJ271" s="1274"/>
      <c r="BK271" s="1274"/>
      <c r="BL271" s="1274"/>
      <c r="BM271" s="1274"/>
      <c r="BN271" s="1274"/>
      <c r="BO271" s="1274"/>
      <c r="BP271" s="1274"/>
      <c r="BQ271" s="1274"/>
      <c r="BR271" s="1274"/>
      <c r="BS271" s="1274"/>
      <c r="BT271" s="1274"/>
      <c r="BU271" s="1274"/>
      <c r="BV271" s="1274"/>
      <c r="BW271" s="1274"/>
      <c r="BX271" s="1274"/>
      <c r="BY271" s="1274"/>
      <c r="BZ271" s="1274"/>
      <c r="CA271" s="1274"/>
      <c r="CB271" s="1274"/>
      <c r="CC271" s="1274"/>
      <c r="CD271" s="1274"/>
      <c r="CE271" s="1274"/>
      <c r="CF271" s="1274"/>
      <c r="CG271" s="1274"/>
      <c r="CH271" s="1269"/>
      <c r="CI271" s="1274"/>
      <c r="CJ271" s="1274"/>
      <c r="CK271" s="1274"/>
      <c r="CL271" s="1274"/>
      <c r="CM271" s="1274"/>
      <c r="CN271" s="1274"/>
      <c r="CO271" s="1274"/>
      <c r="CP271" s="1274"/>
      <c r="CQ271" s="1274"/>
      <c r="CR271" s="1274"/>
      <c r="CS271" s="1274"/>
      <c r="CT271" s="1274"/>
      <c r="CU271" s="1274"/>
      <c r="CV271" s="1274"/>
      <c r="CW271" s="1274"/>
      <c r="CX271" s="1274"/>
      <c r="CY271" s="1274"/>
      <c r="CZ271" s="1274"/>
      <c r="DA271" s="1274"/>
      <c r="DB271" s="1274"/>
      <c r="DC271" s="1274"/>
      <c r="DD271" s="1274"/>
      <c r="DE271" s="1274"/>
      <c r="DF271" s="1274"/>
      <c r="DG271" s="1274"/>
      <c r="DH271" s="1274"/>
      <c r="DI271" s="1274"/>
      <c r="DJ271" s="1274"/>
      <c r="DK271" s="1274"/>
      <c r="DL271" s="1274"/>
      <c r="DM271" s="1274"/>
      <c r="DN271" s="1274"/>
      <c r="DO271" s="1274"/>
      <c r="DP271" s="1274"/>
      <c r="DQ271" s="1274"/>
      <c r="DR271" s="1274"/>
      <c r="DS271" s="1274"/>
      <c r="DT271" s="1274"/>
      <c r="DU271" s="1274"/>
      <c r="DV271" s="1274"/>
      <c r="DW271" s="1274"/>
      <c r="DX271" s="1274"/>
      <c r="DY271" s="1274"/>
      <c r="DZ271" s="1274"/>
      <c r="EA271" s="1274"/>
      <c r="EB271" s="1273"/>
      <c r="EC271" s="1273"/>
      <c r="ED271" s="1273"/>
      <c r="EE271" s="1273"/>
      <c r="EF271" s="1273"/>
      <c r="EG271" s="1273"/>
      <c r="EH271" s="1273"/>
      <c r="EI271" s="1273"/>
      <c r="EJ271" s="1273"/>
      <c r="EK271" s="1273"/>
      <c r="EL271" s="1273"/>
      <c r="EM271" s="1313"/>
    </row>
    <row r="272" spans="1:143" s="1271" customFormat="1">
      <c r="B272" s="1272"/>
      <c r="C272" s="1272"/>
      <c r="D272" s="1273"/>
      <c r="E272" s="1273"/>
      <c r="F272" s="1273"/>
      <c r="G272" s="1273"/>
      <c r="H272" s="1273"/>
      <c r="I272" s="1273"/>
      <c r="J272" s="1273"/>
      <c r="K272" s="1273"/>
      <c r="L272" s="1273"/>
      <c r="M272" s="1273"/>
      <c r="N272" s="1273"/>
      <c r="O272" s="1273"/>
      <c r="P272" s="1273"/>
      <c r="Q272" s="1273"/>
      <c r="R272" s="1273"/>
      <c r="S272" s="1273"/>
      <c r="T272" s="1273"/>
      <c r="U272" s="1273"/>
      <c r="V272" s="1273"/>
      <c r="W272" s="1274"/>
      <c r="X272" s="1274"/>
      <c r="Y272" s="1274"/>
      <c r="Z272" s="1274"/>
      <c r="AA272" s="1274"/>
      <c r="AB272" s="1274"/>
      <c r="AC272" s="1274"/>
      <c r="AD272" s="1274"/>
      <c r="AE272" s="1274"/>
      <c r="AF272" s="1274"/>
      <c r="AG272" s="1274"/>
      <c r="AH272" s="1274"/>
      <c r="AI272" s="1274"/>
      <c r="AJ272" s="1274"/>
      <c r="AK272" s="1274"/>
      <c r="AL272" s="1274"/>
      <c r="AM272" s="1274"/>
      <c r="AN272" s="1274"/>
      <c r="AO272" s="1274"/>
      <c r="AP272" s="1274"/>
      <c r="AQ272" s="1274"/>
      <c r="AR272" s="1274"/>
      <c r="AS272" s="1274"/>
      <c r="AT272" s="1274"/>
      <c r="AU272" s="1274"/>
      <c r="AV272" s="1274"/>
      <c r="AW272" s="1274"/>
      <c r="AX272" s="1274"/>
      <c r="AY272" s="1274"/>
      <c r="AZ272" s="1274"/>
      <c r="BA272" s="1274"/>
      <c r="BB272" s="1274"/>
      <c r="BC272" s="1274"/>
      <c r="BD272" s="1274"/>
      <c r="BE272" s="1274"/>
      <c r="BF272" s="1274"/>
      <c r="BG272" s="1274"/>
      <c r="BH272" s="1274"/>
      <c r="BI272" s="1274"/>
      <c r="BJ272" s="1274"/>
      <c r="BK272" s="1274"/>
      <c r="BL272" s="1274"/>
      <c r="BM272" s="1274"/>
      <c r="BN272" s="1274"/>
      <c r="BO272" s="1274"/>
      <c r="BP272" s="1274"/>
      <c r="BQ272" s="1274"/>
      <c r="BR272" s="1274"/>
      <c r="BS272" s="1274"/>
      <c r="BT272" s="1274"/>
      <c r="BU272" s="1274"/>
      <c r="BV272" s="1274"/>
      <c r="BW272" s="1274"/>
      <c r="BX272" s="1274"/>
      <c r="BY272" s="1274"/>
      <c r="BZ272" s="1274"/>
      <c r="CA272" s="1274"/>
      <c r="CB272" s="1274"/>
      <c r="CC272" s="1274"/>
      <c r="CD272" s="1274"/>
      <c r="CE272" s="1274"/>
      <c r="CF272" s="1274"/>
      <c r="CG272" s="1274"/>
      <c r="CH272" s="1269"/>
      <c r="CI272" s="1274"/>
      <c r="CJ272" s="1274"/>
      <c r="CK272" s="1274"/>
      <c r="CL272" s="1274"/>
      <c r="CM272" s="1274"/>
      <c r="CN272" s="1274"/>
      <c r="CO272" s="1274"/>
      <c r="CP272" s="1274"/>
      <c r="CQ272" s="1274"/>
      <c r="CR272" s="1274"/>
      <c r="CS272" s="1274"/>
      <c r="CT272" s="1274"/>
      <c r="CU272" s="1274"/>
      <c r="CV272" s="1274"/>
      <c r="CW272" s="1274"/>
      <c r="CX272" s="1274"/>
      <c r="CY272" s="1274"/>
      <c r="CZ272" s="1274"/>
      <c r="DA272" s="1274"/>
      <c r="DB272" s="1274"/>
      <c r="DC272" s="1274"/>
      <c r="DD272" s="1274"/>
      <c r="DE272" s="1274"/>
      <c r="DF272" s="1274"/>
      <c r="DG272" s="1274"/>
      <c r="DH272" s="1274"/>
      <c r="DI272" s="1274"/>
      <c r="DJ272" s="1274"/>
      <c r="DK272" s="1274"/>
      <c r="DL272" s="1274"/>
      <c r="DM272" s="1274"/>
      <c r="DN272" s="1274"/>
      <c r="DO272" s="1274"/>
      <c r="DP272" s="1274"/>
      <c r="DQ272" s="1274"/>
      <c r="DR272" s="1274"/>
      <c r="DS272" s="1274"/>
      <c r="DT272" s="1274"/>
      <c r="DU272" s="1274"/>
      <c r="DV272" s="1274"/>
      <c r="DW272" s="1274"/>
      <c r="DX272" s="1274"/>
      <c r="DY272" s="1274"/>
      <c r="DZ272" s="1274"/>
      <c r="EA272" s="1274"/>
      <c r="EB272" s="1273"/>
      <c r="EC272" s="1273"/>
      <c r="ED272" s="1273"/>
      <c r="EE272" s="1273"/>
      <c r="EF272" s="1273"/>
      <c r="EG272" s="1273"/>
      <c r="EH272" s="1273"/>
      <c r="EI272" s="1273"/>
      <c r="EJ272" s="1273"/>
      <c r="EK272" s="1273"/>
      <c r="EL272" s="1273"/>
      <c r="EM272" s="1313"/>
    </row>
    <row r="273" spans="1:143" s="1271" customFormat="1">
      <c r="B273" s="1272"/>
      <c r="C273" s="1272"/>
      <c r="D273" s="1273"/>
      <c r="E273" s="1273"/>
      <c r="F273" s="1273"/>
      <c r="G273" s="1273"/>
      <c r="H273" s="1273"/>
      <c r="I273" s="1273"/>
      <c r="J273" s="1273"/>
      <c r="K273" s="1273"/>
      <c r="L273" s="1273"/>
      <c r="M273" s="1273"/>
      <c r="N273" s="1273"/>
      <c r="O273" s="1273"/>
      <c r="P273" s="1273"/>
      <c r="Q273" s="1273"/>
      <c r="R273" s="1273"/>
      <c r="S273" s="1273"/>
      <c r="T273" s="1273"/>
      <c r="U273" s="1273"/>
      <c r="V273" s="1273"/>
      <c r="W273" s="1274"/>
      <c r="X273" s="1274"/>
      <c r="Y273" s="1274"/>
      <c r="Z273" s="1274"/>
      <c r="AA273" s="1274"/>
      <c r="AB273" s="1274"/>
      <c r="AC273" s="1274"/>
      <c r="AD273" s="1274"/>
      <c r="AE273" s="1274"/>
      <c r="AF273" s="1274"/>
      <c r="AG273" s="1274"/>
      <c r="AH273" s="1274"/>
      <c r="AI273" s="1274"/>
      <c r="AJ273" s="1274"/>
      <c r="AK273" s="1274"/>
      <c r="AL273" s="1274"/>
      <c r="AM273" s="1274"/>
      <c r="AN273" s="1274"/>
      <c r="AO273" s="1274"/>
      <c r="AP273" s="1274"/>
      <c r="AQ273" s="1274"/>
      <c r="AR273" s="1274"/>
      <c r="AS273" s="1274"/>
      <c r="AT273" s="1274"/>
      <c r="AU273" s="1274"/>
      <c r="AV273" s="1274"/>
      <c r="AW273" s="1274"/>
      <c r="AX273" s="1274"/>
      <c r="AY273" s="1274"/>
      <c r="AZ273" s="1274"/>
      <c r="BA273" s="1274"/>
      <c r="BB273" s="1274"/>
      <c r="BC273" s="1274"/>
      <c r="BD273" s="1274"/>
      <c r="BE273" s="1274"/>
      <c r="BF273" s="1274"/>
      <c r="BG273" s="1274"/>
      <c r="BH273" s="1274"/>
      <c r="BI273" s="1274"/>
      <c r="BJ273" s="1274"/>
      <c r="BK273" s="1274"/>
      <c r="BL273" s="1274"/>
      <c r="BM273" s="1274"/>
      <c r="BN273" s="1274"/>
      <c r="BO273" s="1274"/>
      <c r="BP273" s="1274"/>
      <c r="BQ273" s="1274"/>
      <c r="BR273" s="1274"/>
      <c r="BS273" s="1274"/>
      <c r="BT273" s="1274"/>
      <c r="BU273" s="1274"/>
      <c r="BV273" s="1274"/>
      <c r="BW273" s="1274"/>
      <c r="BX273" s="1274"/>
      <c r="BY273" s="1274"/>
      <c r="BZ273" s="1274"/>
      <c r="CA273" s="1274"/>
      <c r="CB273" s="1274"/>
      <c r="CC273" s="1274"/>
      <c r="CD273" s="1274"/>
      <c r="CE273" s="1274"/>
      <c r="CF273" s="1274"/>
      <c r="CG273" s="1274"/>
      <c r="CH273" s="1269"/>
      <c r="CI273" s="1274"/>
      <c r="CJ273" s="1274"/>
      <c r="CK273" s="1274"/>
      <c r="CL273" s="1274"/>
      <c r="CM273" s="1274"/>
      <c r="CN273" s="1274"/>
      <c r="CO273" s="1274"/>
      <c r="CP273" s="1274"/>
      <c r="CQ273" s="1274"/>
      <c r="CR273" s="1274"/>
      <c r="CS273" s="1274"/>
      <c r="CT273" s="1274"/>
      <c r="CU273" s="1274"/>
      <c r="CV273" s="1274"/>
      <c r="CW273" s="1274"/>
      <c r="CX273" s="1274"/>
      <c r="CY273" s="1274"/>
      <c r="CZ273" s="1274"/>
      <c r="DA273" s="1274"/>
      <c r="DB273" s="1274"/>
      <c r="DC273" s="1274"/>
      <c r="DD273" s="1274"/>
      <c r="DE273" s="1274"/>
      <c r="DF273" s="1274"/>
      <c r="DG273" s="1274"/>
      <c r="DH273" s="1274"/>
      <c r="DI273" s="1274"/>
      <c r="DJ273" s="1274"/>
      <c r="DK273" s="1274"/>
      <c r="DL273" s="1274"/>
      <c r="DM273" s="1274"/>
      <c r="DN273" s="1274"/>
      <c r="DO273" s="1274"/>
      <c r="DP273" s="1274"/>
      <c r="DQ273" s="1274"/>
      <c r="DR273" s="1274"/>
      <c r="DS273" s="1274"/>
      <c r="DT273" s="1274"/>
      <c r="DU273" s="1274"/>
      <c r="DV273" s="1274"/>
      <c r="DW273" s="1274"/>
      <c r="DX273" s="1274"/>
      <c r="DY273" s="1274"/>
      <c r="DZ273" s="1274"/>
      <c r="EA273" s="1274"/>
      <c r="EB273" s="1273"/>
      <c r="EC273" s="1273"/>
      <c r="ED273" s="1273"/>
      <c r="EE273" s="1273"/>
      <c r="EF273" s="1273"/>
      <c r="EG273" s="1273"/>
      <c r="EH273" s="1273"/>
      <c r="EI273" s="1273"/>
      <c r="EJ273" s="1273"/>
      <c r="EK273" s="1273"/>
      <c r="EL273" s="1273"/>
      <c r="EM273" s="1313"/>
    </row>
    <row r="274" spans="1:143" s="1271" customFormat="1">
      <c r="B274" s="1272"/>
      <c r="C274" s="1272"/>
      <c r="D274" s="1273"/>
      <c r="E274" s="1273"/>
      <c r="F274" s="1273"/>
      <c r="G274" s="1273"/>
      <c r="H274" s="1273"/>
      <c r="I274" s="1273"/>
      <c r="J274" s="1273"/>
      <c r="K274" s="1273"/>
      <c r="L274" s="1273"/>
      <c r="M274" s="1273"/>
      <c r="N274" s="1273"/>
      <c r="O274" s="1273"/>
      <c r="P274" s="1273"/>
      <c r="Q274" s="1273"/>
      <c r="R274" s="1273"/>
      <c r="S274" s="1273"/>
      <c r="T274" s="1273"/>
      <c r="U274" s="1273"/>
      <c r="V274" s="1273"/>
      <c r="W274" s="1274"/>
      <c r="X274" s="1274"/>
      <c r="Y274" s="1274"/>
      <c r="Z274" s="1274"/>
      <c r="AA274" s="1274"/>
      <c r="AB274" s="1274"/>
      <c r="AC274" s="1274"/>
      <c r="AD274" s="1274"/>
      <c r="AE274" s="1274"/>
      <c r="AF274" s="1274"/>
      <c r="AG274" s="1274"/>
      <c r="AH274" s="1274"/>
      <c r="AI274" s="1274"/>
      <c r="AJ274" s="1274"/>
      <c r="AK274" s="1274"/>
      <c r="AL274" s="1274"/>
      <c r="AM274" s="1274"/>
      <c r="AN274" s="1274"/>
      <c r="AO274" s="1274"/>
      <c r="AP274" s="1274"/>
      <c r="AQ274" s="1274"/>
      <c r="AR274" s="1274"/>
      <c r="AS274" s="1274"/>
      <c r="AT274" s="1274"/>
      <c r="AU274" s="1274"/>
      <c r="AV274" s="1274"/>
      <c r="AW274" s="1274"/>
      <c r="AX274" s="1274"/>
      <c r="AY274" s="1274"/>
      <c r="AZ274" s="1274"/>
      <c r="BA274" s="1274"/>
      <c r="BB274" s="1274"/>
      <c r="BC274" s="1274"/>
      <c r="BD274" s="1274"/>
      <c r="BE274" s="1274"/>
      <c r="BF274" s="1274"/>
      <c r="BG274" s="1274"/>
      <c r="BH274" s="1274"/>
      <c r="BI274" s="1274"/>
      <c r="BJ274" s="1274"/>
      <c r="BK274" s="1274"/>
      <c r="BL274" s="1274"/>
      <c r="BM274" s="1274"/>
      <c r="BN274" s="1274"/>
      <c r="BO274" s="1274"/>
      <c r="BP274" s="1274"/>
      <c r="BQ274" s="1274"/>
      <c r="BR274" s="1274"/>
      <c r="BS274" s="1274"/>
      <c r="BT274" s="1274"/>
      <c r="BU274" s="1274"/>
      <c r="BV274" s="1274"/>
      <c r="BW274" s="1274"/>
      <c r="BX274" s="1274"/>
      <c r="BY274" s="1274"/>
      <c r="BZ274" s="1274"/>
      <c r="CA274" s="1274"/>
      <c r="CB274" s="1274"/>
      <c r="CC274" s="1274"/>
      <c r="CD274" s="1274"/>
      <c r="CE274" s="1274"/>
      <c r="CF274" s="1274"/>
      <c r="CG274" s="1274"/>
      <c r="CH274" s="1269"/>
      <c r="CI274" s="1274"/>
      <c r="CJ274" s="1274"/>
      <c r="CK274" s="1274"/>
      <c r="CL274" s="1274"/>
      <c r="CM274" s="1274"/>
      <c r="CN274" s="1274"/>
      <c r="CO274" s="1274"/>
      <c r="CP274" s="1274"/>
      <c r="CQ274" s="1274"/>
      <c r="CR274" s="1274"/>
      <c r="CS274" s="1274"/>
      <c r="CT274" s="1274"/>
      <c r="CU274" s="1274"/>
      <c r="CV274" s="1274"/>
      <c r="CW274" s="1274"/>
      <c r="CX274" s="1274"/>
      <c r="CY274" s="1274"/>
      <c r="CZ274" s="1274"/>
      <c r="DA274" s="1274"/>
      <c r="DB274" s="1274"/>
      <c r="DC274" s="1274"/>
      <c r="DD274" s="1274"/>
      <c r="DE274" s="1274"/>
      <c r="DF274" s="1274"/>
      <c r="DG274" s="1274"/>
      <c r="DH274" s="1274"/>
      <c r="DI274" s="1274"/>
      <c r="DJ274" s="1274"/>
      <c r="DK274" s="1274"/>
      <c r="DL274" s="1274"/>
      <c r="DM274" s="1274"/>
      <c r="DN274" s="1274"/>
      <c r="DO274" s="1274"/>
      <c r="DP274" s="1274"/>
      <c r="DQ274" s="1274"/>
      <c r="DR274" s="1274"/>
      <c r="DS274" s="1274"/>
      <c r="DT274" s="1274"/>
      <c r="DU274" s="1274"/>
      <c r="DV274" s="1274"/>
      <c r="DW274" s="1274"/>
      <c r="DX274" s="1274"/>
      <c r="DY274" s="1274"/>
      <c r="DZ274" s="1274"/>
      <c r="EA274" s="1274"/>
      <c r="EB274" s="1273"/>
      <c r="EC274" s="1273"/>
      <c r="ED274" s="1273"/>
      <c r="EE274" s="1273"/>
      <c r="EF274" s="1273"/>
      <c r="EG274" s="1273"/>
      <c r="EH274" s="1273"/>
      <c r="EI274" s="1273"/>
      <c r="EJ274" s="1273"/>
      <c r="EK274" s="1273"/>
      <c r="EL274" s="1273"/>
      <c r="EM274" s="1313"/>
    </row>
    <row r="275" spans="1:143" s="1271" customFormat="1">
      <c r="A275" s="1284"/>
      <c r="B275" s="1272"/>
      <c r="C275" s="1272"/>
      <c r="D275" s="1273"/>
      <c r="E275" s="1273"/>
      <c r="F275" s="1273"/>
      <c r="G275" s="1273"/>
      <c r="H275" s="1273"/>
      <c r="I275" s="1273"/>
      <c r="J275" s="1273"/>
      <c r="K275" s="1273"/>
      <c r="L275" s="1273"/>
      <c r="M275" s="1273"/>
      <c r="N275" s="1273"/>
      <c r="O275" s="1273"/>
      <c r="P275" s="1273"/>
      <c r="Q275" s="1273"/>
      <c r="R275" s="1273"/>
      <c r="S275" s="1273"/>
      <c r="T275" s="1273"/>
      <c r="U275" s="1273"/>
      <c r="V275" s="1273"/>
      <c r="W275" s="1274"/>
      <c r="X275" s="1274"/>
      <c r="Y275" s="1274"/>
      <c r="Z275" s="1274"/>
      <c r="AA275" s="1274"/>
      <c r="AB275" s="1274"/>
      <c r="AC275" s="1274"/>
      <c r="AD275" s="1274"/>
      <c r="AE275" s="1274"/>
      <c r="AF275" s="1274"/>
      <c r="AG275" s="1274"/>
      <c r="AH275" s="1274"/>
      <c r="AI275" s="1274"/>
      <c r="AJ275" s="1274"/>
      <c r="AK275" s="1274"/>
      <c r="AL275" s="1274"/>
      <c r="AM275" s="1274"/>
      <c r="AN275" s="1274"/>
      <c r="AO275" s="1274"/>
      <c r="AP275" s="1274"/>
      <c r="AQ275" s="1274"/>
      <c r="AR275" s="1274"/>
      <c r="AS275" s="1274"/>
      <c r="AT275" s="1274"/>
      <c r="AU275" s="1274"/>
      <c r="AV275" s="1274"/>
      <c r="AW275" s="1274"/>
      <c r="AX275" s="1274"/>
      <c r="AY275" s="1274"/>
      <c r="AZ275" s="1274"/>
      <c r="BA275" s="1274"/>
      <c r="BB275" s="1274"/>
      <c r="BC275" s="1274"/>
      <c r="BD275" s="1274"/>
      <c r="BE275" s="1274"/>
      <c r="BF275" s="1274"/>
      <c r="BG275" s="1274"/>
      <c r="BH275" s="1274"/>
      <c r="BI275" s="1274"/>
      <c r="BJ275" s="1274"/>
      <c r="BK275" s="1274"/>
      <c r="BL275" s="1274"/>
      <c r="BM275" s="1274"/>
      <c r="BN275" s="1274"/>
      <c r="BO275" s="1274"/>
      <c r="BP275" s="1274"/>
      <c r="BQ275" s="1274"/>
      <c r="BR275" s="1274"/>
      <c r="BS275" s="1274"/>
      <c r="BT275" s="1274"/>
      <c r="BU275" s="1274"/>
      <c r="BV275" s="1274"/>
      <c r="BW275" s="1274"/>
      <c r="BX275" s="1274"/>
      <c r="BY275" s="1274"/>
      <c r="BZ275" s="1274"/>
      <c r="CA275" s="1274"/>
      <c r="CB275" s="1274"/>
      <c r="CC275" s="1274"/>
      <c r="CD275" s="1274"/>
      <c r="CE275" s="1274"/>
      <c r="CF275" s="1274"/>
      <c r="CG275" s="1274"/>
      <c r="CH275" s="1269"/>
      <c r="CI275" s="1274"/>
      <c r="CJ275" s="1274"/>
      <c r="CK275" s="1274"/>
      <c r="CL275" s="1274"/>
      <c r="CM275" s="1274"/>
      <c r="CN275" s="1274"/>
      <c r="CO275" s="1274"/>
      <c r="CP275" s="1274"/>
      <c r="CQ275" s="1274"/>
      <c r="CR275" s="1274"/>
      <c r="CS275" s="1274"/>
      <c r="CT275" s="1274"/>
      <c r="CU275" s="1274"/>
      <c r="CV275" s="1274"/>
      <c r="CW275" s="1274"/>
      <c r="CX275" s="1274"/>
      <c r="CY275" s="1274"/>
      <c r="CZ275" s="1274"/>
      <c r="DA275" s="1274"/>
      <c r="DB275" s="1274"/>
      <c r="DC275" s="1274"/>
      <c r="DD275" s="1274"/>
      <c r="DE275" s="1274"/>
      <c r="DF275" s="1274"/>
      <c r="DG275" s="1274"/>
      <c r="DH275" s="1274"/>
      <c r="DI275" s="1274"/>
      <c r="DJ275" s="1274"/>
      <c r="DK275" s="1274"/>
      <c r="DL275" s="1274"/>
      <c r="DM275" s="1274"/>
      <c r="DN275" s="1274"/>
      <c r="DO275" s="1274"/>
      <c r="DP275" s="1274"/>
      <c r="DQ275" s="1274"/>
      <c r="DR275" s="1274"/>
      <c r="DS275" s="1274"/>
      <c r="DT275" s="1274"/>
      <c r="DU275" s="1274"/>
      <c r="DV275" s="1274"/>
      <c r="DW275" s="1274"/>
      <c r="DX275" s="1274"/>
      <c r="DY275" s="1274"/>
      <c r="DZ275" s="1274"/>
      <c r="EA275" s="1274"/>
      <c r="EB275" s="1273"/>
      <c r="EC275" s="1273"/>
      <c r="ED275" s="1273"/>
      <c r="EE275" s="1273"/>
      <c r="EF275" s="1273"/>
      <c r="EG275" s="1273"/>
      <c r="EH275" s="1273"/>
      <c r="EI275" s="1273"/>
      <c r="EJ275" s="1273"/>
      <c r="EK275" s="1273"/>
      <c r="EL275" s="1273"/>
      <c r="EM275" s="1313"/>
    </row>
    <row r="276" spans="1:143" s="1271" customFormat="1">
      <c r="B276" s="1276"/>
      <c r="C276" s="1276"/>
      <c r="D276" s="1276"/>
      <c r="E276" s="1276"/>
      <c r="F276" s="1276"/>
      <c r="G276" s="1276"/>
      <c r="H276" s="1276"/>
      <c r="I276" s="1276"/>
      <c r="J276" s="1276"/>
      <c r="K276" s="1276"/>
      <c r="L276" s="1276"/>
      <c r="M276" s="1276"/>
      <c r="N276" s="1276"/>
      <c r="O276" s="1276"/>
      <c r="P276" s="1276"/>
      <c r="Q276" s="1276"/>
      <c r="R276" s="1276"/>
      <c r="S276" s="1276"/>
      <c r="T276" s="1276"/>
      <c r="U276" s="1276"/>
      <c r="V276" s="1276"/>
      <c r="W276" s="1277"/>
      <c r="X276" s="1277"/>
      <c r="Y276" s="1277"/>
      <c r="Z276" s="1277"/>
      <c r="AA276" s="1277"/>
      <c r="AB276" s="1277"/>
      <c r="AC276" s="1277"/>
      <c r="AD276" s="1277"/>
      <c r="AE276" s="1277"/>
      <c r="AF276" s="1277"/>
      <c r="AG276" s="1277"/>
      <c r="AH276" s="1277"/>
      <c r="AI276" s="1277"/>
      <c r="AJ276" s="1277"/>
      <c r="AK276" s="1277"/>
      <c r="AL276" s="1277"/>
      <c r="AM276" s="1277"/>
      <c r="AN276" s="1277"/>
      <c r="AO276" s="1277"/>
      <c r="AP276" s="1277"/>
      <c r="AQ276" s="1277"/>
      <c r="AR276" s="1277"/>
      <c r="AS276" s="1277"/>
      <c r="AT276" s="1277"/>
      <c r="AU276" s="1277"/>
      <c r="AV276" s="1277"/>
      <c r="AW276" s="1277"/>
      <c r="AX276" s="1277"/>
      <c r="AY276" s="1277"/>
      <c r="AZ276" s="1277"/>
      <c r="BA276" s="1277"/>
      <c r="BB276" s="1277"/>
      <c r="BC276" s="1277"/>
      <c r="BD276" s="1277"/>
      <c r="BE276" s="1277"/>
      <c r="BF276" s="1277"/>
      <c r="BG276" s="1277"/>
      <c r="BH276" s="1277"/>
      <c r="BI276" s="1277"/>
      <c r="BJ276" s="1277"/>
      <c r="BK276" s="1277"/>
      <c r="BL276" s="1277"/>
      <c r="BM276" s="1277"/>
      <c r="BN276" s="1277"/>
      <c r="BO276" s="1277"/>
      <c r="BP276" s="1277"/>
      <c r="BQ276" s="1277"/>
      <c r="BR276" s="1277"/>
      <c r="BS276" s="1277"/>
      <c r="BT276" s="1277"/>
      <c r="BU276" s="1277"/>
      <c r="BV276" s="1277"/>
      <c r="BW276" s="1277"/>
      <c r="BX276" s="1277"/>
      <c r="BY276" s="1277"/>
      <c r="BZ276" s="1277"/>
      <c r="CA276" s="1277"/>
      <c r="CB276" s="1277"/>
      <c r="CC276" s="1277"/>
      <c r="CD276" s="1277"/>
      <c r="CE276" s="1277"/>
      <c r="CF276" s="1277"/>
      <c r="CG276" s="1277"/>
      <c r="CH276" s="1269"/>
      <c r="CI276" s="1277"/>
      <c r="CJ276" s="1277"/>
      <c r="CK276" s="1277"/>
      <c r="CL276" s="1277"/>
      <c r="CM276" s="1277"/>
      <c r="CN276" s="1277"/>
      <c r="CO276" s="1277"/>
      <c r="CP276" s="1277"/>
      <c r="CQ276" s="1277"/>
      <c r="CR276" s="1277"/>
      <c r="CS276" s="1277"/>
      <c r="CT276" s="1277"/>
      <c r="CU276" s="1277"/>
      <c r="CV276" s="1277"/>
      <c r="CW276" s="1277"/>
      <c r="CX276" s="1277"/>
      <c r="CY276" s="1277"/>
      <c r="CZ276" s="1277"/>
      <c r="DA276" s="1277"/>
      <c r="DB276" s="1277"/>
      <c r="DC276" s="1277"/>
      <c r="DD276" s="1277"/>
      <c r="DE276" s="1277"/>
      <c r="DF276" s="1277"/>
      <c r="DG276" s="1277"/>
      <c r="DH276" s="1277"/>
      <c r="DI276" s="1277"/>
      <c r="DJ276" s="1277"/>
      <c r="DK276" s="1277"/>
      <c r="DL276" s="1277"/>
      <c r="DM276" s="1277"/>
      <c r="DN276" s="1277"/>
      <c r="DO276" s="1277"/>
      <c r="DP276" s="1277"/>
      <c r="DQ276" s="1277"/>
      <c r="DR276" s="1277"/>
      <c r="DS276" s="1277"/>
      <c r="DT276" s="1277"/>
      <c r="DU276" s="1277"/>
      <c r="DV276" s="1277"/>
      <c r="DW276" s="1277"/>
      <c r="DX276" s="1277"/>
      <c r="DY276" s="1277"/>
      <c r="DZ276" s="1277"/>
      <c r="EA276" s="1277"/>
      <c r="EB276" s="1276"/>
      <c r="EC276" s="1276"/>
      <c r="ED276" s="1276"/>
      <c r="EE276" s="1276"/>
      <c r="EF276" s="1276"/>
      <c r="EG276" s="1276"/>
      <c r="EH276" s="1276"/>
      <c r="EI276" s="1276"/>
      <c r="EJ276" s="1276"/>
      <c r="EK276" s="1275"/>
      <c r="EL276" s="1275"/>
      <c r="EM276" s="1313"/>
    </row>
    <row r="277" spans="1:143" s="1271" customFormat="1">
      <c r="B277" s="1276"/>
      <c r="C277" s="1276"/>
      <c r="D277" s="1276"/>
      <c r="E277" s="1276"/>
      <c r="F277" s="1276"/>
      <c r="G277" s="1276"/>
      <c r="H277" s="1276"/>
      <c r="I277" s="1276"/>
      <c r="J277" s="1276"/>
      <c r="K277" s="1276"/>
      <c r="L277" s="1276"/>
      <c r="M277" s="1276"/>
      <c r="N277" s="1276"/>
      <c r="O277" s="1276"/>
      <c r="P277" s="1276"/>
      <c r="Q277" s="1276"/>
      <c r="R277" s="1276"/>
      <c r="S277" s="1276"/>
      <c r="T277" s="1276"/>
      <c r="U277" s="1276"/>
      <c r="V277" s="1276"/>
      <c r="W277" s="1277"/>
      <c r="X277" s="1277"/>
      <c r="Y277" s="1277"/>
      <c r="Z277" s="1277"/>
      <c r="AA277" s="1277"/>
      <c r="AB277" s="1277"/>
      <c r="AC277" s="1277"/>
      <c r="AD277" s="1277"/>
      <c r="AE277" s="1277"/>
      <c r="AF277" s="1277"/>
      <c r="AG277" s="1277"/>
      <c r="AH277" s="1277"/>
      <c r="AI277" s="1277"/>
      <c r="AJ277" s="1277"/>
      <c r="AK277" s="1277"/>
      <c r="AL277" s="1277"/>
      <c r="AM277" s="1277"/>
      <c r="AN277" s="1277"/>
      <c r="AO277" s="1277"/>
      <c r="AP277" s="1277"/>
      <c r="AQ277" s="1277"/>
      <c r="AR277" s="1277"/>
      <c r="AS277" s="1277"/>
      <c r="AT277" s="1277"/>
      <c r="AU277" s="1277"/>
      <c r="AV277" s="1277"/>
      <c r="AW277" s="1277"/>
      <c r="AX277" s="1277"/>
      <c r="AY277" s="1277"/>
      <c r="AZ277" s="1277"/>
      <c r="BA277" s="1277"/>
      <c r="BB277" s="1277"/>
      <c r="BC277" s="1277"/>
      <c r="BD277" s="1277"/>
      <c r="BE277" s="1277"/>
      <c r="BF277" s="1277"/>
      <c r="BG277" s="1277"/>
      <c r="BH277" s="1277"/>
      <c r="BI277" s="1277"/>
      <c r="BJ277" s="1277"/>
      <c r="BK277" s="1277"/>
      <c r="BL277" s="1277"/>
      <c r="BM277" s="1277"/>
      <c r="BN277" s="1277"/>
      <c r="BO277" s="1277"/>
      <c r="BP277" s="1277"/>
      <c r="BQ277" s="1277"/>
      <c r="BR277" s="1277"/>
      <c r="BS277" s="1277"/>
      <c r="BT277" s="1277"/>
      <c r="BU277" s="1277"/>
      <c r="BV277" s="1277"/>
      <c r="BW277" s="1277"/>
      <c r="BX277" s="1277"/>
      <c r="BY277" s="1277"/>
      <c r="BZ277" s="1277"/>
      <c r="CA277" s="1277"/>
      <c r="CB277" s="1277"/>
      <c r="CC277" s="1277"/>
      <c r="CD277" s="1277"/>
      <c r="CE277" s="1277"/>
      <c r="CF277" s="1277"/>
      <c r="CG277" s="1277"/>
      <c r="CH277" s="1269"/>
      <c r="CI277" s="1277"/>
      <c r="CJ277" s="1277"/>
      <c r="CK277" s="1277"/>
      <c r="CL277" s="1277"/>
      <c r="CM277" s="1277"/>
      <c r="CN277" s="1277"/>
      <c r="CO277" s="1277"/>
      <c r="CP277" s="1277"/>
      <c r="CQ277" s="1277"/>
      <c r="CR277" s="1277"/>
      <c r="CS277" s="1277"/>
      <c r="CT277" s="1277"/>
      <c r="CU277" s="1277"/>
      <c r="CV277" s="1277"/>
      <c r="CW277" s="1277"/>
      <c r="CX277" s="1277"/>
      <c r="CY277" s="1277"/>
      <c r="CZ277" s="1277"/>
      <c r="DA277" s="1277"/>
      <c r="DB277" s="1277"/>
      <c r="DC277" s="1277"/>
      <c r="DD277" s="1277"/>
      <c r="DE277" s="1277"/>
      <c r="DF277" s="1277"/>
      <c r="DG277" s="1277"/>
      <c r="DH277" s="1277"/>
      <c r="DI277" s="1277"/>
      <c r="DJ277" s="1277"/>
      <c r="DK277" s="1277"/>
      <c r="DL277" s="1277"/>
      <c r="DM277" s="1277"/>
      <c r="DN277" s="1277"/>
      <c r="DO277" s="1277"/>
      <c r="DP277" s="1277"/>
      <c r="DQ277" s="1277"/>
      <c r="DR277" s="1277"/>
      <c r="DS277" s="1277"/>
      <c r="DT277" s="1277"/>
      <c r="DU277" s="1277"/>
      <c r="DV277" s="1277"/>
      <c r="DW277" s="1277"/>
      <c r="DX277" s="1277"/>
      <c r="DY277" s="1277"/>
      <c r="DZ277" s="1277"/>
      <c r="EA277" s="1277"/>
      <c r="EB277" s="1276"/>
      <c r="EC277" s="1276"/>
      <c r="ED277" s="1276"/>
      <c r="EE277" s="1276"/>
      <c r="EF277" s="1276"/>
      <c r="EG277" s="1276"/>
      <c r="EH277" s="1276"/>
      <c r="EI277" s="1276"/>
      <c r="EJ277" s="1276"/>
      <c r="EK277" s="1275"/>
      <c r="EL277" s="1275"/>
      <c r="EM277" s="1313"/>
    </row>
    <row r="278" spans="1:143" s="1271" customFormat="1">
      <c r="B278" s="1276"/>
      <c r="C278" s="1276"/>
      <c r="D278" s="1276"/>
      <c r="E278" s="1276"/>
      <c r="F278" s="1276"/>
      <c r="G278" s="1276"/>
      <c r="H278" s="1276"/>
      <c r="I278" s="1276"/>
      <c r="J278" s="1276"/>
      <c r="K278" s="1276"/>
      <c r="L278" s="1276"/>
      <c r="M278" s="1276"/>
      <c r="N278" s="1276"/>
      <c r="O278" s="1276"/>
      <c r="P278" s="1276"/>
      <c r="Q278" s="1276"/>
      <c r="R278" s="1276"/>
      <c r="S278" s="1276"/>
      <c r="T278" s="1276"/>
      <c r="U278" s="1276"/>
      <c r="V278" s="1276"/>
      <c r="W278" s="1277"/>
      <c r="X278" s="1277"/>
      <c r="Y278" s="1277"/>
      <c r="Z278" s="1277"/>
      <c r="AA278" s="1277"/>
      <c r="AB278" s="1277"/>
      <c r="AC278" s="1277"/>
      <c r="AD278" s="1277"/>
      <c r="AE278" s="1277"/>
      <c r="AF278" s="1277"/>
      <c r="AG278" s="1277"/>
      <c r="AH278" s="1277"/>
      <c r="AI278" s="1277"/>
      <c r="AJ278" s="1277"/>
      <c r="AK278" s="1277"/>
      <c r="AL278" s="1277"/>
      <c r="AM278" s="1277"/>
      <c r="AN278" s="1277"/>
      <c r="AO278" s="1277"/>
      <c r="AP278" s="1277"/>
      <c r="AQ278" s="1277"/>
      <c r="AR278" s="1277"/>
      <c r="AS278" s="1277"/>
      <c r="AT278" s="1277"/>
      <c r="AU278" s="1277"/>
      <c r="AV278" s="1277"/>
      <c r="AW278" s="1277"/>
      <c r="AX278" s="1277"/>
      <c r="AY278" s="1277"/>
      <c r="AZ278" s="1277"/>
      <c r="BA278" s="1277"/>
      <c r="BB278" s="1277"/>
      <c r="BC278" s="1277"/>
      <c r="BD278" s="1277"/>
      <c r="BE278" s="1277"/>
      <c r="BF278" s="1277"/>
      <c r="BG278" s="1277"/>
      <c r="BH278" s="1277"/>
      <c r="BI278" s="1277"/>
      <c r="BJ278" s="1277"/>
      <c r="BK278" s="1277"/>
      <c r="BL278" s="1277"/>
      <c r="BM278" s="1277"/>
      <c r="BN278" s="1277"/>
      <c r="BO278" s="1277"/>
      <c r="BP278" s="1277"/>
      <c r="BQ278" s="1277"/>
      <c r="BR278" s="1277"/>
      <c r="BS278" s="1277"/>
      <c r="BT278" s="1277"/>
      <c r="BU278" s="1277"/>
      <c r="BV278" s="1277"/>
      <c r="BW278" s="1277"/>
      <c r="BX278" s="1277"/>
      <c r="BY278" s="1277"/>
      <c r="BZ278" s="1277"/>
      <c r="CA278" s="1277"/>
      <c r="CB278" s="1277"/>
      <c r="CC278" s="1277"/>
      <c r="CD278" s="1277"/>
      <c r="CE278" s="1277"/>
      <c r="CF278" s="1277"/>
      <c r="CG278" s="1277"/>
      <c r="CH278" s="1269"/>
      <c r="CI278" s="1277"/>
      <c r="CJ278" s="1277"/>
      <c r="CK278" s="1277"/>
      <c r="CL278" s="1277"/>
      <c r="CM278" s="1277"/>
      <c r="CN278" s="1277"/>
      <c r="CO278" s="1277"/>
      <c r="CP278" s="1277"/>
      <c r="CQ278" s="1277"/>
      <c r="CR278" s="1277"/>
      <c r="CS278" s="1277"/>
      <c r="CT278" s="1277"/>
      <c r="CU278" s="1277"/>
      <c r="CV278" s="1277"/>
      <c r="CW278" s="1277"/>
      <c r="CX278" s="1277"/>
      <c r="CY278" s="1277"/>
      <c r="CZ278" s="1277"/>
      <c r="DA278" s="1277"/>
      <c r="DB278" s="1277"/>
      <c r="DC278" s="1277"/>
      <c r="DD278" s="1277"/>
      <c r="DE278" s="1277"/>
      <c r="DF278" s="1277"/>
      <c r="DG278" s="1277"/>
      <c r="DH278" s="1277"/>
      <c r="DI278" s="1277"/>
      <c r="DJ278" s="1277"/>
      <c r="DK278" s="1277"/>
      <c r="DL278" s="1277"/>
      <c r="DM278" s="1277"/>
      <c r="DN278" s="1277"/>
      <c r="DO278" s="1277"/>
      <c r="DP278" s="1277"/>
      <c r="DQ278" s="1277"/>
      <c r="DR278" s="1277"/>
      <c r="DS278" s="1277"/>
      <c r="DT278" s="1277"/>
      <c r="DU278" s="1277"/>
      <c r="DV278" s="1277"/>
      <c r="DW278" s="1277"/>
      <c r="DX278" s="1277"/>
      <c r="DY278" s="1277"/>
      <c r="DZ278" s="1277"/>
      <c r="EA278" s="1277"/>
      <c r="EB278" s="1276"/>
      <c r="EC278" s="1276"/>
      <c r="ED278" s="1276"/>
      <c r="EE278" s="1276"/>
      <c r="EF278" s="1276"/>
      <c r="EG278" s="1276"/>
      <c r="EH278" s="1276"/>
      <c r="EI278" s="1276"/>
      <c r="EJ278" s="1276"/>
      <c r="EK278" s="1275"/>
      <c r="EL278" s="1275"/>
      <c r="EM278" s="1313"/>
    </row>
    <row r="279" spans="1:143" s="1271" customFormat="1">
      <c r="B279" s="1276"/>
      <c r="C279" s="1276"/>
      <c r="D279" s="1276"/>
      <c r="E279" s="1276"/>
      <c r="F279" s="1276"/>
      <c r="G279" s="1276"/>
      <c r="H279" s="1276"/>
      <c r="I279" s="1276"/>
      <c r="J279" s="1276"/>
      <c r="K279" s="1276"/>
      <c r="L279" s="1276"/>
      <c r="M279" s="1276"/>
      <c r="N279" s="1276"/>
      <c r="O279" s="1276"/>
      <c r="P279" s="1276"/>
      <c r="Q279" s="1276"/>
      <c r="R279" s="1276"/>
      <c r="S279" s="1276"/>
      <c r="T279" s="1276"/>
      <c r="U279" s="1276"/>
      <c r="V279" s="1276"/>
      <c r="W279" s="1277"/>
      <c r="X279" s="1277"/>
      <c r="Y279" s="1277"/>
      <c r="Z279" s="1277"/>
      <c r="AA279" s="1277"/>
      <c r="AB279" s="1277"/>
      <c r="AC279" s="1277"/>
      <c r="AD279" s="1277"/>
      <c r="AE279" s="1277"/>
      <c r="AF279" s="1277"/>
      <c r="AG279" s="1277"/>
      <c r="AH279" s="1277"/>
      <c r="AI279" s="1277"/>
      <c r="AJ279" s="1277"/>
      <c r="AK279" s="1277"/>
      <c r="AL279" s="1277"/>
      <c r="AM279" s="1277"/>
      <c r="AN279" s="1277"/>
      <c r="AO279" s="1277"/>
      <c r="AP279" s="1277"/>
      <c r="AQ279" s="1277"/>
      <c r="AR279" s="1277"/>
      <c r="AS279" s="1277"/>
      <c r="AT279" s="1277"/>
      <c r="AU279" s="1277"/>
      <c r="AV279" s="1277"/>
      <c r="AW279" s="1277"/>
      <c r="AX279" s="1277"/>
      <c r="AY279" s="1277"/>
      <c r="AZ279" s="1277"/>
      <c r="BA279" s="1277"/>
      <c r="BB279" s="1277"/>
      <c r="BC279" s="1277"/>
      <c r="BD279" s="1277"/>
      <c r="BE279" s="1277"/>
      <c r="BF279" s="1277"/>
      <c r="BG279" s="1277"/>
      <c r="BH279" s="1277"/>
      <c r="BI279" s="1277"/>
      <c r="BJ279" s="1277"/>
      <c r="BK279" s="1277"/>
      <c r="BL279" s="1277"/>
      <c r="BM279" s="1277"/>
      <c r="BN279" s="1277"/>
      <c r="BO279" s="1277"/>
      <c r="BP279" s="1277"/>
      <c r="BQ279" s="1277"/>
      <c r="BR279" s="1277"/>
      <c r="BS279" s="1277"/>
      <c r="BT279" s="1277"/>
      <c r="BU279" s="1277"/>
      <c r="BV279" s="1277"/>
      <c r="BW279" s="1277"/>
      <c r="BX279" s="1277"/>
      <c r="BY279" s="1277"/>
      <c r="BZ279" s="1277"/>
      <c r="CA279" s="1277"/>
      <c r="CB279" s="1277"/>
      <c r="CC279" s="1277"/>
      <c r="CD279" s="1277"/>
      <c r="CE279" s="1277"/>
      <c r="CF279" s="1277"/>
      <c r="CG279" s="1277"/>
      <c r="CH279" s="1269"/>
      <c r="CI279" s="1277"/>
      <c r="CJ279" s="1277"/>
      <c r="CK279" s="1277"/>
      <c r="CL279" s="1277"/>
      <c r="CM279" s="1277"/>
      <c r="CN279" s="1277"/>
      <c r="CO279" s="1277"/>
      <c r="CP279" s="1277"/>
      <c r="CQ279" s="1277"/>
      <c r="CR279" s="1277"/>
      <c r="CS279" s="1277"/>
      <c r="CT279" s="1277"/>
      <c r="CU279" s="1277"/>
      <c r="CV279" s="1277"/>
      <c r="CW279" s="1277"/>
      <c r="CX279" s="1277"/>
      <c r="CY279" s="1277"/>
      <c r="CZ279" s="1277"/>
      <c r="DA279" s="1277"/>
      <c r="DB279" s="1277"/>
      <c r="DC279" s="1277"/>
      <c r="DD279" s="1277"/>
      <c r="DE279" s="1277"/>
      <c r="DF279" s="1277"/>
      <c r="DG279" s="1277"/>
      <c r="DH279" s="1277"/>
      <c r="DI279" s="1277"/>
      <c r="DJ279" s="1277"/>
      <c r="DK279" s="1277"/>
      <c r="DL279" s="1277"/>
      <c r="DM279" s="1277"/>
      <c r="DN279" s="1277"/>
      <c r="DO279" s="1277"/>
      <c r="DP279" s="1277"/>
      <c r="DQ279" s="1277"/>
      <c r="DR279" s="1277"/>
      <c r="DS279" s="1277"/>
      <c r="DT279" s="1277"/>
      <c r="DU279" s="1277"/>
      <c r="DV279" s="1277"/>
      <c r="DW279" s="1277"/>
      <c r="DX279" s="1277"/>
      <c r="DY279" s="1277"/>
      <c r="DZ279" s="1277"/>
      <c r="EA279" s="1277"/>
      <c r="EB279" s="1276"/>
      <c r="EC279" s="1276"/>
      <c r="ED279" s="1276"/>
      <c r="EE279" s="1276"/>
      <c r="EF279" s="1276"/>
      <c r="EG279" s="1276"/>
      <c r="EH279" s="1276"/>
      <c r="EI279" s="1276"/>
      <c r="EJ279" s="1276"/>
      <c r="EK279" s="1275"/>
      <c r="EL279" s="1275"/>
      <c r="EM279" s="1313"/>
    </row>
    <row r="280" spans="1:143" s="1271" customFormat="1">
      <c r="B280" s="1276"/>
      <c r="C280" s="1276"/>
      <c r="D280" s="1276"/>
      <c r="E280" s="1276"/>
      <c r="F280" s="1276"/>
      <c r="G280" s="1276"/>
      <c r="H280" s="1276"/>
      <c r="I280" s="1276"/>
      <c r="J280" s="1276"/>
      <c r="K280" s="1276"/>
      <c r="L280" s="1276"/>
      <c r="M280" s="1276"/>
      <c r="N280" s="1276"/>
      <c r="O280" s="1276"/>
      <c r="P280" s="1276"/>
      <c r="Q280" s="1276"/>
      <c r="R280" s="1276"/>
      <c r="S280" s="1276"/>
      <c r="T280" s="1276"/>
      <c r="U280" s="1276"/>
      <c r="V280" s="1276"/>
      <c r="W280" s="1277"/>
      <c r="X280" s="1277"/>
      <c r="Y280" s="1277"/>
      <c r="Z280" s="1277"/>
      <c r="AA280" s="1277"/>
      <c r="AB280" s="1277"/>
      <c r="AC280" s="1277"/>
      <c r="AD280" s="1277"/>
      <c r="AE280" s="1277"/>
      <c r="AF280" s="1277"/>
      <c r="AG280" s="1277"/>
      <c r="AH280" s="1277"/>
      <c r="AI280" s="1277"/>
      <c r="AJ280" s="1277"/>
      <c r="AK280" s="1277"/>
      <c r="AL280" s="1277"/>
      <c r="AM280" s="1277"/>
      <c r="AN280" s="1277"/>
      <c r="AO280" s="1277"/>
      <c r="AP280" s="1277"/>
      <c r="AQ280" s="1277"/>
      <c r="AR280" s="1277"/>
      <c r="AS280" s="1277"/>
      <c r="AT280" s="1277"/>
      <c r="AU280" s="1277"/>
      <c r="AV280" s="1277"/>
      <c r="AW280" s="1277"/>
      <c r="AX280" s="1277"/>
      <c r="AY280" s="1277"/>
      <c r="AZ280" s="1277"/>
      <c r="BA280" s="1277"/>
      <c r="BB280" s="1277"/>
      <c r="BC280" s="1277"/>
      <c r="BD280" s="1277"/>
      <c r="BE280" s="1277"/>
      <c r="BF280" s="1277"/>
      <c r="BG280" s="1277"/>
      <c r="BH280" s="1277"/>
      <c r="BI280" s="1277"/>
      <c r="BJ280" s="1277"/>
      <c r="BK280" s="1277"/>
      <c r="BL280" s="1277"/>
      <c r="BM280" s="1277"/>
      <c r="BN280" s="1277"/>
      <c r="BO280" s="1277"/>
      <c r="BP280" s="1277"/>
      <c r="BQ280" s="1277"/>
      <c r="BR280" s="1277"/>
      <c r="BS280" s="1277"/>
      <c r="BT280" s="1277"/>
      <c r="BU280" s="1277"/>
      <c r="BV280" s="1277"/>
      <c r="BW280" s="1277"/>
      <c r="BX280" s="1277"/>
      <c r="BY280" s="1277"/>
      <c r="BZ280" s="1277"/>
      <c r="CA280" s="1277"/>
      <c r="CB280" s="1277"/>
      <c r="CC280" s="1277"/>
      <c r="CD280" s="1277"/>
      <c r="CE280" s="1277"/>
      <c r="CF280" s="1277"/>
      <c r="CG280" s="1277"/>
      <c r="CH280" s="1269"/>
      <c r="CI280" s="1277"/>
      <c r="CJ280" s="1277"/>
      <c r="CK280" s="1277"/>
      <c r="CL280" s="1277"/>
      <c r="CM280" s="1277"/>
      <c r="CN280" s="1277"/>
      <c r="CO280" s="1277"/>
      <c r="CP280" s="1277"/>
      <c r="CQ280" s="1277"/>
      <c r="CR280" s="1277"/>
      <c r="CS280" s="1277"/>
      <c r="CT280" s="1277"/>
      <c r="CU280" s="1277"/>
      <c r="CV280" s="1277"/>
      <c r="CW280" s="1277"/>
      <c r="CX280" s="1277"/>
      <c r="CY280" s="1277"/>
      <c r="CZ280" s="1277"/>
      <c r="DA280" s="1277"/>
      <c r="DB280" s="1277"/>
      <c r="DC280" s="1277"/>
      <c r="DD280" s="1277"/>
      <c r="DE280" s="1277"/>
      <c r="DF280" s="1277"/>
      <c r="DG280" s="1277"/>
      <c r="DH280" s="1277"/>
      <c r="DI280" s="1277"/>
      <c r="DJ280" s="1277"/>
      <c r="DK280" s="1277"/>
      <c r="DL280" s="1277"/>
      <c r="DM280" s="1277"/>
      <c r="DN280" s="1277"/>
      <c r="DO280" s="1277"/>
      <c r="DP280" s="1277"/>
      <c r="DQ280" s="1277"/>
      <c r="DR280" s="1277"/>
      <c r="DS280" s="1277"/>
      <c r="DT280" s="1277"/>
      <c r="DU280" s="1277"/>
      <c r="DV280" s="1277"/>
      <c r="DW280" s="1277"/>
      <c r="DX280" s="1277"/>
      <c r="DY280" s="1277"/>
      <c r="DZ280" s="1277"/>
      <c r="EA280" s="1277"/>
      <c r="EB280" s="1276"/>
      <c r="EC280" s="1276"/>
      <c r="ED280" s="1276"/>
      <c r="EE280" s="1276"/>
      <c r="EF280" s="1276"/>
      <c r="EG280" s="1276"/>
      <c r="EH280" s="1276"/>
      <c r="EI280" s="1276"/>
      <c r="EJ280" s="1276"/>
      <c r="EK280" s="1275"/>
      <c r="EL280" s="1275"/>
      <c r="EM280" s="1313"/>
    </row>
    <row r="281" spans="1:143" s="1271" customFormat="1">
      <c r="B281" s="1276"/>
      <c r="C281" s="1276"/>
      <c r="D281" s="1276"/>
      <c r="E281" s="1276"/>
      <c r="F281" s="1276"/>
      <c r="G281" s="1276"/>
      <c r="H281" s="1276"/>
      <c r="I281" s="1276"/>
      <c r="J281" s="1276"/>
      <c r="K281" s="1276"/>
      <c r="L281" s="1276"/>
      <c r="M281" s="1276"/>
      <c r="N281" s="1276"/>
      <c r="O281" s="1276"/>
      <c r="P281" s="1276"/>
      <c r="Q281" s="1276"/>
      <c r="R281" s="1276"/>
      <c r="S281" s="1276"/>
      <c r="T281" s="1276"/>
      <c r="U281" s="1276"/>
      <c r="V281" s="1276"/>
      <c r="W281" s="1277"/>
      <c r="X281" s="1277"/>
      <c r="Y281" s="1277"/>
      <c r="Z281" s="1277"/>
      <c r="AA281" s="1277"/>
      <c r="AB281" s="1277"/>
      <c r="AC281" s="1277"/>
      <c r="AD281" s="1277"/>
      <c r="AE281" s="1277"/>
      <c r="AF281" s="1277"/>
      <c r="AG281" s="1277"/>
      <c r="AH281" s="1277"/>
      <c r="AI281" s="1277"/>
      <c r="AJ281" s="1277"/>
      <c r="AK281" s="1277"/>
      <c r="AL281" s="1277"/>
      <c r="AM281" s="1277"/>
      <c r="AN281" s="1277"/>
      <c r="AO281" s="1277"/>
      <c r="AP281" s="1277"/>
      <c r="AQ281" s="1277"/>
      <c r="AR281" s="1277"/>
      <c r="AS281" s="1277"/>
      <c r="AT281" s="1277"/>
      <c r="AU281" s="1277"/>
      <c r="AV281" s="1277"/>
      <c r="AW281" s="1277"/>
      <c r="AX281" s="1277"/>
      <c r="AY281" s="1277"/>
      <c r="AZ281" s="1277"/>
      <c r="BA281" s="1277"/>
      <c r="BB281" s="1277"/>
      <c r="BC281" s="1277"/>
      <c r="BD281" s="1277"/>
      <c r="BE281" s="1277"/>
      <c r="BF281" s="1277"/>
      <c r="BG281" s="1277"/>
      <c r="BH281" s="1277"/>
      <c r="BI281" s="1277"/>
      <c r="BJ281" s="1277"/>
      <c r="BK281" s="1277"/>
      <c r="BL281" s="1277"/>
      <c r="BM281" s="1277"/>
      <c r="BN281" s="1277"/>
      <c r="BO281" s="1277"/>
      <c r="BP281" s="1277"/>
      <c r="BQ281" s="1277"/>
      <c r="BR281" s="1277"/>
      <c r="BS281" s="1277"/>
      <c r="BT281" s="1277"/>
      <c r="BU281" s="1277"/>
      <c r="BV281" s="1277"/>
      <c r="BW281" s="1277"/>
      <c r="BX281" s="1277"/>
      <c r="BY281" s="1277"/>
      <c r="BZ281" s="1277"/>
      <c r="CA281" s="1277"/>
      <c r="CB281" s="1277"/>
      <c r="CC281" s="1277"/>
      <c r="CD281" s="1277"/>
      <c r="CE281" s="1277"/>
      <c r="CF281" s="1277"/>
      <c r="CG281" s="1277"/>
      <c r="CH281" s="1269"/>
      <c r="CI281" s="1277"/>
      <c r="CJ281" s="1277"/>
      <c r="CK281" s="1277"/>
      <c r="CL281" s="1277"/>
      <c r="CM281" s="1277"/>
      <c r="CN281" s="1277"/>
      <c r="CO281" s="1277"/>
      <c r="CP281" s="1277"/>
      <c r="CQ281" s="1277"/>
      <c r="CR281" s="1277"/>
      <c r="CS281" s="1277"/>
      <c r="CT281" s="1277"/>
      <c r="CU281" s="1277"/>
      <c r="CV281" s="1277"/>
      <c r="CW281" s="1277"/>
      <c r="CX281" s="1277"/>
      <c r="CY281" s="1277"/>
      <c r="CZ281" s="1277"/>
      <c r="DA281" s="1277"/>
      <c r="DB281" s="1277"/>
      <c r="DC281" s="1277"/>
      <c r="DD281" s="1277"/>
      <c r="DE281" s="1277"/>
      <c r="DF281" s="1277"/>
      <c r="DG281" s="1277"/>
      <c r="DH281" s="1277"/>
      <c r="DI281" s="1277"/>
      <c r="DJ281" s="1277"/>
      <c r="DK281" s="1277"/>
      <c r="DL281" s="1277"/>
      <c r="DM281" s="1277"/>
      <c r="DN281" s="1277"/>
      <c r="DO281" s="1277"/>
      <c r="DP281" s="1277"/>
      <c r="DQ281" s="1277"/>
      <c r="DR281" s="1277"/>
      <c r="DS281" s="1277"/>
      <c r="DT281" s="1277"/>
      <c r="DU281" s="1277"/>
      <c r="DV281" s="1277"/>
      <c r="DW281" s="1277"/>
      <c r="DX281" s="1277"/>
      <c r="DY281" s="1277"/>
      <c r="DZ281" s="1277"/>
      <c r="EA281" s="1277"/>
      <c r="EB281" s="1276"/>
      <c r="EC281" s="1276"/>
      <c r="ED281" s="1276"/>
      <c r="EE281" s="1276"/>
      <c r="EF281" s="1276"/>
      <c r="EG281" s="1276"/>
      <c r="EH281" s="1276"/>
      <c r="EI281" s="1276"/>
      <c r="EJ281" s="1276"/>
      <c r="EK281" s="1275"/>
      <c r="EL281" s="1275"/>
      <c r="EM281" s="1313"/>
    </row>
    <row r="282" spans="1:143" s="1271" customFormat="1">
      <c r="B282" s="1276"/>
      <c r="C282" s="1276"/>
      <c r="D282" s="1276"/>
      <c r="E282" s="1276"/>
      <c r="F282" s="1276"/>
      <c r="G282" s="1276"/>
      <c r="H282" s="1276"/>
      <c r="I282" s="1276"/>
      <c r="J282" s="1276"/>
      <c r="K282" s="1276"/>
      <c r="L282" s="1276"/>
      <c r="M282" s="1276"/>
      <c r="N282" s="1276"/>
      <c r="O282" s="1276"/>
      <c r="P282" s="1276"/>
      <c r="Q282" s="1276"/>
      <c r="R282" s="1276"/>
      <c r="S282" s="1276"/>
      <c r="T282" s="1276"/>
      <c r="U282" s="1276"/>
      <c r="V282" s="1276"/>
      <c r="W282" s="1277"/>
      <c r="X282" s="1277"/>
      <c r="Y282" s="1277"/>
      <c r="Z282" s="1277"/>
      <c r="AA282" s="1277"/>
      <c r="AB282" s="1277"/>
      <c r="AC282" s="1277"/>
      <c r="AD282" s="1277"/>
      <c r="AE282" s="1277"/>
      <c r="AF282" s="1277"/>
      <c r="AG282" s="1277"/>
      <c r="AH282" s="1277"/>
      <c r="AI282" s="1277"/>
      <c r="AJ282" s="1277"/>
      <c r="AK282" s="1277"/>
      <c r="AL282" s="1277"/>
      <c r="AM282" s="1277"/>
      <c r="AN282" s="1277"/>
      <c r="AO282" s="1277"/>
      <c r="AP282" s="1277"/>
      <c r="AQ282" s="1277"/>
      <c r="AR282" s="1277"/>
      <c r="AS282" s="1277"/>
      <c r="AT282" s="1277"/>
      <c r="AU282" s="1277"/>
      <c r="AV282" s="1277"/>
      <c r="AW282" s="1277"/>
      <c r="AX282" s="1277"/>
      <c r="AY282" s="1277"/>
      <c r="AZ282" s="1277"/>
      <c r="BA282" s="1277"/>
      <c r="BB282" s="1277"/>
      <c r="BC282" s="1277"/>
      <c r="BD282" s="1277"/>
      <c r="BE282" s="1277"/>
      <c r="BF282" s="1277"/>
      <c r="BG282" s="1277"/>
      <c r="BH282" s="1277"/>
      <c r="BI282" s="1277"/>
      <c r="BJ282" s="1277"/>
      <c r="BK282" s="1277"/>
      <c r="BL282" s="1277"/>
      <c r="BM282" s="1277"/>
      <c r="BN282" s="1277"/>
      <c r="BO282" s="1277"/>
      <c r="BP282" s="1277"/>
      <c r="BQ282" s="1277"/>
      <c r="BR282" s="1277"/>
      <c r="BS282" s="1277"/>
      <c r="BT282" s="1277"/>
      <c r="BU282" s="1277"/>
      <c r="BV282" s="1277"/>
      <c r="BW282" s="1277"/>
      <c r="BX282" s="1277"/>
      <c r="BY282" s="1277"/>
      <c r="BZ282" s="1277"/>
      <c r="CA282" s="1277"/>
      <c r="CB282" s="1277"/>
      <c r="CC282" s="1277"/>
      <c r="CD282" s="1277"/>
      <c r="CE282" s="1277"/>
      <c r="CF282" s="1277"/>
      <c r="CG282" s="1277"/>
      <c r="CH282" s="1269"/>
      <c r="CI282" s="1277"/>
      <c r="CJ282" s="1277"/>
      <c r="CK282" s="1277"/>
      <c r="CL282" s="1277"/>
      <c r="CM282" s="1277"/>
      <c r="CN282" s="1277"/>
      <c r="CO282" s="1277"/>
      <c r="CP282" s="1277"/>
      <c r="CQ282" s="1277"/>
      <c r="CR282" s="1277"/>
      <c r="CS282" s="1277"/>
      <c r="CT282" s="1277"/>
      <c r="CU282" s="1277"/>
      <c r="CV282" s="1277"/>
      <c r="CW282" s="1277"/>
      <c r="CX282" s="1277"/>
      <c r="CY282" s="1277"/>
      <c r="CZ282" s="1277"/>
      <c r="DA282" s="1277"/>
      <c r="DB282" s="1277"/>
      <c r="DC282" s="1277"/>
      <c r="DD282" s="1277"/>
      <c r="DE282" s="1277"/>
      <c r="DF282" s="1277"/>
      <c r="DG282" s="1277"/>
      <c r="DH282" s="1277"/>
      <c r="DI282" s="1277"/>
      <c r="DJ282" s="1277"/>
      <c r="DK282" s="1277"/>
      <c r="DL282" s="1277"/>
      <c r="DM282" s="1277"/>
      <c r="DN282" s="1277"/>
      <c r="DO282" s="1277"/>
      <c r="DP282" s="1277"/>
      <c r="DQ282" s="1277"/>
      <c r="DR282" s="1277"/>
      <c r="DS282" s="1277"/>
      <c r="DT282" s="1277"/>
      <c r="DU282" s="1277"/>
      <c r="DV282" s="1277"/>
      <c r="DW282" s="1277"/>
      <c r="DX282" s="1277"/>
      <c r="DY282" s="1277"/>
      <c r="DZ282" s="1277"/>
      <c r="EA282" s="1277"/>
      <c r="EB282" s="1276"/>
      <c r="EC282" s="1276"/>
      <c r="ED282" s="1276"/>
      <c r="EE282" s="1276"/>
      <c r="EF282" s="1276"/>
      <c r="EG282" s="1276"/>
      <c r="EH282" s="1276"/>
      <c r="EI282" s="1276"/>
      <c r="EJ282" s="1276"/>
      <c r="EK282" s="1275"/>
      <c r="EL282" s="1275"/>
      <c r="EM282" s="1313"/>
    </row>
    <row r="283" spans="1:143" s="1271" customFormat="1">
      <c r="B283" s="1276"/>
      <c r="C283" s="1276"/>
      <c r="D283" s="1276"/>
      <c r="E283" s="1276"/>
      <c r="F283" s="1276"/>
      <c r="G283" s="1276"/>
      <c r="H283" s="1276"/>
      <c r="I283" s="1276"/>
      <c r="J283" s="1276"/>
      <c r="K283" s="1276"/>
      <c r="L283" s="1276"/>
      <c r="M283" s="1276"/>
      <c r="N283" s="1276"/>
      <c r="O283" s="1276"/>
      <c r="P283" s="1276"/>
      <c r="Q283" s="1276"/>
      <c r="R283" s="1276"/>
      <c r="S283" s="1276"/>
      <c r="T283" s="1276"/>
      <c r="U283" s="1276"/>
      <c r="V283" s="1276"/>
      <c r="W283" s="1277"/>
      <c r="X283" s="1277"/>
      <c r="Y283" s="1277"/>
      <c r="Z283" s="1277"/>
      <c r="AA283" s="1277"/>
      <c r="AB283" s="1277"/>
      <c r="AC283" s="1277"/>
      <c r="AD283" s="1277"/>
      <c r="AE283" s="1277"/>
      <c r="AF283" s="1277"/>
      <c r="AG283" s="1277"/>
      <c r="AH283" s="1277"/>
      <c r="AI283" s="1277"/>
      <c r="AJ283" s="1277"/>
      <c r="AK283" s="1277"/>
      <c r="AL283" s="1277"/>
      <c r="AM283" s="1277"/>
      <c r="AN283" s="1277"/>
      <c r="AO283" s="1277"/>
      <c r="AP283" s="1277"/>
      <c r="AQ283" s="1277"/>
      <c r="AR283" s="1277"/>
      <c r="AS283" s="1277"/>
      <c r="AT283" s="1277"/>
      <c r="AU283" s="1277"/>
      <c r="AV283" s="1277"/>
      <c r="AW283" s="1277"/>
      <c r="AX283" s="1277"/>
      <c r="AY283" s="1277"/>
      <c r="AZ283" s="1277"/>
      <c r="BA283" s="1277"/>
      <c r="BB283" s="1277"/>
      <c r="BC283" s="1277"/>
      <c r="BD283" s="1277"/>
      <c r="BE283" s="1277"/>
      <c r="BF283" s="1277"/>
      <c r="BG283" s="1277"/>
      <c r="BH283" s="1277"/>
      <c r="BI283" s="1277"/>
      <c r="BJ283" s="1277"/>
      <c r="BK283" s="1277"/>
      <c r="BL283" s="1277"/>
      <c r="BM283" s="1277"/>
      <c r="BN283" s="1277"/>
      <c r="BO283" s="1277"/>
      <c r="BP283" s="1277"/>
      <c r="BQ283" s="1277"/>
      <c r="BR283" s="1277"/>
      <c r="BS283" s="1277"/>
      <c r="BT283" s="1277"/>
      <c r="BU283" s="1277"/>
      <c r="BV283" s="1277"/>
      <c r="BW283" s="1277"/>
      <c r="BX283" s="1277"/>
      <c r="BY283" s="1277"/>
      <c r="BZ283" s="1277"/>
      <c r="CA283" s="1277"/>
      <c r="CB283" s="1277"/>
      <c r="CC283" s="1277"/>
      <c r="CD283" s="1277"/>
      <c r="CE283" s="1277"/>
      <c r="CF283" s="1277"/>
      <c r="CG283" s="1277"/>
      <c r="CH283" s="1269"/>
      <c r="CI283" s="1277"/>
      <c r="CJ283" s="1277"/>
      <c r="CK283" s="1277"/>
      <c r="CL283" s="1277"/>
      <c r="CM283" s="1277"/>
      <c r="CN283" s="1277"/>
      <c r="CO283" s="1277"/>
      <c r="CP283" s="1277"/>
      <c r="CQ283" s="1277"/>
      <c r="CR283" s="1277"/>
      <c r="CS283" s="1277"/>
      <c r="CT283" s="1277"/>
      <c r="CU283" s="1277"/>
      <c r="CV283" s="1277"/>
      <c r="CW283" s="1277"/>
      <c r="CX283" s="1277"/>
      <c r="CY283" s="1277"/>
      <c r="CZ283" s="1277"/>
      <c r="DA283" s="1277"/>
      <c r="DB283" s="1277"/>
      <c r="DC283" s="1277"/>
      <c r="DD283" s="1277"/>
      <c r="DE283" s="1277"/>
      <c r="DF283" s="1277"/>
      <c r="DG283" s="1277"/>
      <c r="DH283" s="1277"/>
      <c r="DI283" s="1277"/>
      <c r="DJ283" s="1277"/>
      <c r="DK283" s="1277"/>
      <c r="DL283" s="1277"/>
      <c r="DM283" s="1277"/>
      <c r="DN283" s="1277"/>
      <c r="DO283" s="1277"/>
      <c r="DP283" s="1277"/>
      <c r="DQ283" s="1277"/>
      <c r="DR283" s="1277"/>
      <c r="DS283" s="1277"/>
      <c r="DT283" s="1277"/>
      <c r="DU283" s="1277"/>
      <c r="DV283" s="1277"/>
      <c r="DW283" s="1277"/>
      <c r="DX283" s="1277"/>
      <c r="DY283" s="1277"/>
      <c r="DZ283" s="1277"/>
      <c r="EA283" s="1277"/>
      <c r="EB283" s="1276"/>
      <c r="EC283" s="1276"/>
      <c r="ED283" s="1276"/>
      <c r="EE283" s="1276"/>
      <c r="EF283" s="1276"/>
      <c r="EG283" s="1276"/>
      <c r="EH283" s="1276"/>
      <c r="EI283" s="1276"/>
      <c r="EJ283" s="1276"/>
      <c r="EK283" s="1275"/>
      <c r="EL283" s="1275"/>
      <c r="EM283" s="1313"/>
    </row>
    <row r="284" spans="1:143" s="1271" customFormat="1">
      <c r="B284" s="1276"/>
      <c r="C284" s="1276"/>
      <c r="D284" s="1276"/>
      <c r="E284" s="1276"/>
      <c r="F284" s="1276"/>
      <c r="G284" s="1276"/>
      <c r="H284" s="1276"/>
      <c r="I284" s="1276"/>
      <c r="J284" s="1276"/>
      <c r="K284" s="1276"/>
      <c r="L284" s="1276"/>
      <c r="M284" s="1276"/>
      <c r="N284" s="1276"/>
      <c r="O284" s="1276"/>
      <c r="P284" s="1276"/>
      <c r="Q284" s="1276"/>
      <c r="R284" s="1276"/>
      <c r="S284" s="1276"/>
      <c r="T284" s="1276"/>
      <c r="U284" s="1276"/>
      <c r="V284" s="1276"/>
      <c r="W284" s="1277"/>
      <c r="X284" s="1277"/>
      <c r="Y284" s="1277"/>
      <c r="Z284" s="1277"/>
      <c r="AA284" s="1277"/>
      <c r="AB284" s="1277"/>
      <c r="AC284" s="1277"/>
      <c r="AD284" s="1277"/>
      <c r="AE284" s="1277"/>
      <c r="AF284" s="1277"/>
      <c r="AG284" s="1277"/>
      <c r="AH284" s="1277"/>
      <c r="AI284" s="1277"/>
      <c r="AJ284" s="1277"/>
      <c r="AK284" s="1277"/>
      <c r="AL284" s="1277"/>
      <c r="AM284" s="1277"/>
      <c r="AN284" s="1277"/>
      <c r="AO284" s="1277"/>
      <c r="AP284" s="1277"/>
      <c r="AQ284" s="1277"/>
      <c r="AR284" s="1277"/>
      <c r="AS284" s="1277"/>
      <c r="AT284" s="1277"/>
      <c r="AU284" s="1277"/>
      <c r="AV284" s="1277"/>
      <c r="AW284" s="1277"/>
      <c r="AX284" s="1277"/>
      <c r="AY284" s="1277"/>
      <c r="AZ284" s="1277"/>
      <c r="BA284" s="1277"/>
      <c r="BB284" s="1277"/>
      <c r="BC284" s="1277"/>
      <c r="BD284" s="1277"/>
      <c r="BE284" s="1277"/>
      <c r="BF284" s="1277"/>
      <c r="BG284" s="1277"/>
      <c r="BH284" s="1277"/>
      <c r="BI284" s="1277"/>
      <c r="BJ284" s="1277"/>
      <c r="BK284" s="1277"/>
      <c r="BL284" s="1277"/>
      <c r="BM284" s="1277"/>
      <c r="BN284" s="1277"/>
      <c r="BO284" s="1277"/>
      <c r="BP284" s="1277"/>
      <c r="BQ284" s="1277"/>
      <c r="BR284" s="1277"/>
      <c r="BS284" s="1277"/>
      <c r="BT284" s="1277"/>
      <c r="BU284" s="1277"/>
      <c r="BV284" s="1277"/>
      <c r="BW284" s="1277"/>
      <c r="BX284" s="1277"/>
      <c r="BY284" s="1277"/>
      <c r="BZ284" s="1277"/>
      <c r="CA284" s="1277"/>
      <c r="CB284" s="1277"/>
      <c r="CC284" s="1277"/>
      <c r="CD284" s="1277"/>
      <c r="CE284" s="1277"/>
      <c r="CF284" s="1277"/>
      <c r="CG284" s="1277"/>
      <c r="CH284" s="1269"/>
      <c r="CI284" s="1277"/>
      <c r="CJ284" s="1277"/>
      <c r="CK284" s="1277"/>
      <c r="CL284" s="1277"/>
      <c r="CM284" s="1277"/>
      <c r="CN284" s="1277"/>
      <c r="CO284" s="1277"/>
      <c r="CP284" s="1277"/>
      <c r="CQ284" s="1277"/>
      <c r="CR284" s="1277"/>
      <c r="CS284" s="1277"/>
      <c r="CT284" s="1277"/>
      <c r="CU284" s="1277"/>
      <c r="CV284" s="1277"/>
      <c r="CW284" s="1277"/>
      <c r="CX284" s="1277"/>
      <c r="CY284" s="1277"/>
      <c r="CZ284" s="1277"/>
      <c r="DA284" s="1277"/>
      <c r="DB284" s="1277"/>
      <c r="DC284" s="1277"/>
      <c r="DD284" s="1277"/>
      <c r="DE284" s="1277"/>
      <c r="DF284" s="1277"/>
      <c r="DG284" s="1277"/>
      <c r="DH284" s="1277"/>
      <c r="DI284" s="1277"/>
      <c r="DJ284" s="1277"/>
      <c r="DK284" s="1277"/>
      <c r="DL284" s="1277"/>
      <c r="DM284" s="1277"/>
      <c r="DN284" s="1277"/>
      <c r="DO284" s="1277"/>
      <c r="DP284" s="1277"/>
      <c r="DQ284" s="1277"/>
      <c r="DR284" s="1277"/>
      <c r="DS284" s="1277"/>
      <c r="DT284" s="1277"/>
      <c r="DU284" s="1277"/>
      <c r="DV284" s="1277"/>
      <c r="DW284" s="1277"/>
      <c r="DX284" s="1277"/>
      <c r="DY284" s="1277"/>
      <c r="DZ284" s="1277"/>
      <c r="EA284" s="1277"/>
      <c r="EB284" s="1276"/>
      <c r="EC284" s="1276"/>
      <c r="ED284" s="1276"/>
      <c r="EE284" s="1276"/>
      <c r="EF284" s="1276"/>
      <c r="EG284" s="1276"/>
      <c r="EH284" s="1276"/>
      <c r="EI284" s="1276"/>
      <c r="EJ284" s="1276"/>
      <c r="EK284" s="1275"/>
      <c r="EL284" s="1275"/>
      <c r="EM284" s="1313"/>
    </row>
    <row r="285" spans="1:143" s="1271" customFormat="1">
      <c r="B285" s="1276"/>
      <c r="C285" s="1276"/>
      <c r="D285" s="1276"/>
      <c r="E285" s="1276"/>
      <c r="F285" s="1276"/>
      <c r="G285" s="1276"/>
      <c r="H285" s="1276"/>
      <c r="I285" s="1276"/>
      <c r="J285" s="1276"/>
      <c r="K285" s="1276"/>
      <c r="L285" s="1276"/>
      <c r="M285" s="1276"/>
      <c r="N285" s="1276"/>
      <c r="O285" s="1276"/>
      <c r="P285" s="1276"/>
      <c r="Q285" s="1276"/>
      <c r="R285" s="1276"/>
      <c r="S285" s="1276"/>
      <c r="T285" s="1276"/>
      <c r="U285" s="1276"/>
      <c r="V285" s="1276"/>
      <c r="W285" s="1277"/>
      <c r="X285" s="1277"/>
      <c r="Y285" s="1277"/>
      <c r="Z285" s="1277"/>
      <c r="AA285" s="1277"/>
      <c r="AB285" s="1277"/>
      <c r="AC285" s="1277"/>
      <c r="AD285" s="1277"/>
      <c r="AE285" s="1277"/>
      <c r="AF285" s="1277"/>
      <c r="AG285" s="1277"/>
      <c r="AH285" s="1277"/>
      <c r="AI285" s="1277"/>
      <c r="AJ285" s="1277"/>
      <c r="AK285" s="1277"/>
      <c r="AL285" s="1277"/>
      <c r="AM285" s="1277"/>
      <c r="AN285" s="1277"/>
      <c r="AO285" s="1277"/>
      <c r="AP285" s="1277"/>
      <c r="AQ285" s="1277"/>
      <c r="AR285" s="1277"/>
      <c r="AS285" s="1277"/>
      <c r="AT285" s="1277"/>
      <c r="AU285" s="1277"/>
      <c r="AV285" s="1277"/>
      <c r="AW285" s="1277"/>
      <c r="AX285" s="1277"/>
      <c r="AY285" s="1277"/>
      <c r="AZ285" s="1277"/>
      <c r="BA285" s="1277"/>
      <c r="BB285" s="1277"/>
      <c r="BC285" s="1277"/>
      <c r="BD285" s="1277"/>
      <c r="BE285" s="1277"/>
      <c r="BF285" s="1277"/>
      <c r="BG285" s="1277"/>
      <c r="BH285" s="1277"/>
      <c r="BI285" s="1277"/>
      <c r="BJ285" s="1277"/>
      <c r="BK285" s="1277"/>
      <c r="BL285" s="1277"/>
      <c r="BM285" s="1277"/>
      <c r="BN285" s="1277"/>
      <c r="BO285" s="1277"/>
      <c r="BP285" s="1277"/>
      <c r="BQ285" s="1277"/>
      <c r="BR285" s="1277"/>
      <c r="BS285" s="1277"/>
      <c r="BT285" s="1277"/>
      <c r="BU285" s="1277"/>
      <c r="BV285" s="1277"/>
      <c r="BW285" s="1277"/>
      <c r="BX285" s="1277"/>
      <c r="BY285" s="1277"/>
      <c r="BZ285" s="1277"/>
      <c r="CA285" s="1277"/>
      <c r="CB285" s="1277"/>
      <c r="CC285" s="1277"/>
      <c r="CD285" s="1277"/>
      <c r="CE285" s="1277"/>
      <c r="CF285" s="1277"/>
      <c r="CG285" s="1277"/>
      <c r="CH285" s="1269"/>
      <c r="CI285" s="1277"/>
      <c r="CJ285" s="1277"/>
      <c r="CK285" s="1277"/>
      <c r="CL285" s="1277"/>
      <c r="CM285" s="1277"/>
      <c r="CN285" s="1277"/>
      <c r="CO285" s="1277"/>
      <c r="CP285" s="1277"/>
      <c r="CQ285" s="1277"/>
      <c r="CR285" s="1277"/>
      <c r="CS285" s="1277"/>
      <c r="CT285" s="1277"/>
      <c r="CU285" s="1277"/>
      <c r="CV285" s="1277"/>
      <c r="CW285" s="1277"/>
      <c r="CX285" s="1277"/>
      <c r="CY285" s="1277"/>
      <c r="CZ285" s="1277"/>
      <c r="DA285" s="1277"/>
      <c r="DB285" s="1277"/>
      <c r="DC285" s="1277"/>
      <c r="DD285" s="1277"/>
      <c r="DE285" s="1277"/>
      <c r="DF285" s="1277"/>
      <c r="DG285" s="1277"/>
      <c r="DH285" s="1277"/>
      <c r="DI285" s="1277"/>
      <c r="DJ285" s="1277"/>
      <c r="DK285" s="1277"/>
      <c r="DL285" s="1277"/>
      <c r="DM285" s="1277"/>
      <c r="DN285" s="1277"/>
      <c r="DO285" s="1277"/>
      <c r="DP285" s="1277"/>
      <c r="DQ285" s="1277"/>
      <c r="DR285" s="1277"/>
      <c r="DS285" s="1277"/>
      <c r="DT285" s="1277"/>
      <c r="DU285" s="1277"/>
      <c r="DV285" s="1277"/>
      <c r="DW285" s="1277"/>
      <c r="DX285" s="1277"/>
      <c r="DY285" s="1277"/>
      <c r="DZ285" s="1277"/>
      <c r="EA285" s="1277"/>
      <c r="EB285" s="1276"/>
      <c r="EC285" s="1276"/>
      <c r="ED285" s="1276"/>
      <c r="EE285" s="1276"/>
      <c r="EF285" s="1276"/>
      <c r="EG285" s="1276"/>
      <c r="EH285" s="1276"/>
      <c r="EI285" s="1276"/>
      <c r="EJ285" s="1276"/>
      <c r="EK285" s="1275"/>
      <c r="EL285" s="1275"/>
      <c r="EM285" s="1313"/>
    </row>
    <row r="286" spans="1:143" s="1271" customFormat="1">
      <c r="B286" s="1276"/>
      <c r="C286" s="1276"/>
      <c r="D286" s="1276"/>
      <c r="E286" s="1276"/>
      <c r="F286" s="1276"/>
      <c r="G286" s="1276"/>
      <c r="H286" s="1276"/>
      <c r="I286" s="1276"/>
      <c r="J286" s="1276"/>
      <c r="K286" s="1276"/>
      <c r="L286" s="1276"/>
      <c r="M286" s="1276"/>
      <c r="N286" s="1276"/>
      <c r="O286" s="1276"/>
      <c r="P286" s="1276"/>
      <c r="Q286" s="1276"/>
      <c r="R286" s="1276"/>
      <c r="S286" s="1276"/>
      <c r="T286" s="1276"/>
      <c r="U286" s="1276"/>
      <c r="V286" s="1276"/>
      <c r="W286" s="1277"/>
      <c r="X286" s="1277"/>
      <c r="Y286" s="1277"/>
      <c r="Z286" s="1277"/>
      <c r="AA286" s="1277"/>
      <c r="AB286" s="1277"/>
      <c r="AC286" s="1277"/>
      <c r="AD286" s="1277"/>
      <c r="AE286" s="1277"/>
      <c r="AF286" s="1277"/>
      <c r="AG286" s="1277"/>
      <c r="AH286" s="1277"/>
      <c r="AI286" s="1277"/>
      <c r="AJ286" s="1277"/>
      <c r="AK286" s="1277"/>
      <c r="AL286" s="1277"/>
      <c r="AM286" s="1277"/>
      <c r="AN286" s="1277"/>
      <c r="AO286" s="1277"/>
      <c r="AP286" s="1277"/>
      <c r="AQ286" s="1277"/>
      <c r="AR286" s="1277"/>
      <c r="AS286" s="1277"/>
      <c r="AT286" s="1277"/>
      <c r="AU286" s="1277"/>
      <c r="AV286" s="1277"/>
      <c r="AW286" s="1277"/>
      <c r="AX286" s="1277"/>
      <c r="AY286" s="1277"/>
      <c r="AZ286" s="1277"/>
      <c r="BA286" s="1277"/>
      <c r="BB286" s="1277"/>
      <c r="BC286" s="1277"/>
      <c r="BD286" s="1277"/>
      <c r="BE286" s="1277"/>
      <c r="BF286" s="1277"/>
      <c r="BG286" s="1277"/>
      <c r="BH286" s="1277"/>
      <c r="BI286" s="1277"/>
      <c r="BJ286" s="1277"/>
      <c r="BK286" s="1277"/>
      <c r="BL286" s="1277"/>
      <c r="BM286" s="1277"/>
      <c r="BN286" s="1277"/>
      <c r="BO286" s="1277"/>
      <c r="BP286" s="1277"/>
      <c r="BQ286" s="1277"/>
      <c r="BR286" s="1277"/>
      <c r="BS286" s="1277"/>
      <c r="BT286" s="1277"/>
      <c r="BU286" s="1277"/>
      <c r="BV286" s="1277"/>
      <c r="BW286" s="1277"/>
      <c r="BX286" s="1277"/>
      <c r="BY286" s="1277"/>
      <c r="BZ286" s="1277"/>
      <c r="CA286" s="1277"/>
      <c r="CB286" s="1277"/>
      <c r="CC286" s="1277"/>
      <c r="CD286" s="1277"/>
      <c r="CE286" s="1277"/>
      <c r="CF286" s="1277"/>
      <c r="CG286" s="1277"/>
      <c r="CH286" s="1269"/>
      <c r="CI286" s="1277"/>
      <c r="CJ286" s="1277"/>
      <c r="CK286" s="1277"/>
      <c r="CL286" s="1277"/>
      <c r="CM286" s="1277"/>
      <c r="CN286" s="1277"/>
      <c r="CO286" s="1277"/>
      <c r="CP286" s="1277"/>
      <c r="CQ286" s="1277"/>
      <c r="CR286" s="1277"/>
      <c r="CS286" s="1277"/>
      <c r="CT286" s="1277"/>
      <c r="CU286" s="1277"/>
      <c r="CV286" s="1277"/>
      <c r="CW286" s="1277"/>
      <c r="CX286" s="1277"/>
      <c r="CY286" s="1277"/>
      <c r="CZ286" s="1277"/>
      <c r="DA286" s="1277"/>
      <c r="DB286" s="1277"/>
      <c r="DC286" s="1277"/>
      <c r="DD286" s="1277"/>
      <c r="DE286" s="1277"/>
      <c r="DF286" s="1277"/>
      <c r="DG286" s="1277"/>
      <c r="DH286" s="1277"/>
      <c r="DI286" s="1277"/>
      <c r="DJ286" s="1277"/>
      <c r="DK286" s="1277"/>
      <c r="DL286" s="1277"/>
      <c r="DM286" s="1277"/>
      <c r="DN286" s="1277"/>
      <c r="DO286" s="1277"/>
      <c r="DP286" s="1277"/>
      <c r="DQ286" s="1277"/>
      <c r="DR286" s="1277"/>
      <c r="DS286" s="1277"/>
      <c r="DT286" s="1277"/>
      <c r="DU286" s="1277"/>
      <c r="DV286" s="1277"/>
      <c r="DW286" s="1277"/>
      <c r="DX286" s="1277"/>
      <c r="DY286" s="1277"/>
      <c r="DZ286" s="1277"/>
      <c r="EA286" s="1277"/>
      <c r="EB286" s="1276"/>
      <c r="EC286" s="1276"/>
      <c r="ED286" s="1276"/>
      <c r="EE286" s="1276"/>
      <c r="EF286" s="1276"/>
      <c r="EG286" s="1276"/>
      <c r="EH286" s="1276"/>
      <c r="EI286" s="1276"/>
      <c r="EJ286" s="1276"/>
      <c r="EK286" s="1275"/>
      <c r="EL286" s="1275"/>
      <c r="EM286" s="1313"/>
    </row>
    <row r="287" spans="1:143" s="1271" customFormat="1">
      <c r="B287" s="1276"/>
      <c r="C287" s="1276"/>
      <c r="D287" s="1276"/>
      <c r="E287" s="1276"/>
      <c r="F287" s="1276"/>
      <c r="G287" s="1276"/>
      <c r="H287" s="1276"/>
      <c r="I287" s="1276"/>
      <c r="J287" s="1276"/>
      <c r="K287" s="1276"/>
      <c r="L287" s="1276"/>
      <c r="M287" s="1276"/>
      <c r="N287" s="1276"/>
      <c r="O287" s="1276"/>
      <c r="P287" s="1276"/>
      <c r="Q287" s="1276"/>
      <c r="R287" s="1276"/>
      <c r="S287" s="1276"/>
      <c r="T287" s="1276"/>
      <c r="U287" s="1276"/>
      <c r="V287" s="1276"/>
      <c r="W287" s="1277"/>
      <c r="X287" s="1277"/>
      <c r="Y287" s="1277"/>
      <c r="Z287" s="1277"/>
      <c r="AA287" s="1277"/>
      <c r="AB287" s="1277"/>
      <c r="AC287" s="1277"/>
      <c r="AD287" s="1277"/>
      <c r="AE287" s="1277"/>
      <c r="AF287" s="1277"/>
      <c r="AG287" s="1277"/>
      <c r="AH287" s="1277"/>
      <c r="AI287" s="1277"/>
      <c r="AJ287" s="1277"/>
      <c r="AK287" s="1277"/>
      <c r="AL287" s="1277"/>
      <c r="AM287" s="1277"/>
      <c r="AN287" s="1277"/>
      <c r="AO287" s="1277"/>
      <c r="AP287" s="1277"/>
      <c r="AQ287" s="1277"/>
      <c r="AR287" s="1277"/>
      <c r="AS287" s="1277"/>
      <c r="AT287" s="1277"/>
      <c r="AU287" s="1277"/>
      <c r="AV287" s="1277"/>
      <c r="AW287" s="1277"/>
      <c r="AX287" s="1277"/>
      <c r="AY287" s="1277"/>
      <c r="AZ287" s="1277"/>
      <c r="BA287" s="1277"/>
      <c r="BB287" s="1277"/>
      <c r="BC287" s="1277"/>
      <c r="BD287" s="1277"/>
      <c r="BE287" s="1277"/>
      <c r="BF287" s="1277"/>
      <c r="BG287" s="1277"/>
      <c r="BH287" s="1277"/>
      <c r="BI287" s="1277"/>
      <c r="BJ287" s="1277"/>
      <c r="BK287" s="1277"/>
      <c r="BL287" s="1277"/>
      <c r="BM287" s="1277"/>
      <c r="BN287" s="1277"/>
      <c r="BO287" s="1277"/>
      <c r="BP287" s="1277"/>
      <c r="BQ287" s="1277"/>
      <c r="BR287" s="1277"/>
      <c r="BS287" s="1277"/>
      <c r="BT287" s="1277"/>
      <c r="BU287" s="1277"/>
      <c r="BV287" s="1277"/>
      <c r="BW287" s="1277"/>
      <c r="BX287" s="1277"/>
      <c r="BY287" s="1277"/>
      <c r="BZ287" s="1277"/>
      <c r="CA287" s="1277"/>
      <c r="CB287" s="1277"/>
      <c r="CC287" s="1277"/>
      <c r="CD287" s="1277"/>
      <c r="CE287" s="1277"/>
      <c r="CF287" s="1277"/>
      <c r="CG287" s="1277"/>
      <c r="CH287" s="1269"/>
      <c r="CI287" s="1277"/>
      <c r="CJ287" s="1277"/>
      <c r="CK287" s="1277"/>
      <c r="CL287" s="1277"/>
      <c r="CM287" s="1277"/>
      <c r="CN287" s="1277"/>
      <c r="CO287" s="1277"/>
      <c r="CP287" s="1277"/>
      <c r="CQ287" s="1277"/>
      <c r="CR287" s="1277"/>
      <c r="CS287" s="1277"/>
      <c r="CT287" s="1277"/>
      <c r="CU287" s="1277"/>
      <c r="CV287" s="1277"/>
      <c r="CW287" s="1277"/>
      <c r="CX287" s="1277"/>
      <c r="CY287" s="1277"/>
      <c r="CZ287" s="1277"/>
      <c r="DA287" s="1277"/>
      <c r="DB287" s="1277"/>
      <c r="DC287" s="1277"/>
      <c r="DD287" s="1277"/>
      <c r="DE287" s="1277"/>
      <c r="DF287" s="1277"/>
      <c r="DG287" s="1277"/>
      <c r="DH287" s="1277"/>
      <c r="DI287" s="1277"/>
      <c r="DJ287" s="1277"/>
      <c r="DK287" s="1277"/>
      <c r="DL287" s="1277"/>
      <c r="DM287" s="1277"/>
      <c r="DN287" s="1277"/>
      <c r="DO287" s="1277"/>
      <c r="DP287" s="1277"/>
      <c r="DQ287" s="1277"/>
      <c r="DR287" s="1277"/>
      <c r="DS287" s="1277"/>
      <c r="DT287" s="1277"/>
      <c r="DU287" s="1277"/>
      <c r="DV287" s="1277"/>
      <c r="DW287" s="1277"/>
      <c r="DX287" s="1277"/>
      <c r="DY287" s="1277"/>
      <c r="DZ287" s="1277"/>
      <c r="EA287" s="1277"/>
      <c r="EB287" s="1276"/>
      <c r="EC287" s="1276"/>
      <c r="ED287" s="1276"/>
      <c r="EE287" s="1276"/>
      <c r="EF287" s="1276"/>
      <c r="EG287" s="1276"/>
      <c r="EH287" s="1276"/>
      <c r="EI287" s="1276"/>
      <c r="EJ287" s="1276"/>
      <c r="EK287" s="1275"/>
      <c r="EL287" s="1275"/>
      <c r="EM287" s="1313"/>
    </row>
    <row r="288" spans="1:143" s="1271" customFormat="1">
      <c r="A288" s="1262"/>
      <c r="B288" s="1276"/>
      <c r="C288" s="1276"/>
      <c r="D288" s="1276"/>
      <c r="E288" s="1276"/>
      <c r="F288" s="1276"/>
      <c r="G288" s="1276"/>
      <c r="H288" s="1276"/>
      <c r="I288" s="1276"/>
      <c r="J288" s="1276"/>
      <c r="K288" s="1276"/>
      <c r="L288" s="1276"/>
      <c r="M288" s="1276"/>
      <c r="N288" s="1276"/>
      <c r="O288" s="1276"/>
      <c r="P288" s="1276"/>
      <c r="Q288" s="1276"/>
      <c r="R288" s="1276"/>
      <c r="S288" s="1276"/>
      <c r="T288" s="1276"/>
      <c r="U288" s="1276"/>
      <c r="V288" s="1276"/>
      <c r="W288" s="1277"/>
      <c r="X288" s="1277"/>
      <c r="Y288" s="1277"/>
      <c r="Z288" s="1277"/>
      <c r="AA288" s="1277"/>
      <c r="AB288" s="1277"/>
      <c r="AC288" s="1277"/>
      <c r="AD288" s="1277"/>
      <c r="AE288" s="1277"/>
      <c r="AF288" s="1277"/>
      <c r="AG288" s="1277"/>
      <c r="AH288" s="1277"/>
      <c r="AI288" s="1277"/>
      <c r="AJ288" s="1277"/>
      <c r="AK288" s="1277"/>
      <c r="AL288" s="1277"/>
      <c r="AM288" s="1277"/>
      <c r="AN288" s="1277"/>
      <c r="AO288" s="1277"/>
      <c r="AP288" s="1277"/>
      <c r="AQ288" s="1277"/>
      <c r="AR288" s="1277"/>
      <c r="AS288" s="1277"/>
      <c r="AT288" s="1277"/>
      <c r="AU288" s="1277"/>
      <c r="AV288" s="1277"/>
      <c r="AW288" s="1277"/>
      <c r="AX288" s="1277"/>
      <c r="AY288" s="1277"/>
      <c r="AZ288" s="1277"/>
      <c r="BA288" s="1277"/>
      <c r="BB288" s="1277"/>
      <c r="BC288" s="1277"/>
      <c r="BD288" s="1277"/>
      <c r="BE288" s="1277"/>
      <c r="BF288" s="1277"/>
      <c r="BG288" s="1277"/>
      <c r="BH288" s="1277"/>
      <c r="BI288" s="1277"/>
      <c r="BJ288" s="1277"/>
      <c r="BK288" s="1277"/>
      <c r="BL288" s="1277"/>
      <c r="BM288" s="1277"/>
      <c r="BN288" s="1277"/>
      <c r="BO288" s="1277"/>
      <c r="BP288" s="1277"/>
      <c r="BQ288" s="1277"/>
      <c r="BR288" s="1277"/>
      <c r="BS288" s="1277"/>
      <c r="BT288" s="1277"/>
      <c r="BU288" s="1277"/>
      <c r="BV288" s="1277"/>
      <c r="BW288" s="1277"/>
      <c r="BX288" s="1277"/>
      <c r="BY288" s="1277"/>
      <c r="BZ288" s="1277"/>
      <c r="CA288" s="1277"/>
      <c r="CB288" s="1277"/>
      <c r="CC288" s="1277"/>
      <c r="CD288" s="1277"/>
      <c r="CE288" s="1277"/>
      <c r="CF288" s="1277"/>
      <c r="CG288" s="1277"/>
      <c r="CH288" s="1269"/>
      <c r="CI288" s="1277"/>
      <c r="CJ288" s="1277"/>
      <c r="CK288" s="1277"/>
      <c r="CL288" s="1277"/>
      <c r="CM288" s="1277"/>
      <c r="CN288" s="1277"/>
      <c r="CO288" s="1277"/>
      <c r="CP288" s="1277"/>
      <c r="CQ288" s="1277"/>
      <c r="CR288" s="1277"/>
      <c r="CS288" s="1277"/>
      <c r="CT288" s="1277"/>
      <c r="CU288" s="1277"/>
      <c r="CV288" s="1277"/>
      <c r="CW288" s="1277"/>
      <c r="CX288" s="1277"/>
      <c r="CY288" s="1277"/>
      <c r="CZ288" s="1277"/>
      <c r="DA288" s="1277"/>
      <c r="DB288" s="1277"/>
      <c r="DC288" s="1277"/>
      <c r="DD288" s="1277"/>
      <c r="DE288" s="1277"/>
      <c r="DF288" s="1277"/>
      <c r="DG288" s="1277"/>
      <c r="DH288" s="1277"/>
      <c r="DI288" s="1277"/>
      <c r="DJ288" s="1277"/>
      <c r="DK288" s="1277"/>
      <c r="DL288" s="1277"/>
      <c r="DM288" s="1277"/>
      <c r="DN288" s="1277"/>
      <c r="DO288" s="1277"/>
      <c r="DP288" s="1277"/>
      <c r="DQ288" s="1277"/>
      <c r="DR288" s="1277"/>
      <c r="DS288" s="1277"/>
      <c r="DT288" s="1277"/>
      <c r="DU288" s="1277"/>
      <c r="DV288" s="1277"/>
      <c r="DW288" s="1277"/>
      <c r="DX288" s="1277"/>
      <c r="DY288" s="1277"/>
      <c r="DZ288" s="1277"/>
      <c r="EA288" s="1277"/>
      <c r="EB288" s="1276"/>
      <c r="EC288" s="1276"/>
      <c r="ED288" s="1276"/>
      <c r="EE288" s="1276"/>
      <c r="EF288" s="1276"/>
      <c r="EG288" s="1276"/>
      <c r="EH288" s="1276"/>
      <c r="EI288" s="1276"/>
      <c r="EJ288" s="1276"/>
      <c r="EK288" s="1275"/>
      <c r="EL288" s="1275"/>
      <c r="EM288" s="1313"/>
    </row>
    <row r="289" spans="1:143" s="1271" customFormat="1">
      <c r="B289" s="1272"/>
      <c r="C289" s="1272"/>
      <c r="D289" s="1273"/>
      <c r="E289" s="1273"/>
      <c r="F289" s="1273"/>
      <c r="G289" s="1273"/>
      <c r="H289" s="1273"/>
      <c r="I289" s="1273"/>
      <c r="J289" s="1273"/>
      <c r="K289" s="1273"/>
      <c r="L289" s="1273"/>
      <c r="M289" s="1273"/>
      <c r="N289" s="1273"/>
      <c r="O289" s="1273"/>
      <c r="P289" s="1273"/>
      <c r="Q289" s="1273"/>
      <c r="R289" s="1273"/>
      <c r="S289" s="1273"/>
      <c r="T289" s="1273"/>
      <c r="U289" s="1273"/>
      <c r="V289" s="1273"/>
      <c r="W289" s="1274"/>
      <c r="X289" s="1274"/>
      <c r="Y289" s="1274"/>
      <c r="Z289" s="1274"/>
      <c r="AA289" s="1274"/>
      <c r="AB289" s="1274"/>
      <c r="AC289" s="1274"/>
      <c r="AD289" s="1274"/>
      <c r="AE289" s="1274"/>
      <c r="AF289" s="1274"/>
      <c r="AG289" s="1274"/>
      <c r="AH289" s="1274"/>
      <c r="AI289" s="1274"/>
      <c r="AJ289" s="1274"/>
      <c r="AK289" s="1274"/>
      <c r="AL289" s="1274"/>
      <c r="AM289" s="1274"/>
      <c r="AN289" s="1274"/>
      <c r="AO289" s="1274"/>
      <c r="AP289" s="1274"/>
      <c r="AQ289" s="1274"/>
      <c r="AR289" s="1274"/>
      <c r="AS289" s="1274"/>
      <c r="AT289" s="1274"/>
      <c r="AU289" s="1274"/>
      <c r="AV289" s="1274"/>
      <c r="AW289" s="1274"/>
      <c r="AX289" s="1274"/>
      <c r="AY289" s="1274"/>
      <c r="AZ289" s="1274"/>
      <c r="BA289" s="1274"/>
      <c r="BB289" s="1274"/>
      <c r="BC289" s="1274"/>
      <c r="BD289" s="1274"/>
      <c r="BE289" s="1274"/>
      <c r="BF289" s="1274"/>
      <c r="BG289" s="1274"/>
      <c r="BH289" s="1274"/>
      <c r="BI289" s="1274"/>
      <c r="BJ289" s="1274"/>
      <c r="BK289" s="1274"/>
      <c r="BL289" s="1274"/>
      <c r="BM289" s="1274"/>
      <c r="BN289" s="1274"/>
      <c r="BO289" s="1274"/>
      <c r="BP289" s="1274"/>
      <c r="BQ289" s="1274"/>
      <c r="BR289" s="1274"/>
      <c r="BS289" s="1274"/>
      <c r="BT289" s="1274"/>
      <c r="BU289" s="1274"/>
      <c r="BV289" s="1274"/>
      <c r="BW289" s="1274"/>
      <c r="BX289" s="1274"/>
      <c r="BY289" s="1274"/>
      <c r="BZ289" s="1274"/>
      <c r="CA289" s="1274"/>
      <c r="CB289" s="1274"/>
      <c r="CC289" s="1274"/>
      <c r="CD289" s="1274"/>
      <c r="CE289" s="1274"/>
      <c r="CF289" s="1274"/>
      <c r="CG289" s="1274"/>
      <c r="CH289" s="1269"/>
      <c r="CI289" s="1274"/>
      <c r="CJ289" s="1274"/>
      <c r="CK289" s="1274"/>
      <c r="CL289" s="1274"/>
      <c r="CM289" s="1274"/>
      <c r="CN289" s="1274"/>
      <c r="CO289" s="1274"/>
      <c r="CP289" s="1274"/>
      <c r="CQ289" s="1274"/>
      <c r="CR289" s="1274"/>
      <c r="CS289" s="1274"/>
      <c r="CT289" s="1274"/>
      <c r="CU289" s="1274"/>
      <c r="CV289" s="1274"/>
      <c r="CW289" s="1274"/>
      <c r="CX289" s="1274"/>
      <c r="CY289" s="1274"/>
      <c r="CZ289" s="1274"/>
      <c r="DA289" s="1274"/>
      <c r="DB289" s="1274"/>
      <c r="DC289" s="1274"/>
      <c r="DD289" s="1274"/>
      <c r="DE289" s="1274"/>
      <c r="DF289" s="1274"/>
      <c r="DG289" s="1274"/>
      <c r="DH289" s="1274"/>
      <c r="DI289" s="1274"/>
      <c r="DJ289" s="1274"/>
      <c r="DK289" s="1274"/>
      <c r="DL289" s="1274"/>
      <c r="DM289" s="1274"/>
      <c r="DN289" s="1274"/>
      <c r="DO289" s="1274"/>
      <c r="DP289" s="1274"/>
      <c r="DQ289" s="1274"/>
      <c r="DR289" s="1274"/>
      <c r="DS289" s="1274"/>
      <c r="DT289" s="1274"/>
      <c r="DU289" s="1274"/>
      <c r="DV289" s="1274"/>
      <c r="DW289" s="1274"/>
      <c r="DX289" s="1274"/>
      <c r="DY289" s="1274"/>
      <c r="DZ289" s="1274"/>
      <c r="EA289" s="1274"/>
      <c r="EB289" s="1273"/>
      <c r="EC289" s="1273"/>
      <c r="ED289" s="1273"/>
      <c r="EE289" s="1273"/>
      <c r="EF289" s="1273"/>
      <c r="EG289" s="1273"/>
      <c r="EH289" s="1273"/>
      <c r="EI289" s="1273"/>
      <c r="EJ289" s="1273"/>
      <c r="EK289" s="1273"/>
      <c r="EL289" s="1273"/>
      <c r="EM289" s="1313"/>
    </row>
    <row r="290" spans="1:143" s="1271" customFormat="1">
      <c r="B290" s="1272"/>
      <c r="C290" s="1272"/>
      <c r="D290" s="1273"/>
      <c r="E290" s="1273"/>
      <c r="F290" s="1273"/>
      <c r="G290" s="1273"/>
      <c r="H290" s="1273"/>
      <c r="I290" s="1273"/>
      <c r="J290" s="1273"/>
      <c r="K290" s="1273"/>
      <c r="L290" s="1273"/>
      <c r="M290" s="1273"/>
      <c r="N290" s="1273"/>
      <c r="O290" s="1273"/>
      <c r="P290" s="1273"/>
      <c r="Q290" s="1273"/>
      <c r="R290" s="1273"/>
      <c r="S290" s="1273"/>
      <c r="T290" s="1273"/>
      <c r="U290" s="1273"/>
      <c r="V290" s="1273"/>
      <c r="W290" s="1274"/>
      <c r="X290" s="1274"/>
      <c r="Y290" s="1274"/>
      <c r="Z290" s="1274"/>
      <c r="AA290" s="1274"/>
      <c r="AB290" s="1274"/>
      <c r="AC290" s="1274"/>
      <c r="AD290" s="1274"/>
      <c r="AE290" s="1274"/>
      <c r="AF290" s="1274"/>
      <c r="AG290" s="1274"/>
      <c r="AH290" s="1274"/>
      <c r="AI290" s="1274"/>
      <c r="AJ290" s="1274"/>
      <c r="AK290" s="1274"/>
      <c r="AL290" s="1274"/>
      <c r="AM290" s="1274"/>
      <c r="AN290" s="1274"/>
      <c r="AO290" s="1274"/>
      <c r="AP290" s="1274"/>
      <c r="AQ290" s="1274"/>
      <c r="AR290" s="1274"/>
      <c r="AS290" s="1274"/>
      <c r="AT290" s="1274"/>
      <c r="AU290" s="1274"/>
      <c r="AV290" s="1274"/>
      <c r="AW290" s="1274"/>
      <c r="AX290" s="1274"/>
      <c r="AY290" s="1274"/>
      <c r="AZ290" s="1274"/>
      <c r="BA290" s="1274"/>
      <c r="BB290" s="1274"/>
      <c r="BC290" s="1274"/>
      <c r="BD290" s="1274"/>
      <c r="BE290" s="1274"/>
      <c r="BF290" s="1274"/>
      <c r="BG290" s="1274"/>
      <c r="BH290" s="1274"/>
      <c r="BI290" s="1274"/>
      <c r="BJ290" s="1274"/>
      <c r="BK290" s="1274"/>
      <c r="BL290" s="1274"/>
      <c r="BM290" s="1274"/>
      <c r="BN290" s="1274"/>
      <c r="BO290" s="1274"/>
      <c r="BP290" s="1274"/>
      <c r="BQ290" s="1274"/>
      <c r="BR290" s="1274"/>
      <c r="BS290" s="1274"/>
      <c r="BT290" s="1274"/>
      <c r="BU290" s="1274"/>
      <c r="BV290" s="1274"/>
      <c r="BW290" s="1274"/>
      <c r="BX290" s="1274"/>
      <c r="BY290" s="1274"/>
      <c r="BZ290" s="1274"/>
      <c r="CA290" s="1274"/>
      <c r="CB290" s="1274"/>
      <c r="CC290" s="1274"/>
      <c r="CD290" s="1274"/>
      <c r="CE290" s="1274"/>
      <c r="CF290" s="1274"/>
      <c r="CG290" s="1274"/>
      <c r="CH290" s="1269"/>
      <c r="CI290" s="1274"/>
      <c r="CJ290" s="1274"/>
      <c r="CK290" s="1274"/>
      <c r="CL290" s="1274"/>
      <c r="CM290" s="1274"/>
      <c r="CN290" s="1274"/>
      <c r="CO290" s="1274"/>
      <c r="CP290" s="1274"/>
      <c r="CQ290" s="1274"/>
      <c r="CR290" s="1274"/>
      <c r="CS290" s="1274"/>
      <c r="CT290" s="1274"/>
      <c r="CU290" s="1274"/>
      <c r="CV290" s="1274"/>
      <c r="CW290" s="1274"/>
      <c r="CX290" s="1274"/>
      <c r="CY290" s="1274"/>
      <c r="CZ290" s="1274"/>
      <c r="DA290" s="1274"/>
      <c r="DB290" s="1274"/>
      <c r="DC290" s="1274"/>
      <c r="DD290" s="1274"/>
      <c r="DE290" s="1274"/>
      <c r="DF290" s="1274"/>
      <c r="DG290" s="1274"/>
      <c r="DH290" s="1274"/>
      <c r="DI290" s="1274"/>
      <c r="DJ290" s="1274"/>
      <c r="DK290" s="1274"/>
      <c r="DL290" s="1274"/>
      <c r="DM290" s="1274"/>
      <c r="DN290" s="1274"/>
      <c r="DO290" s="1274"/>
      <c r="DP290" s="1274"/>
      <c r="DQ290" s="1274"/>
      <c r="DR290" s="1274"/>
      <c r="DS290" s="1274"/>
      <c r="DT290" s="1274"/>
      <c r="DU290" s="1274"/>
      <c r="DV290" s="1274"/>
      <c r="DW290" s="1274"/>
      <c r="DX290" s="1274"/>
      <c r="DY290" s="1274"/>
      <c r="DZ290" s="1274"/>
      <c r="EA290" s="1274"/>
      <c r="EB290" s="1273"/>
      <c r="EC290" s="1273"/>
      <c r="ED290" s="1273"/>
      <c r="EE290" s="1273"/>
      <c r="EF290" s="1273"/>
      <c r="EG290" s="1273"/>
      <c r="EH290" s="1273"/>
      <c r="EI290" s="1273"/>
      <c r="EJ290" s="1273"/>
      <c r="EK290" s="1273"/>
      <c r="EL290" s="1273"/>
      <c r="EM290" s="1313"/>
    </row>
    <row r="291" spans="1:143" s="1271" customFormat="1">
      <c r="B291" s="1272"/>
      <c r="C291" s="1272"/>
      <c r="D291" s="1273"/>
      <c r="E291" s="1273"/>
      <c r="F291" s="1273"/>
      <c r="G291" s="1273"/>
      <c r="H291" s="1273"/>
      <c r="I291" s="1273"/>
      <c r="J291" s="1273"/>
      <c r="K291" s="1273"/>
      <c r="L291" s="1273"/>
      <c r="M291" s="1273"/>
      <c r="N291" s="1273"/>
      <c r="O291" s="1273"/>
      <c r="P291" s="1273"/>
      <c r="Q291" s="1273"/>
      <c r="R291" s="1273"/>
      <c r="S291" s="1273"/>
      <c r="T291" s="1273"/>
      <c r="U291" s="1273"/>
      <c r="V291" s="1273"/>
      <c r="W291" s="1274"/>
      <c r="X291" s="1274"/>
      <c r="Y291" s="1274"/>
      <c r="Z291" s="1274"/>
      <c r="AA291" s="1274"/>
      <c r="AB291" s="1274"/>
      <c r="AC291" s="1274"/>
      <c r="AD291" s="1274"/>
      <c r="AE291" s="1274"/>
      <c r="AF291" s="1274"/>
      <c r="AG291" s="1274"/>
      <c r="AH291" s="1274"/>
      <c r="AI291" s="1274"/>
      <c r="AJ291" s="1274"/>
      <c r="AK291" s="1274"/>
      <c r="AL291" s="1274"/>
      <c r="AM291" s="1274"/>
      <c r="AN291" s="1274"/>
      <c r="AO291" s="1274"/>
      <c r="AP291" s="1274"/>
      <c r="AQ291" s="1274"/>
      <c r="AR291" s="1274"/>
      <c r="AS291" s="1274"/>
      <c r="AT291" s="1274"/>
      <c r="AU291" s="1274"/>
      <c r="AV291" s="1274"/>
      <c r="AW291" s="1274"/>
      <c r="AX291" s="1274"/>
      <c r="AY291" s="1274"/>
      <c r="AZ291" s="1274"/>
      <c r="BA291" s="1274"/>
      <c r="BB291" s="1274"/>
      <c r="BC291" s="1274"/>
      <c r="BD291" s="1274"/>
      <c r="BE291" s="1274"/>
      <c r="BF291" s="1274"/>
      <c r="BG291" s="1274"/>
      <c r="BH291" s="1274"/>
      <c r="BI291" s="1274"/>
      <c r="BJ291" s="1274"/>
      <c r="BK291" s="1274"/>
      <c r="BL291" s="1274"/>
      <c r="BM291" s="1274"/>
      <c r="BN291" s="1274"/>
      <c r="BO291" s="1274"/>
      <c r="BP291" s="1274"/>
      <c r="BQ291" s="1274"/>
      <c r="BR291" s="1274"/>
      <c r="BS291" s="1274"/>
      <c r="BT291" s="1274"/>
      <c r="BU291" s="1274"/>
      <c r="BV291" s="1274"/>
      <c r="BW291" s="1274"/>
      <c r="BX291" s="1274"/>
      <c r="BY291" s="1274"/>
      <c r="BZ291" s="1274"/>
      <c r="CA291" s="1274"/>
      <c r="CB291" s="1274"/>
      <c r="CC291" s="1274"/>
      <c r="CD291" s="1274"/>
      <c r="CE291" s="1274"/>
      <c r="CF291" s="1274"/>
      <c r="CG291" s="1274"/>
      <c r="CH291" s="1269"/>
      <c r="CI291" s="1274"/>
      <c r="CJ291" s="1274"/>
      <c r="CK291" s="1274"/>
      <c r="CL291" s="1274"/>
      <c r="CM291" s="1274"/>
      <c r="CN291" s="1274"/>
      <c r="CO291" s="1274"/>
      <c r="CP291" s="1274"/>
      <c r="CQ291" s="1274"/>
      <c r="CR291" s="1274"/>
      <c r="CS291" s="1274"/>
      <c r="CT291" s="1274"/>
      <c r="CU291" s="1274"/>
      <c r="CV291" s="1274"/>
      <c r="CW291" s="1274"/>
      <c r="CX291" s="1274"/>
      <c r="CY291" s="1274"/>
      <c r="CZ291" s="1274"/>
      <c r="DA291" s="1274"/>
      <c r="DB291" s="1274"/>
      <c r="DC291" s="1274"/>
      <c r="DD291" s="1274"/>
      <c r="DE291" s="1274"/>
      <c r="DF291" s="1274"/>
      <c r="DG291" s="1274"/>
      <c r="DH291" s="1274"/>
      <c r="DI291" s="1274"/>
      <c r="DJ291" s="1274"/>
      <c r="DK291" s="1274"/>
      <c r="DL291" s="1274"/>
      <c r="DM291" s="1274"/>
      <c r="DN291" s="1274"/>
      <c r="DO291" s="1274"/>
      <c r="DP291" s="1274"/>
      <c r="DQ291" s="1274"/>
      <c r="DR291" s="1274"/>
      <c r="DS291" s="1274"/>
      <c r="DT291" s="1274"/>
      <c r="DU291" s="1274"/>
      <c r="DV291" s="1274"/>
      <c r="DW291" s="1274"/>
      <c r="DX291" s="1274"/>
      <c r="DY291" s="1274"/>
      <c r="DZ291" s="1274"/>
      <c r="EA291" s="1274"/>
      <c r="EB291" s="1273"/>
      <c r="EC291" s="1273"/>
      <c r="ED291" s="1273"/>
      <c r="EE291" s="1273"/>
      <c r="EF291" s="1273"/>
      <c r="EG291" s="1273"/>
      <c r="EH291" s="1273"/>
      <c r="EI291" s="1273"/>
      <c r="EJ291" s="1273"/>
      <c r="EK291" s="1273"/>
      <c r="EL291" s="1273"/>
      <c r="EM291" s="1313"/>
    </row>
    <row r="292" spans="1:143" s="1271" customFormat="1">
      <c r="B292" s="1272"/>
      <c r="C292" s="1272"/>
      <c r="D292" s="1273"/>
      <c r="E292" s="1273"/>
      <c r="F292" s="1273"/>
      <c r="G292" s="1273"/>
      <c r="H292" s="1273"/>
      <c r="I292" s="1273"/>
      <c r="J292" s="1273"/>
      <c r="K292" s="1273"/>
      <c r="L292" s="1273"/>
      <c r="M292" s="1273"/>
      <c r="N292" s="1273"/>
      <c r="O292" s="1273"/>
      <c r="P292" s="1273"/>
      <c r="Q292" s="1273"/>
      <c r="R292" s="1273"/>
      <c r="S292" s="1273"/>
      <c r="T292" s="1273"/>
      <c r="U292" s="1273"/>
      <c r="V292" s="1273"/>
      <c r="W292" s="1274"/>
      <c r="X292" s="1274"/>
      <c r="Y292" s="1274"/>
      <c r="Z292" s="1274"/>
      <c r="AA292" s="1274"/>
      <c r="AB292" s="1274"/>
      <c r="AC292" s="1274"/>
      <c r="AD292" s="1274"/>
      <c r="AE292" s="1274"/>
      <c r="AF292" s="1274"/>
      <c r="AG292" s="1274"/>
      <c r="AH292" s="1274"/>
      <c r="AI292" s="1274"/>
      <c r="AJ292" s="1274"/>
      <c r="AK292" s="1274"/>
      <c r="AL292" s="1274"/>
      <c r="AM292" s="1274"/>
      <c r="AN292" s="1274"/>
      <c r="AO292" s="1274"/>
      <c r="AP292" s="1274"/>
      <c r="AQ292" s="1274"/>
      <c r="AR292" s="1274"/>
      <c r="AS292" s="1274"/>
      <c r="AT292" s="1274"/>
      <c r="AU292" s="1274"/>
      <c r="AV292" s="1274"/>
      <c r="AW292" s="1274"/>
      <c r="AX292" s="1274"/>
      <c r="AY292" s="1274"/>
      <c r="AZ292" s="1274"/>
      <c r="BA292" s="1274"/>
      <c r="BB292" s="1274"/>
      <c r="BC292" s="1274"/>
      <c r="BD292" s="1274"/>
      <c r="BE292" s="1274"/>
      <c r="BF292" s="1274"/>
      <c r="BG292" s="1274"/>
      <c r="BH292" s="1274"/>
      <c r="BI292" s="1274"/>
      <c r="BJ292" s="1274"/>
      <c r="BK292" s="1274"/>
      <c r="BL292" s="1274"/>
      <c r="BM292" s="1274"/>
      <c r="BN292" s="1274"/>
      <c r="BO292" s="1274"/>
      <c r="BP292" s="1274"/>
      <c r="BQ292" s="1274"/>
      <c r="BR292" s="1274"/>
      <c r="BS292" s="1274"/>
      <c r="BT292" s="1274"/>
      <c r="BU292" s="1274"/>
      <c r="BV292" s="1274"/>
      <c r="BW292" s="1274"/>
      <c r="BX292" s="1274"/>
      <c r="BY292" s="1274"/>
      <c r="BZ292" s="1274"/>
      <c r="CA292" s="1274"/>
      <c r="CB292" s="1274"/>
      <c r="CC292" s="1274"/>
      <c r="CD292" s="1274"/>
      <c r="CE292" s="1274"/>
      <c r="CF292" s="1274"/>
      <c r="CG292" s="1274"/>
      <c r="CH292" s="1269"/>
      <c r="CI292" s="1274"/>
      <c r="CJ292" s="1274"/>
      <c r="CK292" s="1274"/>
      <c r="CL292" s="1274"/>
      <c r="CM292" s="1274"/>
      <c r="CN292" s="1274"/>
      <c r="CO292" s="1274"/>
      <c r="CP292" s="1274"/>
      <c r="CQ292" s="1274"/>
      <c r="CR292" s="1274"/>
      <c r="CS292" s="1274"/>
      <c r="CT292" s="1274"/>
      <c r="CU292" s="1274"/>
      <c r="CV292" s="1274"/>
      <c r="CW292" s="1274"/>
      <c r="CX292" s="1274"/>
      <c r="CY292" s="1274"/>
      <c r="CZ292" s="1274"/>
      <c r="DA292" s="1274"/>
      <c r="DB292" s="1274"/>
      <c r="DC292" s="1274"/>
      <c r="DD292" s="1274"/>
      <c r="DE292" s="1274"/>
      <c r="DF292" s="1274"/>
      <c r="DG292" s="1274"/>
      <c r="DH292" s="1274"/>
      <c r="DI292" s="1274"/>
      <c r="DJ292" s="1274"/>
      <c r="DK292" s="1274"/>
      <c r="DL292" s="1274"/>
      <c r="DM292" s="1274"/>
      <c r="DN292" s="1274"/>
      <c r="DO292" s="1274"/>
      <c r="DP292" s="1274"/>
      <c r="DQ292" s="1274"/>
      <c r="DR292" s="1274"/>
      <c r="DS292" s="1274"/>
      <c r="DT292" s="1274"/>
      <c r="DU292" s="1274"/>
      <c r="DV292" s="1274"/>
      <c r="DW292" s="1274"/>
      <c r="DX292" s="1274"/>
      <c r="DY292" s="1274"/>
      <c r="DZ292" s="1274"/>
      <c r="EA292" s="1274"/>
      <c r="EB292" s="1273"/>
      <c r="EC292" s="1273"/>
      <c r="ED292" s="1273"/>
      <c r="EE292" s="1273"/>
      <c r="EF292" s="1273"/>
      <c r="EG292" s="1273"/>
      <c r="EH292" s="1273"/>
      <c r="EI292" s="1273"/>
      <c r="EJ292" s="1273"/>
      <c r="EK292" s="1273"/>
      <c r="EL292" s="1273"/>
      <c r="EM292" s="1313"/>
    </row>
    <row r="293" spans="1:143" s="1271" customFormat="1">
      <c r="B293" s="1272"/>
      <c r="C293" s="1272"/>
      <c r="D293" s="1273"/>
      <c r="E293" s="1273"/>
      <c r="F293" s="1273"/>
      <c r="G293" s="1273"/>
      <c r="H293" s="1273"/>
      <c r="I293" s="1273"/>
      <c r="J293" s="1273"/>
      <c r="K293" s="1273"/>
      <c r="L293" s="1273"/>
      <c r="M293" s="1273"/>
      <c r="N293" s="1273"/>
      <c r="O293" s="1273"/>
      <c r="P293" s="1273"/>
      <c r="Q293" s="1273"/>
      <c r="R293" s="1273"/>
      <c r="S293" s="1273"/>
      <c r="T293" s="1273"/>
      <c r="U293" s="1273"/>
      <c r="V293" s="1273"/>
      <c r="W293" s="1274"/>
      <c r="X293" s="1274"/>
      <c r="Y293" s="1274"/>
      <c r="Z293" s="1274"/>
      <c r="AA293" s="1274"/>
      <c r="AB293" s="1274"/>
      <c r="AC293" s="1274"/>
      <c r="AD293" s="1274"/>
      <c r="AE293" s="1274"/>
      <c r="AF293" s="1274"/>
      <c r="AG293" s="1274"/>
      <c r="AH293" s="1274"/>
      <c r="AI293" s="1274"/>
      <c r="AJ293" s="1274"/>
      <c r="AK293" s="1274"/>
      <c r="AL293" s="1274"/>
      <c r="AM293" s="1274"/>
      <c r="AN293" s="1274"/>
      <c r="AO293" s="1274"/>
      <c r="AP293" s="1274"/>
      <c r="AQ293" s="1274"/>
      <c r="AR293" s="1274"/>
      <c r="AS293" s="1274"/>
      <c r="AT293" s="1274"/>
      <c r="AU293" s="1274"/>
      <c r="AV293" s="1274"/>
      <c r="AW293" s="1274"/>
      <c r="AX293" s="1274"/>
      <c r="AY293" s="1274"/>
      <c r="AZ293" s="1274"/>
      <c r="BA293" s="1274"/>
      <c r="BB293" s="1274"/>
      <c r="BC293" s="1274"/>
      <c r="BD293" s="1274"/>
      <c r="BE293" s="1274"/>
      <c r="BF293" s="1274"/>
      <c r="BG293" s="1274"/>
      <c r="BH293" s="1274"/>
      <c r="BI293" s="1274"/>
      <c r="BJ293" s="1274"/>
      <c r="BK293" s="1274"/>
      <c r="BL293" s="1274"/>
      <c r="BM293" s="1274"/>
      <c r="BN293" s="1274"/>
      <c r="BO293" s="1274"/>
      <c r="BP293" s="1274"/>
      <c r="BQ293" s="1274"/>
      <c r="BR293" s="1274"/>
      <c r="BS293" s="1274"/>
      <c r="BT293" s="1274"/>
      <c r="BU293" s="1274"/>
      <c r="BV293" s="1274"/>
      <c r="BW293" s="1274"/>
      <c r="BX293" s="1274"/>
      <c r="BY293" s="1274"/>
      <c r="BZ293" s="1274"/>
      <c r="CA293" s="1274"/>
      <c r="CB293" s="1274"/>
      <c r="CC293" s="1274"/>
      <c r="CD293" s="1274"/>
      <c r="CE293" s="1274"/>
      <c r="CF293" s="1274"/>
      <c r="CG293" s="1274"/>
      <c r="CH293" s="1269"/>
      <c r="CI293" s="1274"/>
      <c r="CJ293" s="1274"/>
      <c r="CK293" s="1274"/>
      <c r="CL293" s="1274"/>
      <c r="CM293" s="1274"/>
      <c r="CN293" s="1274"/>
      <c r="CO293" s="1274"/>
      <c r="CP293" s="1274"/>
      <c r="CQ293" s="1274"/>
      <c r="CR293" s="1274"/>
      <c r="CS293" s="1274"/>
      <c r="CT293" s="1274"/>
      <c r="CU293" s="1274"/>
      <c r="CV293" s="1274"/>
      <c r="CW293" s="1274"/>
      <c r="CX293" s="1274"/>
      <c r="CY293" s="1274"/>
      <c r="CZ293" s="1274"/>
      <c r="DA293" s="1274"/>
      <c r="DB293" s="1274"/>
      <c r="DC293" s="1274"/>
      <c r="DD293" s="1274"/>
      <c r="DE293" s="1274"/>
      <c r="DF293" s="1274"/>
      <c r="DG293" s="1274"/>
      <c r="DH293" s="1274"/>
      <c r="DI293" s="1274"/>
      <c r="DJ293" s="1274"/>
      <c r="DK293" s="1274"/>
      <c r="DL293" s="1274"/>
      <c r="DM293" s="1274"/>
      <c r="DN293" s="1274"/>
      <c r="DO293" s="1274"/>
      <c r="DP293" s="1274"/>
      <c r="DQ293" s="1274"/>
      <c r="DR293" s="1274"/>
      <c r="DS293" s="1274"/>
      <c r="DT293" s="1274"/>
      <c r="DU293" s="1274"/>
      <c r="DV293" s="1274"/>
      <c r="DW293" s="1274"/>
      <c r="DX293" s="1274"/>
      <c r="DY293" s="1274"/>
      <c r="DZ293" s="1274"/>
      <c r="EA293" s="1274"/>
      <c r="EB293" s="1273"/>
      <c r="EC293" s="1273"/>
      <c r="ED293" s="1273"/>
      <c r="EE293" s="1273"/>
      <c r="EF293" s="1273"/>
      <c r="EG293" s="1273"/>
      <c r="EH293" s="1273"/>
      <c r="EI293" s="1273"/>
      <c r="EJ293" s="1273"/>
      <c r="EK293" s="1273"/>
      <c r="EL293" s="1273"/>
      <c r="EM293" s="1313"/>
    </row>
    <row r="294" spans="1:143" s="1271" customFormat="1">
      <c r="B294" s="1272"/>
      <c r="C294" s="1272"/>
      <c r="D294" s="1273"/>
      <c r="E294" s="1273"/>
      <c r="F294" s="1273"/>
      <c r="G294" s="1273"/>
      <c r="H294" s="1273"/>
      <c r="I294" s="1273"/>
      <c r="J294" s="1273"/>
      <c r="K294" s="1273"/>
      <c r="L294" s="1273"/>
      <c r="M294" s="1273"/>
      <c r="N294" s="1273"/>
      <c r="O294" s="1273"/>
      <c r="P294" s="1273"/>
      <c r="Q294" s="1273"/>
      <c r="R294" s="1273"/>
      <c r="S294" s="1273"/>
      <c r="T294" s="1273"/>
      <c r="U294" s="1273"/>
      <c r="V294" s="1273"/>
      <c r="W294" s="1274"/>
      <c r="X294" s="1274"/>
      <c r="Y294" s="1274"/>
      <c r="Z294" s="1274"/>
      <c r="AA294" s="1274"/>
      <c r="AB294" s="1274"/>
      <c r="AC294" s="1274"/>
      <c r="AD294" s="1274"/>
      <c r="AE294" s="1274"/>
      <c r="AF294" s="1274"/>
      <c r="AG294" s="1274"/>
      <c r="AH294" s="1274"/>
      <c r="AI294" s="1274"/>
      <c r="AJ294" s="1274"/>
      <c r="AK294" s="1274"/>
      <c r="AL294" s="1274"/>
      <c r="AM294" s="1274"/>
      <c r="AN294" s="1274"/>
      <c r="AO294" s="1274"/>
      <c r="AP294" s="1274"/>
      <c r="AQ294" s="1274"/>
      <c r="AR294" s="1274"/>
      <c r="AS294" s="1274"/>
      <c r="AT294" s="1274"/>
      <c r="AU294" s="1274"/>
      <c r="AV294" s="1274"/>
      <c r="AW294" s="1274"/>
      <c r="AX294" s="1274"/>
      <c r="AY294" s="1274"/>
      <c r="AZ294" s="1274"/>
      <c r="BA294" s="1274"/>
      <c r="BB294" s="1274"/>
      <c r="BC294" s="1274"/>
      <c r="BD294" s="1274"/>
      <c r="BE294" s="1274"/>
      <c r="BF294" s="1274"/>
      <c r="BG294" s="1274"/>
      <c r="BH294" s="1274"/>
      <c r="BI294" s="1274"/>
      <c r="BJ294" s="1274"/>
      <c r="BK294" s="1274"/>
      <c r="BL294" s="1274"/>
      <c r="BM294" s="1274"/>
      <c r="BN294" s="1274"/>
      <c r="BO294" s="1274"/>
      <c r="BP294" s="1274"/>
      <c r="BQ294" s="1274"/>
      <c r="BR294" s="1274"/>
      <c r="BS294" s="1274"/>
      <c r="BT294" s="1274"/>
      <c r="BU294" s="1274"/>
      <c r="BV294" s="1274"/>
      <c r="BW294" s="1274"/>
      <c r="BX294" s="1274"/>
      <c r="BY294" s="1274"/>
      <c r="BZ294" s="1274"/>
      <c r="CA294" s="1274"/>
      <c r="CB294" s="1274"/>
      <c r="CC294" s="1274"/>
      <c r="CD294" s="1274"/>
      <c r="CE294" s="1274"/>
      <c r="CF294" s="1274"/>
      <c r="CG294" s="1274"/>
      <c r="CH294" s="1269"/>
      <c r="CI294" s="1274"/>
      <c r="CJ294" s="1274"/>
      <c r="CK294" s="1274"/>
      <c r="CL294" s="1274"/>
      <c r="CM294" s="1274"/>
      <c r="CN294" s="1274"/>
      <c r="CO294" s="1274"/>
      <c r="CP294" s="1274"/>
      <c r="CQ294" s="1274"/>
      <c r="CR294" s="1274"/>
      <c r="CS294" s="1274"/>
      <c r="CT294" s="1274"/>
      <c r="CU294" s="1274"/>
      <c r="CV294" s="1274"/>
      <c r="CW294" s="1274"/>
      <c r="CX294" s="1274"/>
      <c r="CY294" s="1274"/>
      <c r="CZ294" s="1274"/>
      <c r="DA294" s="1274"/>
      <c r="DB294" s="1274"/>
      <c r="DC294" s="1274"/>
      <c r="DD294" s="1274"/>
      <c r="DE294" s="1274"/>
      <c r="DF294" s="1274"/>
      <c r="DG294" s="1274"/>
      <c r="DH294" s="1274"/>
      <c r="DI294" s="1274"/>
      <c r="DJ294" s="1274"/>
      <c r="DK294" s="1274"/>
      <c r="DL294" s="1274"/>
      <c r="DM294" s="1274"/>
      <c r="DN294" s="1274"/>
      <c r="DO294" s="1274"/>
      <c r="DP294" s="1274"/>
      <c r="DQ294" s="1274"/>
      <c r="DR294" s="1274"/>
      <c r="DS294" s="1274"/>
      <c r="DT294" s="1274"/>
      <c r="DU294" s="1274"/>
      <c r="DV294" s="1274"/>
      <c r="DW294" s="1274"/>
      <c r="DX294" s="1274"/>
      <c r="DY294" s="1274"/>
      <c r="DZ294" s="1274"/>
      <c r="EA294" s="1274"/>
      <c r="EB294" s="1273"/>
      <c r="EC294" s="1273"/>
      <c r="ED294" s="1273"/>
      <c r="EE294" s="1273"/>
      <c r="EF294" s="1273"/>
      <c r="EG294" s="1273"/>
      <c r="EH294" s="1273"/>
      <c r="EI294" s="1273"/>
      <c r="EJ294" s="1273"/>
      <c r="EK294" s="1273"/>
      <c r="EL294" s="1273"/>
      <c r="EM294" s="1313"/>
    </row>
    <row r="295" spans="1:143" s="1271" customFormat="1">
      <c r="B295" s="1272"/>
      <c r="C295" s="1272"/>
      <c r="D295" s="1273"/>
      <c r="E295" s="1273"/>
      <c r="F295" s="1273"/>
      <c r="G295" s="1273"/>
      <c r="H295" s="1273"/>
      <c r="I295" s="1273"/>
      <c r="J295" s="1273"/>
      <c r="K295" s="1273"/>
      <c r="L295" s="1273"/>
      <c r="M295" s="1273"/>
      <c r="N295" s="1273"/>
      <c r="O295" s="1273"/>
      <c r="P295" s="1273"/>
      <c r="Q295" s="1273"/>
      <c r="R295" s="1273"/>
      <c r="S295" s="1273"/>
      <c r="T295" s="1273"/>
      <c r="U295" s="1273"/>
      <c r="V295" s="1273"/>
      <c r="W295" s="1274"/>
      <c r="X295" s="1274"/>
      <c r="Y295" s="1274"/>
      <c r="Z295" s="1274"/>
      <c r="AA295" s="1274"/>
      <c r="AB295" s="1274"/>
      <c r="AC295" s="1274"/>
      <c r="AD295" s="1274"/>
      <c r="AE295" s="1274"/>
      <c r="AF295" s="1274"/>
      <c r="AG295" s="1274"/>
      <c r="AH295" s="1274"/>
      <c r="AI295" s="1274"/>
      <c r="AJ295" s="1274"/>
      <c r="AK295" s="1274"/>
      <c r="AL295" s="1274"/>
      <c r="AM295" s="1274"/>
      <c r="AN295" s="1274"/>
      <c r="AO295" s="1274"/>
      <c r="AP295" s="1274"/>
      <c r="AQ295" s="1274"/>
      <c r="AR295" s="1274"/>
      <c r="AS295" s="1274"/>
      <c r="AT295" s="1274"/>
      <c r="AU295" s="1274"/>
      <c r="AV295" s="1274"/>
      <c r="AW295" s="1274"/>
      <c r="AX295" s="1274"/>
      <c r="AY295" s="1274"/>
      <c r="AZ295" s="1274"/>
      <c r="BA295" s="1274"/>
      <c r="BB295" s="1274"/>
      <c r="BC295" s="1274"/>
      <c r="BD295" s="1274"/>
      <c r="BE295" s="1274"/>
      <c r="BF295" s="1274"/>
      <c r="BG295" s="1274"/>
      <c r="BH295" s="1274"/>
      <c r="BI295" s="1274"/>
      <c r="BJ295" s="1274"/>
      <c r="BK295" s="1274"/>
      <c r="BL295" s="1274"/>
      <c r="BM295" s="1274"/>
      <c r="BN295" s="1274"/>
      <c r="BO295" s="1274"/>
      <c r="BP295" s="1274"/>
      <c r="BQ295" s="1274"/>
      <c r="BR295" s="1274"/>
      <c r="BS295" s="1274"/>
      <c r="BT295" s="1274"/>
      <c r="BU295" s="1274"/>
      <c r="BV295" s="1274"/>
      <c r="BW295" s="1274"/>
      <c r="BX295" s="1274"/>
      <c r="BY295" s="1274"/>
      <c r="BZ295" s="1274"/>
      <c r="CA295" s="1274"/>
      <c r="CB295" s="1274"/>
      <c r="CC295" s="1274"/>
      <c r="CD295" s="1274"/>
      <c r="CE295" s="1274"/>
      <c r="CF295" s="1274"/>
      <c r="CG295" s="1274"/>
      <c r="CH295" s="1269"/>
      <c r="CI295" s="1274"/>
      <c r="CJ295" s="1274"/>
      <c r="CK295" s="1274"/>
      <c r="CL295" s="1274"/>
      <c r="CM295" s="1274"/>
      <c r="CN295" s="1274"/>
      <c r="CO295" s="1274"/>
      <c r="CP295" s="1274"/>
      <c r="CQ295" s="1274"/>
      <c r="CR295" s="1274"/>
      <c r="CS295" s="1274"/>
      <c r="CT295" s="1274"/>
      <c r="CU295" s="1274"/>
      <c r="CV295" s="1274"/>
      <c r="CW295" s="1274"/>
      <c r="CX295" s="1274"/>
      <c r="CY295" s="1274"/>
      <c r="CZ295" s="1274"/>
      <c r="DA295" s="1274"/>
      <c r="DB295" s="1274"/>
      <c r="DC295" s="1274"/>
      <c r="DD295" s="1274"/>
      <c r="DE295" s="1274"/>
      <c r="DF295" s="1274"/>
      <c r="DG295" s="1274"/>
      <c r="DH295" s="1274"/>
      <c r="DI295" s="1274"/>
      <c r="DJ295" s="1274"/>
      <c r="DK295" s="1274"/>
      <c r="DL295" s="1274"/>
      <c r="DM295" s="1274"/>
      <c r="DN295" s="1274"/>
      <c r="DO295" s="1274"/>
      <c r="DP295" s="1274"/>
      <c r="DQ295" s="1274"/>
      <c r="DR295" s="1274"/>
      <c r="DS295" s="1274"/>
      <c r="DT295" s="1274"/>
      <c r="DU295" s="1274"/>
      <c r="DV295" s="1274"/>
      <c r="DW295" s="1274"/>
      <c r="DX295" s="1274"/>
      <c r="DY295" s="1274"/>
      <c r="DZ295" s="1274"/>
      <c r="EA295" s="1274"/>
      <c r="EB295" s="1273"/>
      <c r="EC295" s="1273"/>
      <c r="ED295" s="1273"/>
      <c r="EE295" s="1273"/>
      <c r="EF295" s="1273"/>
      <c r="EG295" s="1273"/>
      <c r="EH295" s="1273"/>
      <c r="EI295" s="1273"/>
      <c r="EJ295" s="1273"/>
      <c r="EK295" s="1273"/>
      <c r="EL295" s="1273"/>
      <c r="EM295" s="1313"/>
    </row>
    <row r="296" spans="1:143" s="1271" customFormat="1">
      <c r="A296" s="1284"/>
      <c r="B296" s="1272"/>
      <c r="C296" s="1272"/>
      <c r="D296" s="1273"/>
      <c r="E296" s="1273"/>
      <c r="F296" s="1273"/>
      <c r="G296" s="1273"/>
      <c r="H296" s="1273"/>
      <c r="I296" s="1273"/>
      <c r="J296" s="1273"/>
      <c r="K296" s="1273"/>
      <c r="L296" s="1273"/>
      <c r="M296" s="1273"/>
      <c r="N296" s="1273"/>
      <c r="O296" s="1273"/>
      <c r="P296" s="1273"/>
      <c r="Q296" s="1273"/>
      <c r="R296" s="1273"/>
      <c r="S296" s="1273"/>
      <c r="T296" s="1273"/>
      <c r="U296" s="1273"/>
      <c r="V296" s="1273"/>
      <c r="W296" s="1274"/>
      <c r="X296" s="1274"/>
      <c r="Y296" s="1274"/>
      <c r="Z296" s="1274"/>
      <c r="AA296" s="1274"/>
      <c r="AB296" s="1274"/>
      <c r="AC296" s="1274"/>
      <c r="AD296" s="1274"/>
      <c r="AE296" s="1274"/>
      <c r="AF296" s="1274"/>
      <c r="AG296" s="1274"/>
      <c r="AH296" s="1274"/>
      <c r="AI296" s="1274"/>
      <c r="AJ296" s="1274"/>
      <c r="AK296" s="1274"/>
      <c r="AL296" s="1274"/>
      <c r="AM296" s="1274"/>
      <c r="AN296" s="1274"/>
      <c r="AO296" s="1274"/>
      <c r="AP296" s="1274"/>
      <c r="AQ296" s="1274"/>
      <c r="AR296" s="1274"/>
      <c r="AS296" s="1274"/>
      <c r="AT296" s="1274"/>
      <c r="AU296" s="1274"/>
      <c r="AV296" s="1274"/>
      <c r="AW296" s="1274"/>
      <c r="AX296" s="1274"/>
      <c r="AY296" s="1274"/>
      <c r="AZ296" s="1274"/>
      <c r="BA296" s="1274"/>
      <c r="BB296" s="1274"/>
      <c r="BC296" s="1274"/>
      <c r="BD296" s="1274"/>
      <c r="BE296" s="1274"/>
      <c r="BF296" s="1274"/>
      <c r="BG296" s="1274"/>
      <c r="BH296" s="1274"/>
      <c r="BI296" s="1274"/>
      <c r="BJ296" s="1274"/>
      <c r="BK296" s="1274"/>
      <c r="BL296" s="1274"/>
      <c r="BM296" s="1274"/>
      <c r="BN296" s="1274"/>
      <c r="BO296" s="1274"/>
      <c r="BP296" s="1274"/>
      <c r="BQ296" s="1274"/>
      <c r="BR296" s="1274"/>
      <c r="BS296" s="1274"/>
      <c r="BT296" s="1274"/>
      <c r="BU296" s="1274"/>
      <c r="BV296" s="1274"/>
      <c r="BW296" s="1274"/>
      <c r="BX296" s="1274"/>
      <c r="BY296" s="1274"/>
      <c r="BZ296" s="1274"/>
      <c r="CA296" s="1274"/>
      <c r="CB296" s="1274"/>
      <c r="CC296" s="1274"/>
      <c r="CD296" s="1274"/>
      <c r="CE296" s="1274"/>
      <c r="CF296" s="1274"/>
      <c r="CG296" s="1274"/>
      <c r="CH296" s="1269"/>
      <c r="CI296" s="1274"/>
      <c r="CJ296" s="1274"/>
      <c r="CK296" s="1274"/>
      <c r="CL296" s="1274"/>
      <c r="CM296" s="1274"/>
      <c r="CN296" s="1274"/>
      <c r="CO296" s="1274"/>
      <c r="CP296" s="1274"/>
      <c r="CQ296" s="1274"/>
      <c r="CR296" s="1274"/>
      <c r="CS296" s="1274"/>
      <c r="CT296" s="1274"/>
      <c r="CU296" s="1274"/>
      <c r="CV296" s="1274"/>
      <c r="CW296" s="1274"/>
      <c r="CX296" s="1274"/>
      <c r="CY296" s="1274"/>
      <c r="CZ296" s="1274"/>
      <c r="DA296" s="1274"/>
      <c r="DB296" s="1274"/>
      <c r="DC296" s="1274"/>
      <c r="DD296" s="1274"/>
      <c r="DE296" s="1274"/>
      <c r="DF296" s="1274"/>
      <c r="DG296" s="1274"/>
      <c r="DH296" s="1274"/>
      <c r="DI296" s="1274"/>
      <c r="DJ296" s="1274"/>
      <c r="DK296" s="1274"/>
      <c r="DL296" s="1274"/>
      <c r="DM296" s="1274"/>
      <c r="DN296" s="1274"/>
      <c r="DO296" s="1274"/>
      <c r="DP296" s="1274"/>
      <c r="DQ296" s="1274"/>
      <c r="DR296" s="1274"/>
      <c r="DS296" s="1274"/>
      <c r="DT296" s="1274"/>
      <c r="DU296" s="1274"/>
      <c r="DV296" s="1274"/>
      <c r="DW296" s="1274"/>
      <c r="DX296" s="1274"/>
      <c r="DY296" s="1274"/>
      <c r="DZ296" s="1274"/>
      <c r="EA296" s="1274"/>
      <c r="EB296" s="1273"/>
      <c r="EC296" s="1273"/>
      <c r="ED296" s="1273"/>
      <c r="EE296" s="1273"/>
      <c r="EF296" s="1273"/>
      <c r="EG296" s="1273"/>
      <c r="EH296" s="1273"/>
      <c r="EI296" s="1273"/>
      <c r="EJ296" s="1273"/>
      <c r="EK296" s="1273"/>
      <c r="EL296" s="1273"/>
      <c r="EM296" s="1313"/>
    </row>
    <row r="297" spans="1:143" s="1271" customFormat="1">
      <c r="B297" s="1276"/>
      <c r="C297" s="1276"/>
      <c r="D297" s="1276"/>
      <c r="E297" s="1276"/>
      <c r="F297" s="1276"/>
      <c r="G297" s="1276"/>
      <c r="H297" s="1276"/>
      <c r="I297" s="1276"/>
      <c r="J297" s="1276"/>
      <c r="K297" s="1276"/>
      <c r="L297" s="1276"/>
      <c r="M297" s="1276"/>
      <c r="N297" s="1276"/>
      <c r="O297" s="1276"/>
      <c r="P297" s="1276"/>
      <c r="Q297" s="1276"/>
      <c r="R297" s="1276"/>
      <c r="S297" s="1276"/>
      <c r="T297" s="1276"/>
      <c r="U297" s="1276"/>
      <c r="V297" s="1276"/>
      <c r="W297" s="1277"/>
      <c r="X297" s="1277"/>
      <c r="Y297" s="1277"/>
      <c r="Z297" s="1277"/>
      <c r="AA297" s="1277"/>
      <c r="AB297" s="1277"/>
      <c r="AC297" s="1277"/>
      <c r="AD297" s="1277"/>
      <c r="AE297" s="1277"/>
      <c r="AF297" s="1277"/>
      <c r="AG297" s="1277"/>
      <c r="AH297" s="1277"/>
      <c r="AI297" s="1277"/>
      <c r="AJ297" s="1277"/>
      <c r="AK297" s="1277"/>
      <c r="AL297" s="1277"/>
      <c r="AM297" s="1277"/>
      <c r="AN297" s="1277"/>
      <c r="AO297" s="1277"/>
      <c r="AP297" s="1277"/>
      <c r="AQ297" s="1277"/>
      <c r="AR297" s="1277"/>
      <c r="AS297" s="1277"/>
      <c r="AT297" s="1277"/>
      <c r="AU297" s="1277"/>
      <c r="AV297" s="1277"/>
      <c r="AW297" s="1277"/>
      <c r="AX297" s="1277"/>
      <c r="AY297" s="1277"/>
      <c r="AZ297" s="1277"/>
      <c r="BA297" s="1277"/>
      <c r="BB297" s="1277"/>
      <c r="BC297" s="1277"/>
      <c r="BD297" s="1277"/>
      <c r="BE297" s="1277"/>
      <c r="BF297" s="1277"/>
      <c r="BG297" s="1277"/>
      <c r="BH297" s="1277"/>
      <c r="BI297" s="1277"/>
      <c r="BJ297" s="1277"/>
      <c r="BK297" s="1277"/>
      <c r="BL297" s="1277"/>
      <c r="BM297" s="1277"/>
      <c r="BN297" s="1277"/>
      <c r="BO297" s="1277"/>
      <c r="BP297" s="1277"/>
      <c r="BQ297" s="1277"/>
      <c r="BR297" s="1277"/>
      <c r="BS297" s="1277"/>
      <c r="BT297" s="1277"/>
      <c r="BU297" s="1277"/>
      <c r="BV297" s="1277"/>
      <c r="BW297" s="1277"/>
      <c r="BX297" s="1277"/>
      <c r="BY297" s="1277"/>
      <c r="BZ297" s="1277"/>
      <c r="CA297" s="1277"/>
      <c r="CB297" s="1277"/>
      <c r="CC297" s="1277"/>
      <c r="CD297" s="1277"/>
      <c r="CE297" s="1277"/>
      <c r="CF297" s="1277"/>
      <c r="CG297" s="1277"/>
      <c r="CH297" s="1269"/>
      <c r="CI297" s="1277"/>
      <c r="CJ297" s="1277"/>
      <c r="CK297" s="1277"/>
      <c r="CL297" s="1277"/>
      <c r="CM297" s="1277"/>
      <c r="CN297" s="1277"/>
      <c r="CO297" s="1277"/>
      <c r="CP297" s="1277"/>
      <c r="CQ297" s="1277"/>
      <c r="CR297" s="1277"/>
      <c r="CS297" s="1277"/>
      <c r="CT297" s="1277"/>
      <c r="CU297" s="1277"/>
      <c r="CV297" s="1277"/>
      <c r="CW297" s="1277"/>
      <c r="CX297" s="1277"/>
      <c r="CY297" s="1277"/>
      <c r="CZ297" s="1277"/>
      <c r="DA297" s="1277"/>
      <c r="DB297" s="1277"/>
      <c r="DC297" s="1277"/>
      <c r="DD297" s="1277"/>
      <c r="DE297" s="1277"/>
      <c r="DF297" s="1277"/>
      <c r="DG297" s="1277"/>
      <c r="DH297" s="1277"/>
      <c r="DI297" s="1277"/>
      <c r="DJ297" s="1277"/>
      <c r="DK297" s="1277"/>
      <c r="DL297" s="1277"/>
      <c r="DM297" s="1277"/>
      <c r="DN297" s="1277"/>
      <c r="DO297" s="1277"/>
      <c r="DP297" s="1277"/>
      <c r="DQ297" s="1277"/>
      <c r="DR297" s="1277"/>
      <c r="DS297" s="1277"/>
      <c r="DT297" s="1277"/>
      <c r="DU297" s="1277"/>
      <c r="DV297" s="1277"/>
      <c r="DW297" s="1277"/>
      <c r="DX297" s="1277"/>
      <c r="DY297" s="1277"/>
      <c r="DZ297" s="1277"/>
      <c r="EA297" s="1277"/>
      <c r="EB297" s="1276"/>
      <c r="EC297" s="1276"/>
      <c r="ED297" s="1276"/>
      <c r="EE297" s="1276"/>
      <c r="EF297" s="1276"/>
      <c r="EG297" s="1276"/>
      <c r="EH297" s="1276"/>
      <c r="EI297" s="1276"/>
      <c r="EJ297" s="1276"/>
      <c r="EK297" s="1275"/>
      <c r="EL297" s="1275"/>
      <c r="EM297" s="1313"/>
    </row>
    <row r="298" spans="1:143" s="1271" customFormat="1">
      <c r="B298" s="1276"/>
      <c r="C298" s="1276"/>
      <c r="D298" s="1276"/>
      <c r="E298" s="1276"/>
      <c r="F298" s="1276"/>
      <c r="G298" s="1276"/>
      <c r="H298" s="1276"/>
      <c r="I298" s="1276"/>
      <c r="J298" s="1276"/>
      <c r="K298" s="1276"/>
      <c r="L298" s="1276"/>
      <c r="M298" s="1276"/>
      <c r="N298" s="1276"/>
      <c r="O298" s="1276"/>
      <c r="P298" s="1276"/>
      <c r="Q298" s="1276"/>
      <c r="R298" s="1276"/>
      <c r="S298" s="1276"/>
      <c r="T298" s="1276"/>
      <c r="U298" s="1276"/>
      <c r="V298" s="1276"/>
      <c r="W298" s="1277"/>
      <c r="X298" s="1277"/>
      <c r="Y298" s="1277"/>
      <c r="Z298" s="1277"/>
      <c r="AA298" s="1277"/>
      <c r="AB298" s="1277"/>
      <c r="AC298" s="1277"/>
      <c r="AD298" s="1277"/>
      <c r="AE298" s="1277"/>
      <c r="AF298" s="1277"/>
      <c r="AG298" s="1277"/>
      <c r="AH298" s="1277"/>
      <c r="AI298" s="1277"/>
      <c r="AJ298" s="1277"/>
      <c r="AK298" s="1277"/>
      <c r="AL298" s="1277"/>
      <c r="AM298" s="1277"/>
      <c r="AN298" s="1277"/>
      <c r="AO298" s="1277"/>
      <c r="AP298" s="1277"/>
      <c r="AQ298" s="1277"/>
      <c r="AR298" s="1277"/>
      <c r="AS298" s="1277"/>
      <c r="AT298" s="1277"/>
      <c r="AU298" s="1277"/>
      <c r="AV298" s="1277"/>
      <c r="AW298" s="1277"/>
      <c r="AX298" s="1277"/>
      <c r="AY298" s="1277"/>
      <c r="AZ298" s="1277"/>
      <c r="BA298" s="1277"/>
      <c r="BB298" s="1277"/>
      <c r="BC298" s="1277"/>
      <c r="BD298" s="1277"/>
      <c r="BE298" s="1277"/>
      <c r="BF298" s="1277"/>
      <c r="BG298" s="1277"/>
      <c r="BH298" s="1277"/>
      <c r="BI298" s="1277"/>
      <c r="BJ298" s="1277"/>
      <c r="BK298" s="1277"/>
      <c r="BL298" s="1277"/>
      <c r="BM298" s="1277"/>
      <c r="BN298" s="1277"/>
      <c r="BO298" s="1277"/>
      <c r="BP298" s="1277"/>
      <c r="BQ298" s="1277"/>
      <c r="BR298" s="1277"/>
      <c r="BS298" s="1277"/>
      <c r="BT298" s="1277"/>
      <c r="BU298" s="1277"/>
      <c r="BV298" s="1277"/>
      <c r="BW298" s="1277"/>
      <c r="BX298" s="1277"/>
      <c r="BY298" s="1277"/>
      <c r="BZ298" s="1277"/>
      <c r="CA298" s="1277"/>
      <c r="CB298" s="1277"/>
      <c r="CC298" s="1277"/>
      <c r="CD298" s="1277"/>
      <c r="CE298" s="1277"/>
      <c r="CF298" s="1277"/>
      <c r="CG298" s="1277"/>
      <c r="CH298" s="1269"/>
      <c r="CI298" s="1277"/>
      <c r="CJ298" s="1277"/>
      <c r="CK298" s="1277"/>
      <c r="CL298" s="1277"/>
      <c r="CM298" s="1277"/>
      <c r="CN298" s="1277"/>
      <c r="CO298" s="1277"/>
      <c r="CP298" s="1277"/>
      <c r="CQ298" s="1277"/>
      <c r="CR298" s="1277"/>
      <c r="CS298" s="1277"/>
      <c r="CT298" s="1277"/>
      <c r="CU298" s="1277"/>
      <c r="CV298" s="1277"/>
      <c r="CW298" s="1277"/>
      <c r="CX298" s="1277"/>
      <c r="CY298" s="1277"/>
      <c r="CZ298" s="1277"/>
      <c r="DA298" s="1277"/>
      <c r="DB298" s="1277"/>
      <c r="DC298" s="1277"/>
      <c r="DD298" s="1277"/>
      <c r="DE298" s="1277"/>
      <c r="DF298" s="1277"/>
      <c r="DG298" s="1277"/>
      <c r="DH298" s="1277"/>
      <c r="DI298" s="1277"/>
      <c r="DJ298" s="1277"/>
      <c r="DK298" s="1277"/>
      <c r="DL298" s="1277"/>
      <c r="DM298" s="1277"/>
      <c r="DN298" s="1277"/>
      <c r="DO298" s="1277"/>
      <c r="DP298" s="1277"/>
      <c r="DQ298" s="1277"/>
      <c r="DR298" s="1277"/>
      <c r="DS298" s="1277"/>
      <c r="DT298" s="1277"/>
      <c r="DU298" s="1277"/>
      <c r="DV298" s="1277"/>
      <c r="DW298" s="1277"/>
      <c r="DX298" s="1277"/>
      <c r="DY298" s="1277"/>
      <c r="DZ298" s="1277"/>
      <c r="EA298" s="1277"/>
      <c r="EB298" s="1276"/>
      <c r="EC298" s="1276"/>
      <c r="ED298" s="1276"/>
      <c r="EE298" s="1276"/>
      <c r="EF298" s="1276"/>
      <c r="EG298" s="1276"/>
      <c r="EH298" s="1276"/>
      <c r="EI298" s="1276"/>
      <c r="EJ298" s="1276"/>
      <c r="EK298" s="1275"/>
      <c r="EL298" s="1275"/>
      <c r="EM298" s="1313"/>
    </row>
    <row r="299" spans="1:143" s="1271" customFormat="1">
      <c r="B299" s="1276"/>
      <c r="C299" s="1276"/>
      <c r="D299" s="1276"/>
      <c r="E299" s="1276"/>
      <c r="F299" s="1276"/>
      <c r="G299" s="1276"/>
      <c r="H299" s="1276"/>
      <c r="I299" s="1276"/>
      <c r="J299" s="1276"/>
      <c r="K299" s="1276"/>
      <c r="L299" s="1276"/>
      <c r="M299" s="1276"/>
      <c r="N299" s="1276"/>
      <c r="O299" s="1276"/>
      <c r="P299" s="1276"/>
      <c r="Q299" s="1276"/>
      <c r="R299" s="1276"/>
      <c r="S299" s="1276"/>
      <c r="T299" s="1276"/>
      <c r="U299" s="1276"/>
      <c r="V299" s="1276"/>
      <c r="W299" s="1277"/>
      <c r="X299" s="1277"/>
      <c r="Y299" s="1277"/>
      <c r="Z299" s="1277"/>
      <c r="AA299" s="1277"/>
      <c r="AB299" s="1277"/>
      <c r="AC299" s="1277"/>
      <c r="AD299" s="1277"/>
      <c r="AE299" s="1277"/>
      <c r="AF299" s="1277"/>
      <c r="AG299" s="1277"/>
      <c r="AH299" s="1277"/>
      <c r="AI299" s="1277"/>
      <c r="AJ299" s="1277"/>
      <c r="AK299" s="1277"/>
      <c r="AL299" s="1277"/>
      <c r="AM299" s="1277"/>
      <c r="AN299" s="1277"/>
      <c r="AO299" s="1277"/>
      <c r="AP299" s="1277"/>
      <c r="AQ299" s="1277"/>
      <c r="AR299" s="1277"/>
      <c r="AS299" s="1277"/>
      <c r="AT299" s="1277"/>
      <c r="AU299" s="1277"/>
      <c r="AV299" s="1277"/>
      <c r="AW299" s="1277"/>
      <c r="AX299" s="1277"/>
      <c r="AY299" s="1277"/>
      <c r="AZ299" s="1277"/>
      <c r="BA299" s="1277"/>
      <c r="BB299" s="1277"/>
      <c r="BC299" s="1277"/>
      <c r="BD299" s="1277"/>
      <c r="BE299" s="1277"/>
      <c r="BF299" s="1277"/>
      <c r="BG299" s="1277"/>
      <c r="BH299" s="1277"/>
      <c r="BI299" s="1277"/>
      <c r="BJ299" s="1277"/>
      <c r="BK299" s="1277"/>
      <c r="BL299" s="1277"/>
      <c r="BM299" s="1277"/>
      <c r="BN299" s="1277"/>
      <c r="BO299" s="1277"/>
      <c r="BP299" s="1277"/>
      <c r="BQ299" s="1277"/>
      <c r="BR299" s="1277"/>
      <c r="BS299" s="1277"/>
      <c r="BT299" s="1277"/>
      <c r="BU299" s="1277"/>
      <c r="BV299" s="1277"/>
      <c r="BW299" s="1277"/>
      <c r="BX299" s="1277"/>
      <c r="BY299" s="1277"/>
      <c r="BZ299" s="1277"/>
      <c r="CA299" s="1277"/>
      <c r="CB299" s="1277"/>
      <c r="CC299" s="1277"/>
      <c r="CD299" s="1277"/>
      <c r="CE299" s="1277"/>
      <c r="CF299" s="1277"/>
      <c r="CG299" s="1277"/>
      <c r="CH299" s="1269"/>
      <c r="CI299" s="1277"/>
      <c r="CJ299" s="1277"/>
      <c r="CK299" s="1277"/>
      <c r="CL299" s="1277"/>
      <c r="CM299" s="1277"/>
      <c r="CN299" s="1277"/>
      <c r="CO299" s="1277"/>
      <c r="CP299" s="1277"/>
      <c r="CQ299" s="1277"/>
      <c r="CR299" s="1277"/>
      <c r="CS299" s="1277"/>
      <c r="CT299" s="1277"/>
      <c r="CU299" s="1277"/>
      <c r="CV299" s="1277"/>
      <c r="CW299" s="1277"/>
      <c r="CX299" s="1277"/>
      <c r="CY299" s="1277"/>
      <c r="CZ299" s="1277"/>
      <c r="DA299" s="1277"/>
      <c r="DB299" s="1277"/>
      <c r="DC299" s="1277"/>
      <c r="DD299" s="1277"/>
      <c r="DE299" s="1277"/>
      <c r="DF299" s="1277"/>
      <c r="DG299" s="1277"/>
      <c r="DH299" s="1277"/>
      <c r="DI299" s="1277"/>
      <c r="DJ299" s="1277"/>
      <c r="DK299" s="1277"/>
      <c r="DL299" s="1277"/>
      <c r="DM299" s="1277"/>
      <c r="DN299" s="1277"/>
      <c r="DO299" s="1277"/>
      <c r="DP299" s="1277"/>
      <c r="DQ299" s="1277"/>
      <c r="DR299" s="1277"/>
      <c r="DS299" s="1277"/>
      <c r="DT299" s="1277"/>
      <c r="DU299" s="1277"/>
      <c r="DV299" s="1277"/>
      <c r="DW299" s="1277"/>
      <c r="DX299" s="1277"/>
      <c r="DY299" s="1277"/>
      <c r="DZ299" s="1277"/>
      <c r="EA299" s="1277"/>
      <c r="EB299" s="1276"/>
      <c r="EC299" s="1276"/>
      <c r="ED299" s="1276"/>
      <c r="EE299" s="1276"/>
      <c r="EF299" s="1276"/>
      <c r="EG299" s="1276"/>
      <c r="EH299" s="1276"/>
      <c r="EI299" s="1276"/>
      <c r="EJ299" s="1276"/>
      <c r="EK299" s="1275"/>
      <c r="EL299" s="1275"/>
      <c r="EM299" s="1313"/>
    </row>
    <row r="300" spans="1:143" s="1271" customFormat="1">
      <c r="B300" s="1276"/>
      <c r="C300" s="1276"/>
      <c r="D300" s="1276"/>
      <c r="E300" s="1276"/>
      <c r="F300" s="1276"/>
      <c r="G300" s="1276"/>
      <c r="H300" s="1276"/>
      <c r="I300" s="1276"/>
      <c r="J300" s="1276"/>
      <c r="K300" s="1276"/>
      <c r="L300" s="1276"/>
      <c r="M300" s="1276"/>
      <c r="N300" s="1276"/>
      <c r="O300" s="1276"/>
      <c r="P300" s="1276"/>
      <c r="Q300" s="1276"/>
      <c r="R300" s="1276"/>
      <c r="S300" s="1276"/>
      <c r="T300" s="1276"/>
      <c r="U300" s="1276"/>
      <c r="V300" s="1276"/>
      <c r="W300" s="1277"/>
      <c r="X300" s="1277"/>
      <c r="Y300" s="1277"/>
      <c r="Z300" s="1277"/>
      <c r="AA300" s="1277"/>
      <c r="AB300" s="1277"/>
      <c r="AC300" s="1277"/>
      <c r="AD300" s="1277"/>
      <c r="AE300" s="1277"/>
      <c r="AF300" s="1277"/>
      <c r="AG300" s="1277"/>
      <c r="AH300" s="1277"/>
      <c r="AI300" s="1277"/>
      <c r="AJ300" s="1277"/>
      <c r="AK300" s="1277"/>
      <c r="AL300" s="1277"/>
      <c r="AM300" s="1277"/>
      <c r="AN300" s="1277"/>
      <c r="AO300" s="1277"/>
      <c r="AP300" s="1277"/>
      <c r="AQ300" s="1277"/>
      <c r="AR300" s="1277"/>
      <c r="AS300" s="1277"/>
      <c r="AT300" s="1277"/>
      <c r="AU300" s="1277"/>
      <c r="AV300" s="1277"/>
      <c r="AW300" s="1277"/>
      <c r="AX300" s="1277"/>
      <c r="AY300" s="1277"/>
      <c r="AZ300" s="1277"/>
      <c r="BA300" s="1277"/>
      <c r="BB300" s="1277"/>
      <c r="BC300" s="1277"/>
      <c r="BD300" s="1277"/>
      <c r="BE300" s="1277"/>
      <c r="BF300" s="1277"/>
      <c r="BG300" s="1277"/>
      <c r="BH300" s="1277"/>
      <c r="BI300" s="1277"/>
      <c r="BJ300" s="1277"/>
      <c r="BK300" s="1277"/>
      <c r="BL300" s="1277"/>
      <c r="BM300" s="1277"/>
      <c r="BN300" s="1277"/>
      <c r="BO300" s="1277"/>
      <c r="BP300" s="1277"/>
      <c r="BQ300" s="1277"/>
      <c r="BR300" s="1277"/>
      <c r="BS300" s="1277"/>
      <c r="BT300" s="1277"/>
      <c r="BU300" s="1277"/>
      <c r="BV300" s="1277"/>
      <c r="BW300" s="1277"/>
      <c r="BX300" s="1277"/>
      <c r="BY300" s="1277"/>
      <c r="BZ300" s="1277"/>
      <c r="CA300" s="1277"/>
      <c r="CB300" s="1277"/>
      <c r="CC300" s="1277"/>
      <c r="CD300" s="1277"/>
      <c r="CE300" s="1277"/>
      <c r="CF300" s="1277"/>
      <c r="CG300" s="1277"/>
      <c r="CH300" s="1269"/>
      <c r="CI300" s="1277"/>
      <c r="CJ300" s="1277"/>
      <c r="CK300" s="1277"/>
      <c r="CL300" s="1277"/>
      <c r="CM300" s="1277"/>
      <c r="CN300" s="1277"/>
      <c r="CO300" s="1277"/>
      <c r="CP300" s="1277"/>
      <c r="CQ300" s="1277"/>
      <c r="CR300" s="1277"/>
      <c r="CS300" s="1277"/>
      <c r="CT300" s="1277"/>
      <c r="CU300" s="1277"/>
      <c r="CV300" s="1277"/>
      <c r="CW300" s="1277"/>
      <c r="CX300" s="1277"/>
      <c r="CY300" s="1277"/>
      <c r="CZ300" s="1277"/>
      <c r="DA300" s="1277"/>
      <c r="DB300" s="1277"/>
      <c r="DC300" s="1277"/>
      <c r="DD300" s="1277"/>
      <c r="DE300" s="1277"/>
      <c r="DF300" s="1277"/>
      <c r="DG300" s="1277"/>
      <c r="DH300" s="1277"/>
      <c r="DI300" s="1277"/>
      <c r="DJ300" s="1277"/>
      <c r="DK300" s="1277"/>
      <c r="DL300" s="1277"/>
      <c r="DM300" s="1277"/>
      <c r="DN300" s="1277"/>
      <c r="DO300" s="1277"/>
      <c r="DP300" s="1277"/>
      <c r="DQ300" s="1277"/>
      <c r="DR300" s="1277"/>
      <c r="DS300" s="1277"/>
      <c r="DT300" s="1277"/>
      <c r="DU300" s="1277"/>
      <c r="DV300" s="1277"/>
      <c r="DW300" s="1277"/>
      <c r="DX300" s="1277"/>
      <c r="DY300" s="1277"/>
      <c r="DZ300" s="1277"/>
      <c r="EA300" s="1277"/>
      <c r="EB300" s="1276"/>
      <c r="EC300" s="1276"/>
      <c r="ED300" s="1276"/>
      <c r="EE300" s="1276"/>
      <c r="EF300" s="1276"/>
      <c r="EG300" s="1276"/>
      <c r="EH300" s="1276"/>
      <c r="EI300" s="1276"/>
      <c r="EJ300" s="1276"/>
      <c r="EK300" s="1275"/>
      <c r="EL300" s="1275"/>
      <c r="EM300" s="1313"/>
    </row>
    <row r="301" spans="1:143" s="1271" customFormat="1">
      <c r="B301" s="1276"/>
      <c r="C301" s="1276"/>
      <c r="D301" s="1276"/>
      <c r="E301" s="1276"/>
      <c r="F301" s="1276"/>
      <c r="G301" s="1276"/>
      <c r="H301" s="1276"/>
      <c r="I301" s="1276"/>
      <c r="J301" s="1276"/>
      <c r="K301" s="1276"/>
      <c r="L301" s="1276"/>
      <c r="M301" s="1276"/>
      <c r="N301" s="1276"/>
      <c r="O301" s="1276"/>
      <c r="P301" s="1276"/>
      <c r="Q301" s="1276"/>
      <c r="R301" s="1276"/>
      <c r="S301" s="1276"/>
      <c r="T301" s="1276"/>
      <c r="U301" s="1276"/>
      <c r="V301" s="1276"/>
      <c r="W301" s="1277"/>
      <c r="X301" s="1277"/>
      <c r="Y301" s="1277"/>
      <c r="Z301" s="1277"/>
      <c r="AA301" s="1277"/>
      <c r="AB301" s="1277"/>
      <c r="AC301" s="1277"/>
      <c r="AD301" s="1277"/>
      <c r="AE301" s="1277"/>
      <c r="AF301" s="1277"/>
      <c r="AG301" s="1277"/>
      <c r="AH301" s="1277"/>
      <c r="AI301" s="1277"/>
      <c r="AJ301" s="1277"/>
      <c r="AK301" s="1277"/>
      <c r="AL301" s="1277"/>
      <c r="AM301" s="1277"/>
      <c r="AN301" s="1277"/>
      <c r="AO301" s="1277"/>
      <c r="AP301" s="1277"/>
      <c r="AQ301" s="1277"/>
      <c r="AR301" s="1277"/>
      <c r="AS301" s="1277"/>
      <c r="AT301" s="1277"/>
      <c r="AU301" s="1277"/>
      <c r="AV301" s="1277"/>
      <c r="AW301" s="1277"/>
      <c r="AX301" s="1277"/>
      <c r="AY301" s="1277"/>
      <c r="AZ301" s="1277"/>
      <c r="BA301" s="1277"/>
      <c r="BB301" s="1277"/>
      <c r="BC301" s="1277"/>
      <c r="BD301" s="1277"/>
      <c r="BE301" s="1277"/>
      <c r="BF301" s="1277"/>
      <c r="BG301" s="1277"/>
      <c r="BH301" s="1277"/>
      <c r="BI301" s="1277"/>
      <c r="BJ301" s="1277"/>
      <c r="BK301" s="1277"/>
      <c r="BL301" s="1277"/>
      <c r="BM301" s="1277"/>
      <c r="BN301" s="1277"/>
      <c r="BO301" s="1277"/>
      <c r="BP301" s="1277"/>
      <c r="BQ301" s="1277"/>
      <c r="BR301" s="1277"/>
      <c r="BS301" s="1277"/>
      <c r="BT301" s="1277"/>
      <c r="BU301" s="1277"/>
      <c r="BV301" s="1277"/>
      <c r="BW301" s="1277"/>
      <c r="BX301" s="1277"/>
      <c r="BY301" s="1277"/>
      <c r="BZ301" s="1277"/>
      <c r="CA301" s="1277"/>
      <c r="CB301" s="1277"/>
      <c r="CC301" s="1277"/>
      <c r="CD301" s="1277"/>
      <c r="CE301" s="1277"/>
      <c r="CF301" s="1277"/>
      <c r="CG301" s="1277"/>
      <c r="CH301" s="1269"/>
      <c r="CI301" s="1277"/>
      <c r="CJ301" s="1277"/>
      <c r="CK301" s="1277"/>
      <c r="CL301" s="1277"/>
      <c r="CM301" s="1277"/>
      <c r="CN301" s="1277"/>
      <c r="CO301" s="1277"/>
      <c r="CP301" s="1277"/>
      <c r="CQ301" s="1277"/>
      <c r="CR301" s="1277"/>
      <c r="CS301" s="1277"/>
      <c r="CT301" s="1277"/>
      <c r="CU301" s="1277"/>
      <c r="CV301" s="1277"/>
      <c r="CW301" s="1277"/>
      <c r="CX301" s="1277"/>
      <c r="CY301" s="1277"/>
      <c r="CZ301" s="1277"/>
      <c r="DA301" s="1277"/>
      <c r="DB301" s="1277"/>
      <c r="DC301" s="1277"/>
      <c r="DD301" s="1277"/>
      <c r="DE301" s="1277"/>
      <c r="DF301" s="1277"/>
      <c r="DG301" s="1277"/>
      <c r="DH301" s="1277"/>
      <c r="DI301" s="1277"/>
      <c r="DJ301" s="1277"/>
      <c r="DK301" s="1277"/>
      <c r="DL301" s="1277"/>
      <c r="DM301" s="1277"/>
      <c r="DN301" s="1277"/>
      <c r="DO301" s="1277"/>
      <c r="DP301" s="1277"/>
      <c r="DQ301" s="1277"/>
      <c r="DR301" s="1277"/>
      <c r="DS301" s="1277"/>
      <c r="DT301" s="1277"/>
      <c r="DU301" s="1277"/>
      <c r="DV301" s="1277"/>
      <c r="DW301" s="1277"/>
      <c r="DX301" s="1277"/>
      <c r="DY301" s="1277"/>
      <c r="DZ301" s="1277"/>
      <c r="EA301" s="1277"/>
      <c r="EB301" s="1276"/>
      <c r="EC301" s="1276"/>
      <c r="ED301" s="1276"/>
      <c r="EE301" s="1276"/>
      <c r="EF301" s="1276"/>
      <c r="EG301" s="1276"/>
      <c r="EH301" s="1276"/>
      <c r="EI301" s="1276"/>
      <c r="EJ301" s="1276"/>
      <c r="EK301" s="1275"/>
      <c r="EL301" s="1275"/>
      <c r="EM301" s="1313"/>
    </row>
    <row r="302" spans="1:143" s="1271" customFormat="1">
      <c r="B302" s="1276"/>
      <c r="C302" s="1276"/>
      <c r="D302" s="1276"/>
      <c r="E302" s="1276"/>
      <c r="F302" s="1276"/>
      <c r="G302" s="1276"/>
      <c r="H302" s="1276"/>
      <c r="I302" s="1276"/>
      <c r="J302" s="1276"/>
      <c r="K302" s="1276"/>
      <c r="L302" s="1276"/>
      <c r="M302" s="1276"/>
      <c r="N302" s="1276"/>
      <c r="O302" s="1276"/>
      <c r="P302" s="1276"/>
      <c r="Q302" s="1276"/>
      <c r="R302" s="1276"/>
      <c r="S302" s="1276"/>
      <c r="T302" s="1276"/>
      <c r="U302" s="1276"/>
      <c r="V302" s="1276"/>
      <c r="W302" s="1277"/>
      <c r="X302" s="1277"/>
      <c r="Y302" s="1277"/>
      <c r="Z302" s="1277"/>
      <c r="AA302" s="1277"/>
      <c r="AB302" s="1277"/>
      <c r="AC302" s="1277"/>
      <c r="AD302" s="1277"/>
      <c r="AE302" s="1277"/>
      <c r="AF302" s="1277"/>
      <c r="AG302" s="1277"/>
      <c r="AH302" s="1277"/>
      <c r="AI302" s="1277"/>
      <c r="AJ302" s="1277"/>
      <c r="AK302" s="1277"/>
      <c r="AL302" s="1277"/>
      <c r="AM302" s="1277"/>
      <c r="AN302" s="1277"/>
      <c r="AO302" s="1277"/>
      <c r="AP302" s="1277"/>
      <c r="AQ302" s="1277"/>
      <c r="AR302" s="1277"/>
      <c r="AS302" s="1277"/>
      <c r="AT302" s="1277"/>
      <c r="AU302" s="1277"/>
      <c r="AV302" s="1277"/>
      <c r="AW302" s="1277"/>
      <c r="AX302" s="1277"/>
      <c r="AY302" s="1277"/>
      <c r="AZ302" s="1277"/>
      <c r="BA302" s="1277"/>
      <c r="BB302" s="1277"/>
      <c r="BC302" s="1277"/>
      <c r="BD302" s="1277"/>
      <c r="BE302" s="1277"/>
      <c r="BF302" s="1277"/>
      <c r="BG302" s="1277"/>
      <c r="BH302" s="1277"/>
      <c r="BI302" s="1277"/>
      <c r="BJ302" s="1277"/>
      <c r="BK302" s="1277"/>
      <c r="BL302" s="1277"/>
      <c r="BM302" s="1277"/>
      <c r="BN302" s="1277"/>
      <c r="BO302" s="1277"/>
      <c r="BP302" s="1277"/>
      <c r="BQ302" s="1277"/>
      <c r="BR302" s="1277"/>
      <c r="BS302" s="1277"/>
      <c r="BT302" s="1277"/>
      <c r="BU302" s="1277"/>
      <c r="BV302" s="1277"/>
      <c r="BW302" s="1277"/>
      <c r="BX302" s="1277"/>
      <c r="BY302" s="1277"/>
      <c r="BZ302" s="1277"/>
      <c r="CA302" s="1277"/>
      <c r="CB302" s="1277"/>
      <c r="CC302" s="1277"/>
      <c r="CD302" s="1277"/>
      <c r="CE302" s="1277"/>
      <c r="CF302" s="1277"/>
      <c r="CG302" s="1277"/>
      <c r="CH302" s="1269"/>
      <c r="CI302" s="1277"/>
      <c r="CJ302" s="1277"/>
      <c r="CK302" s="1277"/>
      <c r="CL302" s="1277"/>
      <c r="CM302" s="1277"/>
      <c r="CN302" s="1277"/>
      <c r="CO302" s="1277"/>
      <c r="CP302" s="1277"/>
      <c r="CQ302" s="1277"/>
      <c r="CR302" s="1277"/>
      <c r="CS302" s="1277"/>
      <c r="CT302" s="1277"/>
      <c r="CU302" s="1277"/>
      <c r="CV302" s="1277"/>
      <c r="CW302" s="1277"/>
      <c r="CX302" s="1277"/>
      <c r="CY302" s="1277"/>
      <c r="CZ302" s="1277"/>
      <c r="DA302" s="1277"/>
      <c r="DB302" s="1277"/>
      <c r="DC302" s="1277"/>
      <c r="DD302" s="1277"/>
      <c r="DE302" s="1277"/>
      <c r="DF302" s="1277"/>
      <c r="DG302" s="1277"/>
      <c r="DH302" s="1277"/>
      <c r="DI302" s="1277"/>
      <c r="DJ302" s="1277"/>
      <c r="DK302" s="1277"/>
      <c r="DL302" s="1277"/>
      <c r="DM302" s="1277"/>
      <c r="DN302" s="1277"/>
      <c r="DO302" s="1277"/>
      <c r="DP302" s="1277"/>
      <c r="DQ302" s="1277"/>
      <c r="DR302" s="1277"/>
      <c r="DS302" s="1277"/>
      <c r="DT302" s="1277"/>
      <c r="DU302" s="1277"/>
      <c r="DV302" s="1277"/>
      <c r="DW302" s="1277"/>
      <c r="DX302" s="1277"/>
      <c r="DY302" s="1277"/>
      <c r="DZ302" s="1277"/>
      <c r="EA302" s="1277"/>
      <c r="EB302" s="1276"/>
      <c r="EC302" s="1276"/>
      <c r="ED302" s="1276"/>
      <c r="EE302" s="1276"/>
      <c r="EF302" s="1276"/>
      <c r="EG302" s="1276"/>
      <c r="EH302" s="1276"/>
      <c r="EI302" s="1276"/>
      <c r="EJ302" s="1276"/>
      <c r="EK302" s="1275"/>
      <c r="EL302" s="1275"/>
      <c r="EM302" s="1313"/>
    </row>
    <row r="303" spans="1:143" s="1271" customFormat="1">
      <c r="B303" s="1276"/>
      <c r="C303" s="1276"/>
      <c r="D303" s="1276"/>
      <c r="E303" s="1276"/>
      <c r="F303" s="1276"/>
      <c r="G303" s="1276"/>
      <c r="H303" s="1276"/>
      <c r="I303" s="1276"/>
      <c r="J303" s="1276"/>
      <c r="K303" s="1276"/>
      <c r="L303" s="1276"/>
      <c r="M303" s="1276"/>
      <c r="N303" s="1276"/>
      <c r="O303" s="1276"/>
      <c r="P303" s="1276"/>
      <c r="Q303" s="1276"/>
      <c r="R303" s="1276"/>
      <c r="S303" s="1276"/>
      <c r="T303" s="1276"/>
      <c r="U303" s="1276"/>
      <c r="V303" s="1276"/>
      <c r="W303" s="1277"/>
      <c r="X303" s="1277"/>
      <c r="Y303" s="1277"/>
      <c r="Z303" s="1277"/>
      <c r="AA303" s="1277"/>
      <c r="AB303" s="1277"/>
      <c r="AC303" s="1277"/>
      <c r="AD303" s="1277"/>
      <c r="AE303" s="1277"/>
      <c r="AF303" s="1277"/>
      <c r="AG303" s="1277"/>
      <c r="AH303" s="1277"/>
      <c r="AI303" s="1277"/>
      <c r="AJ303" s="1277"/>
      <c r="AK303" s="1277"/>
      <c r="AL303" s="1277"/>
      <c r="AM303" s="1277"/>
      <c r="AN303" s="1277"/>
      <c r="AO303" s="1277"/>
      <c r="AP303" s="1277"/>
      <c r="AQ303" s="1277"/>
      <c r="AR303" s="1277"/>
      <c r="AS303" s="1277"/>
      <c r="AT303" s="1277"/>
      <c r="AU303" s="1277"/>
      <c r="AV303" s="1277"/>
      <c r="AW303" s="1277"/>
      <c r="AX303" s="1277"/>
      <c r="AY303" s="1277"/>
      <c r="AZ303" s="1277"/>
      <c r="BA303" s="1277"/>
      <c r="BB303" s="1277"/>
      <c r="BC303" s="1277"/>
      <c r="BD303" s="1277"/>
      <c r="BE303" s="1277"/>
      <c r="BF303" s="1277"/>
      <c r="BG303" s="1277"/>
      <c r="BH303" s="1277"/>
      <c r="BI303" s="1277"/>
      <c r="BJ303" s="1277"/>
      <c r="BK303" s="1277"/>
      <c r="BL303" s="1277"/>
      <c r="BM303" s="1277"/>
      <c r="BN303" s="1277"/>
      <c r="BO303" s="1277"/>
      <c r="BP303" s="1277"/>
      <c r="BQ303" s="1277"/>
      <c r="BR303" s="1277"/>
      <c r="BS303" s="1277"/>
      <c r="BT303" s="1277"/>
      <c r="BU303" s="1277"/>
      <c r="BV303" s="1277"/>
      <c r="BW303" s="1277"/>
      <c r="BX303" s="1277"/>
      <c r="BY303" s="1277"/>
      <c r="BZ303" s="1277"/>
      <c r="CA303" s="1277"/>
      <c r="CB303" s="1277"/>
      <c r="CC303" s="1277"/>
      <c r="CD303" s="1277"/>
      <c r="CE303" s="1277"/>
      <c r="CF303" s="1277"/>
      <c r="CG303" s="1277"/>
      <c r="CH303" s="1269"/>
      <c r="CI303" s="1277"/>
      <c r="CJ303" s="1277"/>
      <c r="CK303" s="1277"/>
      <c r="CL303" s="1277"/>
      <c r="CM303" s="1277"/>
      <c r="CN303" s="1277"/>
      <c r="CO303" s="1277"/>
      <c r="CP303" s="1277"/>
      <c r="CQ303" s="1277"/>
      <c r="CR303" s="1277"/>
      <c r="CS303" s="1277"/>
      <c r="CT303" s="1277"/>
      <c r="CU303" s="1277"/>
      <c r="CV303" s="1277"/>
      <c r="CW303" s="1277"/>
      <c r="CX303" s="1277"/>
      <c r="CY303" s="1277"/>
      <c r="CZ303" s="1277"/>
      <c r="DA303" s="1277"/>
      <c r="DB303" s="1277"/>
      <c r="DC303" s="1277"/>
      <c r="DD303" s="1277"/>
      <c r="DE303" s="1277"/>
      <c r="DF303" s="1277"/>
      <c r="DG303" s="1277"/>
      <c r="DH303" s="1277"/>
      <c r="DI303" s="1277"/>
      <c r="DJ303" s="1277"/>
      <c r="DK303" s="1277"/>
      <c r="DL303" s="1277"/>
      <c r="DM303" s="1277"/>
      <c r="DN303" s="1277"/>
      <c r="DO303" s="1277"/>
      <c r="DP303" s="1277"/>
      <c r="DQ303" s="1277"/>
      <c r="DR303" s="1277"/>
      <c r="DS303" s="1277"/>
      <c r="DT303" s="1277"/>
      <c r="DU303" s="1277"/>
      <c r="DV303" s="1277"/>
      <c r="DW303" s="1277"/>
      <c r="DX303" s="1277"/>
      <c r="DY303" s="1277"/>
      <c r="DZ303" s="1277"/>
      <c r="EA303" s="1277"/>
      <c r="EB303" s="1276"/>
      <c r="EC303" s="1276"/>
      <c r="ED303" s="1276"/>
      <c r="EE303" s="1276"/>
      <c r="EF303" s="1276"/>
      <c r="EG303" s="1276"/>
      <c r="EH303" s="1276"/>
      <c r="EI303" s="1276"/>
      <c r="EJ303" s="1276"/>
      <c r="EK303" s="1275"/>
      <c r="EL303" s="1275"/>
      <c r="EM303" s="1313"/>
    </row>
    <row r="304" spans="1:143" s="1271" customFormat="1">
      <c r="B304" s="1276"/>
      <c r="C304" s="1276"/>
      <c r="D304" s="1276"/>
      <c r="E304" s="1276"/>
      <c r="F304" s="1276"/>
      <c r="G304" s="1276"/>
      <c r="H304" s="1276"/>
      <c r="I304" s="1276"/>
      <c r="J304" s="1276"/>
      <c r="K304" s="1276"/>
      <c r="L304" s="1276"/>
      <c r="M304" s="1276"/>
      <c r="N304" s="1276"/>
      <c r="O304" s="1276"/>
      <c r="P304" s="1276"/>
      <c r="Q304" s="1276"/>
      <c r="R304" s="1276"/>
      <c r="S304" s="1276"/>
      <c r="T304" s="1276"/>
      <c r="U304" s="1276"/>
      <c r="V304" s="1276"/>
      <c r="W304" s="1277"/>
      <c r="X304" s="1277"/>
      <c r="Y304" s="1277"/>
      <c r="Z304" s="1277"/>
      <c r="AA304" s="1277"/>
      <c r="AB304" s="1277"/>
      <c r="AC304" s="1277"/>
      <c r="AD304" s="1277"/>
      <c r="AE304" s="1277"/>
      <c r="AF304" s="1277"/>
      <c r="AG304" s="1277"/>
      <c r="AH304" s="1277"/>
      <c r="AI304" s="1277"/>
      <c r="AJ304" s="1277"/>
      <c r="AK304" s="1277"/>
      <c r="AL304" s="1277"/>
      <c r="AM304" s="1277"/>
      <c r="AN304" s="1277"/>
      <c r="AO304" s="1277"/>
      <c r="AP304" s="1277"/>
      <c r="AQ304" s="1277"/>
      <c r="AR304" s="1277"/>
      <c r="AS304" s="1277"/>
      <c r="AT304" s="1277"/>
      <c r="AU304" s="1277"/>
      <c r="AV304" s="1277"/>
      <c r="AW304" s="1277"/>
      <c r="AX304" s="1277"/>
      <c r="AY304" s="1277"/>
      <c r="AZ304" s="1277"/>
      <c r="BA304" s="1277"/>
      <c r="BB304" s="1277"/>
      <c r="BC304" s="1277"/>
      <c r="BD304" s="1277"/>
      <c r="BE304" s="1277"/>
      <c r="BF304" s="1277"/>
      <c r="BG304" s="1277"/>
      <c r="BH304" s="1277"/>
      <c r="BI304" s="1277"/>
      <c r="BJ304" s="1277"/>
      <c r="BK304" s="1277"/>
      <c r="BL304" s="1277"/>
      <c r="BM304" s="1277"/>
      <c r="BN304" s="1277"/>
      <c r="BO304" s="1277"/>
      <c r="BP304" s="1277"/>
      <c r="BQ304" s="1277"/>
      <c r="BR304" s="1277"/>
      <c r="BS304" s="1277"/>
      <c r="BT304" s="1277"/>
      <c r="BU304" s="1277"/>
      <c r="BV304" s="1277"/>
      <c r="BW304" s="1277"/>
      <c r="BX304" s="1277"/>
      <c r="BY304" s="1277"/>
      <c r="BZ304" s="1277"/>
      <c r="CA304" s="1277"/>
      <c r="CB304" s="1277"/>
      <c r="CC304" s="1277"/>
      <c r="CD304" s="1277"/>
      <c r="CE304" s="1277"/>
      <c r="CF304" s="1277"/>
      <c r="CG304" s="1277"/>
      <c r="CH304" s="1269"/>
      <c r="CI304" s="1277"/>
      <c r="CJ304" s="1277"/>
      <c r="CK304" s="1277"/>
      <c r="CL304" s="1277"/>
      <c r="CM304" s="1277"/>
      <c r="CN304" s="1277"/>
      <c r="CO304" s="1277"/>
      <c r="CP304" s="1277"/>
      <c r="CQ304" s="1277"/>
      <c r="CR304" s="1277"/>
      <c r="CS304" s="1277"/>
      <c r="CT304" s="1277"/>
      <c r="CU304" s="1277"/>
      <c r="CV304" s="1277"/>
      <c r="CW304" s="1277"/>
      <c r="CX304" s="1277"/>
      <c r="CY304" s="1277"/>
      <c r="CZ304" s="1277"/>
      <c r="DA304" s="1277"/>
      <c r="DB304" s="1277"/>
      <c r="DC304" s="1277"/>
      <c r="DD304" s="1277"/>
      <c r="DE304" s="1277"/>
      <c r="DF304" s="1277"/>
      <c r="DG304" s="1277"/>
      <c r="DH304" s="1277"/>
      <c r="DI304" s="1277"/>
      <c r="DJ304" s="1277"/>
      <c r="DK304" s="1277"/>
      <c r="DL304" s="1277"/>
      <c r="DM304" s="1277"/>
      <c r="DN304" s="1277"/>
      <c r="DO304" s="1277"/>
      <c r="DP304" s="1277"/>
      <c r="DQ304" s="1277"/>
      <c r="DR304" s="1277"/>
      <c r="DS304" s="1277"/>
      <c r="DT304" s="1277"/>
      <c r="DU304" s="1277"/>
      <c r="DV304" s="1277"/>
      <c r="DW304" s="1277"/>
      <c r="DX304" s="1277"/>
      <c r="DY304" s="1277"/>
      <c r="DZ304" s="1277"/>
      <c r="EA304" s="1277"/>
      <c r="EB304" s="1276"/>
      <c r="EC304" s="1276"/>
      <c r="ED304" s="1276"/>
      <c r="EE304" s="1276"/>
      <c r="EF304" s="1276"/>
      <c r="EG304" s="1276"/>
      <c r="EH304" s="1276"/>
      <c r="EI304" s="1276"/>
      <c r="EJ304" s="1276"/>
      <c r="EK304" s="1275"/>
      <c r="EL304" s="1275"/>
      <c r="EM304" s="1313"/>
    </row>
    <row r="305" spans="1:143" s="1271" customFormat="1">
      <c r="B305" s="1276"/>
      <c r="C305" s="1276"/>
      <c r="D305" s="1276"/>
      <c r="E305" s="1276"/>
      <c r="F305" s="1276"/>
      <c r="G305" s="1276"/>
      <c r="H305" s="1276"/>
      <c r="I305" s="1276"/>
      <c r="J305" s="1276"/>
      <c r="K305" s="1276"/>
      <c r="L305" s="1276"/>
      <c r="M305" s="1276"/>
      <c r="N305" s="1276"/>
      <c r="O305" s="1276"/>
      <c r="P305" s="1276"/>
      <c r="Q305" s="1276"/>
      <c r="R305" s="1276"/>
      <c r="S305" s="1276"/>
      <c r="T305" s="1276"/>
      <c r="U305" s="1276"/>
      <c r="V305" s="1276"/>
      <c r="W305" s="1277"/>
      <c r="X305" s="1277"/>
      <c r="Y305" s="1277"/>
      <c r="Z305" s="1277"/>
      <c r="AA305" s="1277"/>
      <c r="AB305" s="1277"/>
      <c r="AC305" s="1277"/>
      <c r="AD305" s="1277"/>
      <c r="AE305" s="1277"/>
      <c r="AF305" s="1277"/>
      <c r="AG305" s="1277"/>
      <c r="AH305" s="1277"/>
      <c r="AI305" s="1277"/>
      <c r="AJ305" s="1277"/>
      <c r="AK305" s="1277"/>
      <c r="AL305" s="1277"/>
      <c r="AM305" s="1277"/>
      <c r="AN305" s="1277"/>
      <c r="AO305" s="1277"/>
      <c r="AP305" s="1277"/>
      <c r="AQ305" s="1277"/>
      <c r="AR305" s="1277"/>
      <c r="AS305" s="1277"/>
      <c r="AT305" s="1277"/>
      <c r="AU305" s="1277"/>
      <c r="AV305" s="1277"/>
      <c r="AW305" s="1277"/>
      <c r="AX305" s="1277"/>
      <c r="AY305" s="1277"/>
      <c r="AZ305" s="1277"/>
      <c r="BA305" s="1277"/>
      <c r="BB305" s="1277"/>
      <c r="BC305" s="1277"/>
      <c r="BD305" s="1277"/>
      <c r="BE305" s="1277"/>
      <c r="BF305" s="1277"/>
      <c r="BG305" s="1277"/>
      <c r="BH305" s="1277"/>
      <c r="BI305" s="1277"/>
      <c r="BJ305" s="1277"/>
      <c r="BK305" s="1277"/>
      <c r="BL305" s="1277"/>
      <c r="BM305" s="1277"/>
      <c r="BN305" s="1277"/>
      <c r="BO305" s="1277"/>
      <c r="BP305" s="1277"/>
      <c r="BQ305" s="1277"/>
      <c r="BR305" s="1277"/>
      <c r="BS305" s="1277"/>
      <c r="BT305" s="1277"/>
      <c r="BU305" s="1277"/>
      <c r="BV305" s="1277"/>
      <c r="BW305" s="1277"/>
      <c r="BX305" s="1277"/>
      <c r="BY305" s="1277"/>
      <c r="BZ305" s="1277"/>
      <c r="CA305" s="1277"/>
      <c r="CB305" s="1277"/>
      <c r="CC305" s="1277"/>
      <c r="CD305" s="1277"/>
      <c r="CE305" s="1277"/>
      <c r="CF305" s="1277"/>
      <c r="CG305" s="1277"/>
      <c r="CH305" s="1269"/>
      <c r="CI305" s="1277"/>
      <c r="CJ305" s="1277"/>
      <c r="CK305" s="1277"/>
      <c r="CL305" s="1277"/>
      <c r="CM305" s="1277"/>
      <c r="CN305" s="1277"/>
      <c r="CO305" s="1277"/>
      <c r="CP305" s="1277"/>
      <c r="CQ305" s="1277"/>
      <c r="CR305" s="1277"/>
      <c r="CS305" s="1277"/>
      <c r="CT305" s="1277"/>
      <c r="CU305" s="1277"/>
      <c r="CV305" s="1277"/>
      <c r="CW305" s="1277"/>
      <c r="CX305" s="1277"/>
      <c r="CY305" s="1277"/>
      <c r="CZ305" s="1277"/>
      <c r="DA305" s="1277"/>
      <c r="DB305" s="1277"/>
      <c r="DC305" s="1277"/>
      <c r="DD305" s="1277"/>
      <c r="DE305" s="1277"/>
      <c r="DF305" s="1277"/>
      <c r="DG305" s="1277"/>
      <c r="DH305" s="1277"/>
      <c r="DI305" s="1277"/>
      <c r="DJ305" s="1277"/>
      <c r="DK305" s="1277"/>
      <c r="DL305" s="1277"/>
      <c r="DM305" s="1277"/>
      <c r="DN305" s="1277"/>
      <c r="DO305" s="1277"/>
      <c r="DP305" s="1277"/>
      <c r="DQ305" s="1277"/>
      <c r="DR305" s="1277"/>
      <c r="DS305" s="1277"/>
      <c r="DT305" s="1277"/>
      <c r="DU305" s="1277"/>
      <c r="DV305" s="1277"/>
      <c r="DW305" s="1277"/>
      <c r="DX305" s="1277"/>
      <c r="DY305" s="1277"/>
      <c r="DZ305" s="1277"/>
      <c r="EA305" s="1277"/>
      <c r="EB305" s="1276"/>
      <c r="EC305" s="1276"/>
      <c r="ED305" s="1276"/>
      <c r="EE305" s="1276"/>
      <c r="EF305" s="1276"/>
      <c r="EG305" s="1276"/>
      <c r="EH305" s="1276"/>
      <c r="EI305" s="1276"/>
      <c r="EJ305" s="1276"/>
      <c r="EK305" s="1275"/>
      <c r="EL305" s="1275"/>
      <c r="EM305" s="1313"/>
    </row>
    <row r="306" spans="1:143" s="1271" customFormat="1">
      <c r="B306" s="1276"/>
      <c r="C306" s="1276"/>
      <c r="D306" s="1276"/>
      <c r="E306" s="1276"/>
      <c r="F306" s="1276"/>
      <c r="G306" s="1276"/>
      <c r="H306" s="1276"/>
      <c r="I306" s="1276"/>
      <c r="J306" s="1276"/>
      <c r="K306" s="1276"/>
      <c r="L306" s="1276"/>
      <c r="M306" s="1276"/>
      <c r="N306" s="1276"/>
      <c r="O306" s="1276"/>
      <c r="P306" s="1276"/>
      <c r="Q306" s="1276"/>
      <c r="R306" s="1276"/>
      <c r="S306" s="1276"/>
      <c r="T306" s="1276"/>
      <c r="U306" s="1276"/>
      <c r="V306" s="1276"/>
      <c r="W306" s="1277"/>
      <c r="X306" s="1277"/>
      <c r="Y306" s="1277"/>
      <c r="Z306" s="1277"/>
      <c r="AA306" s="1277"/>
      <c r="AB306" s="1277"/>
      <c r="AC306" s="1277"/>
      <c r="AD306" s="1277"/>
      <c r="AE306" s="1277"/>
      <c r="AF306" s="1277"/>
      <c r="AG306" s="1277"/>
      <c r="AH306" s="1277"/>
      <c r="AI306" s="1277"/>
      <c r="AJ306" s="1277"/>
      <c r="AK306" s="1277"/>
      <c r="AL306" s="1277"/>
      <c r="AM306" s="1277"/>
      <c r="AN306" s="1277"/>
      <c r="AO306" s="1277"/>
      <c r="AP306" s="1277"/>
      <c r="AQ306" s="1277"/>
      <c r="AR306" s="1277"/>
      <c r="AS306" s="1277"/>
      <c r="AT306" s="1277"/>
      <c r="AU306" s="1277"/>
      <c r="AV306" s="1277"/>
      <c r="AW306" s="1277"/>
      <c r="AX306" s="1277"/>
      <c r="AY306" s="1277"/>
      <c r="AZ306" s="1277"/>
      <c r="BA306" s="1277"/>
      <c r="BB306" s="1277"/>
      <c r="BC306" s="1277"/>
      <c r="BD306" s="1277"/>
      <c r="BE306" s="1277"/>
      <c r="BF306" s="1277"/>
      <c r="BG306" s="1277"/>
      <c r="BH306" s="1277"/>
      <c r="BI306" s="1277"/>
      <c r="BJ306" s="1277"/>
      <c r="BK306" s="1277"/>
      <c r="BL306" s="1277"/>
      <c r="BM306" s="1277"/>
      <c r="BN306" s="1277"/>
      <c r="BO306" s="1277"/>
      <c r="BP306" s="1277"/>
      <c r="BQ306" s="1277"/>
      <c r="BR306" s="1277"/>
      <c r="BS306" s="1277"/>
      <c r="BT306" s="1277"/>
      <c r="BU306" s="1277"/>
      <c r="BV306" s="1277"/>
      <c r="BW306" s="1277"/>
      <c r="BX306" s="1277"/>
      <c r="BY306" s="1277"/>
      <c r="BZ306" s="1277"/>
      <c r="CA306" s="1277"/>
      <c r="CB306" s="1277"/>
      <c r="CC306" s="1277"/>
      <c r="CD306" s="1277"/>
      <c r="CE306" s="1277"/>
      <c r="CF306" s="1277"/>
      <c r="CG306" s="1277"/>
      <c r="CH306" s="1269"/>
      <c r="CI306" s="1277"/>
      <c r="CJ306" s="1277"/>
      <c r="CK306" s="1277"/>
      <c r="CL306" s="1277"/>
      <c r="CM306" s="1277"/>
      <c r="CN306" s="1277"/>
      <c r="CO306" s="1277"/>
      <c r="CP306" s="1277"/>
      <c r="CQ306" s="1277"/>
      <c r="CR306" s="1277"/>
      <c r="CS306" s="1277"/>
      <c r="CT306" s="1277"/>
      <c r="CU306" s="1277"/>
      <c r="CV306" s="1277"/>
      <c r="CW306" s="1277"/>
      <c r="CX306" s="1277"/>
      <c r="CY306" s="1277"/>
      <c r="CZ306" s="1277"/>
      <c r="DA306" s="1277"/>
      <c r="DB306" s="1277"/>
      <c r="DC306" s="1277"/>
      <c r="DD306" s="1277"/>
      <c r="DE306" s="1277"/>
      <c r="DF306" s="1277"/>
      <c r="DG306" s="1277"/>
      <c r="DH306" s="1277"/>
      <c r="DI306" s="1277"/>
      <c r="DJ306" s="1277"/>
      <c r="DK306" s="1277"/>
      <c r="DL306" s="1277"/>
      <c r="DM306" s="1277"/>
      <c r="DN306" s="1277"/>
      <c r="DO306" s="1277"/>
      <c r="DP306" s="1277"/>
      <c r="DQ306" s="1277"/>
      <c r="DR306" s="1277"/>
      <c r="DS306" s="1277"/>
      <c r="DT306" s="1277"/>
      <c r="DU306" s="1277"/>
      <c r="DV306" s="1277"/>
      <c r="DW306" s="1277"/>
      <c r="DX306" s="1277"/>
      <c r="DY306" s="1277"/>
      <c r="DZ306" s="1277"/>
      <c r="EA306" s="1277"/>
      <c r="EB306" s="1276"/>
      <c r="EC306" s="1276"/>
      <c r="ED306" s="1276"/>
      <c r="EE306" s="1276"/>
      <c r="EF306" s="1276"/>
      <c r="EG306" s="1276"/>
      <c r="EH306" s="1276"/>
      <c r="EI306" s="1276"/>
      <c r="EJ306" s="1276"/>
      <c r="EK306" s="1275"/>
      <c r="EL306" s="1275"/>
      <c r="EM306" s="1313"/>
    </row>
    <row r="307" spans="1:143" s="1271" customFormat="1">
      <c r="A307" s="1262"/>
      <c r="B307" s="1276"/>
      <c r="C307" s="1276"/>
      <c r="D307" s="1276"/>
      <c r="E307" s="1276"/>
      <c r="F307" s="1276"/>
      <c r="G307" s="1276"/>
      <c r="H307" s="1276"/>
      <c r="I307" s="1276"/>
      <c r="J307" s="1276"/>
      <c r="K307" s="1276"/>
      <c r="L307" s="1276"/>
      <c r="M307" s="1276"/>
      <c r="N307" s="1276"/>
      <c r="O307" s="1276"/>
      <c r="P307" s="1276"/>
      <c r="Q307" s="1276"/>
      <c r="R307" s="1276"/>
      <c r="S307" s="1276"/>
      <c r="T307" s="1276"/>
      <c r="U307" s="1276"/>
      <c r="V307" s="1276"/>
      <c r="W307" s="1277"/>
      <c r="X307" s="1277"/>
      <c r="Y307" s="1277"/>
      <c r="Z307" s="1277"/>
      <c r="AA307" s="1277"/>
      <c r="AB307" s="1277"/>
      <c r="AC307" s="1277"/>
      <c r="AD307" s="1277"/>
      <c r="AE307" s="1277"/>
      <c r="AF307" s="1277"/>
      <c r="AG307" s="1277"/>
      <c r="AH307" s="1277"/>
      <c r="AI307" s="1277"/>
      <c r="AJ307" s="1277"/>
      <c r="AK307" s="1277"/>
      <c r="AL307" s="1277"/>
      <c r="AM307" s="1277"/>
      <c r="AN307" s="1277"/>
      <c r="AO307" s="1277"/>
      <c r="AP307" s="1277"/>
      <c r="AQ307" s="1277"/>
      <c r="AR307" s="1277"/>
      <c r="AS307" s="1277"/>
      <c r="AT307" s="1277"/>
      <c r="AU307" s="1277"/>
      <c r="AV307" s="1277"/>
      <c r="AW307" s="1277"/>
      <c r="AX307" s="1277"/>
      <c r="AY307" s="1277"/>
      <c r="AZ307" s="1277"/>
      <c r="BA307" s="1277"/>
      <c r="BB307" s="1277"/>
      <c r="BC307" s="1277"/>
      <c r="BD307" s="1277"/>
      <c r="BE307" s="1277"/>
      <c r="BF307" s="1277"/>
      <c r="BG307" s="1277"/>
      <c r="BH307" s="1277"/>
      <c r="BI307" s="1277"/>
      <c r="BJ307" s="1277"/>
      <c r="BK307" s="1277"/>
      <c r="BL307" s="1277"/>
      <c r="BM307" s="1277"/>
      <c r="BN307" s="1277"/>
      <c r="BO307" s="1277"/>
      <c r="BP307" s="1277"/>
      <c r="BQ307" s="1277"/>
      <c r="BR307" s="1277"/>
      <c r="BS307" s="1277"/>
      <c r="BT307" s="1277"/>
      <c r="BU307" s="1277"/>
      <c r="BV307" s="1277"/>
      <c r="BW307" s="1277"/>
      <c r="BX307" s="1277"/>
      <c r="BY307" s="1277"/>
      <c r="BZ307" s="1277"/>
      <c r="CA307" s="1277"/>
      <c r="CB307" s="1277"/>
      <c r="CC307" s="1277"/>
      <c r="CD307" s="1277"/>
      <c r="CE307" s="1277"/>
      <c r="CF307" s="1277"/>
      <c r="CG307" s="1277"/>
      <c r="CH307" s="1269"/>
      <c r="CI307" s="1277"/>
      <c r="CJ307" s="1277"/>
      <c r="CK307" s="1277"/>
      <c r="CL307" s="1277"/>
      <c r="CM307" s="1277"/>
      <c r="CN307" s="1277"/>
      <c r="CO307" s="1277"/>
      <c r="CP307" s="1277"/>
      <c r="CQ307" s="1277"/>
      <c r="CR307" s="1277"/>
      <c r="CS307" s="1277"/>
      <c r="CT307" s="1277"/>
      <c r="CU307" s="1277"/>
      <c r="CV307" s="1277"/>
      <c r="CW307" s="1277"/>
      <c r="CX307" s="1277"/>
      <c r="CY307" s="1277"/>
      <c r="CZ307" s="1277"/>
      <c r="DA307" s="1277"/>
      <c r="DB307" s="1277"/>
      <c r="DC307" s="1277"/>
      <c r="DD307" s="1277"/>
      <c r="DE307" s="1277"/>
      <c r="DF307" s="1277"/>
      <c r="DG307" s="1277"/>
      <c r="DH307" s="1277"/>
      <c r="DI307" s="1277"/>
      <c r="DJ307" s="1277"/>
      <c r="DK307" s="1277"/>
      <c r="DL307" s="1277"/>
      <c r="DM307" s="1277"/>
      <c r="DN307" s="1277"/>
      <c r="DO307" s="1277"/>
      <c r="DP307" s="1277"/>
      <c r="DQ307" s="1277"/>
      <c r="DR307" s="1277"/>
      <c r="DS307" s="1277"/>
      <c r="DT307" s="1277"/>
      <c r="DU307" s="1277"/>
      <c r="DV307" s="1277"/>
      <c r="DW307" s="1277"/>
      <c r="DX307" s="1277"/>
      <c r="DY307" s="1277"/>
      <c r="DZ307" s="1277"/>
      <c r="EA307" s="1277"/>
      <c r="EB307" s="1276"/>
      <c r="EC307" s="1276"/>
      <c r="ED307" s="1276"/>
      <c r="EE307" s="1276"/>
      <c r="EF307" s="1276"/>
      <c r="EG307" s="1276"/>
      <c r="EH307" s="1276"/>
      <c r="EI307" s="1276"/>
      <c r="EJ307" s="1276"/>
      <c r="EK307" s="1275"/>
      <c r="EL307" s="1275"/>
      <c r="EM307" s="1313"/>
    </row>
    <row r="308" spans="1:143" s="1271" customFormat="1">
      <c r="B308" s="1272"/>
      <c r="C308" s="1272"/>
      <c r="D308" s="1273"/>
      <c r="E308" s="1273"/>
      <c r="F308" s="1273"/>
      <c r="G308" s="1273"/>
      <c r="H308" s="1273"/>
      <c r="I308" s="1273"/>
      <c r="J308" s="1273"/>
      <c r="K308" s="1273"/>
      <c r="L308" s="1273"/>
      <c r="M308" s="1273"/>
      <c r="N308" s="1273"/>
      <c r="O308" s="1273"/>
      <c r="P308" s="1273"/>
      <c r="Q308" s="1273"/>
      <c r="R308" s="1273"/>
      <c r="S308" s="1273"/>
      <c r="T308" s="1273"/>
      <c r="U308" s="1273"/>
      <c r="V308" s="1273"/>
      <c r="W308" s="1274"/>
      <c r="X308" s="1274"/>
      <c r="Y308" s="1274"/>
      <c r="Z308" s="1274"/>
      <c r="AA308" s="1274"/>
      <c r="AB308" s="1274"/>
      <c r="AC308" s="1274"/>
      <c r="AD308" s="1274"/>
      <c r="AE308" s="1274"/>
      <c r="AF308" s="1274"/>
      <c r="AG308" s="1274"/>
      <c r="AH308" s="1274"/>
      <c r="AI308" s="1274"/>
      <c r="AJ308" s="1274"/>
      <c r="AK308" s="1274"/>
      <c r="AL308" s="1274"/>
      <c r="AM308" s="1274"/>
      <c r="AN308" s="1274"/>
      <c r="AO308" s="1274"/>
      <c r="AP308" s="1274"/>
      <c r="AQ308" s="1274"/>
      <c r="AR308" s="1274"/>
      <c r="AS308" s="1274"/>
      <c r="AT308" s="1274"/>
      <c r="AU308" s="1274"/>
      <c r="AV308" s="1274"/>
      <c r="AW308" s="1274"/>
      <c r="AX308" s="1274"/>
      <c r="AY308" s="1274"/>
      <c r="AZ308" s="1274"/>
      <c r="BA308" s="1274"/>
      <c r="BB308" s="1274"/>
      <c r="BC308" s="1274"/>
      <c r="BD308" s="1274"/>
      <c r="BE308" s="1274"/>
      <c r="BF308" s="1274"/>
      <c r="BG308" s="1274"/>
      <c r="BH308" s="1274"/>
      <c r="BI308" s="1274"/>
      <c r="BJ308" s="1274"/>
      <c r="BK308" s="1274"/>
      <c r="BL308" s="1274"/>
      <c r="BM308" s="1274"/>
      <c r="BN308" s="1274"/>
      <c r="BO308" s="1274"/>
      <c r="BP308" s="1274"/>
      <c r="BQ308" s="1274"/>
      <c r="BR308" s="1274"/>
      <c r="BS308" s="1274"/>
      <c r="BT308" s="1274"/>
      <c r="BU308" s="1274"/>
      <c r="BV308" s="1274"/>
      <c r="BW308" s="1274"/>
      <c r="BX308" s="1274"/>
      <c r="BY308" s="1274"/>
      <c r="BZ308" s="1274"/>
      <c r="CA308" s="1274"/>
      <c r="CB308" s="1274"/>
      <c r="CC308" s="1274"/>
      <c r="CD308" s="1274"/>
      <c r="CE308" s="1274"/>
      <c r="CF308" s="1274"/>
      <c r="CG308" s="1274"/>
      <c r="CH308" s="1269"/>
      <c r="CI308" s="1274"/>
      <c r="CJ308" s="1274"/>
      <c r="CK308" s="1274"/>
      <c r="CL308" s="1274"/>
      <c r="CM308" s="1274"/>
      <c r="CN308" s="1274"/>
      <c r="CO308" s="1274"/>
      <c r="CP308" s="1274"/>
      <c r="CQ308" s="1274"/>
      <c r="CR308" s="1274"/>
      <c r="CS308" s="1274"/>
      <c r="CT308" s="1274"/>
      <c r="CU308" s="1274"/>
      <c r="CV308" s="1274"/>
      <c r="CW308" s="1274"/>
      <c r="CX308" s="1274"/>
      <c r="CY308" s="1274"/>
      <c r="CZ308" s="1274"/>
      <c r="DA308" s="1274"/>
      <c r="DB308" s="1274"/>
      <c r="DC308" s="1274"/>
      <c r="DD308" s="1274"/>
      <c r="DE308" s="1274"/>
      <c r="DF308" s="1274"/>
      <c r="DG308" s="1274"/>
      <c r="DH308" s="1274"/>
      <c r="DI308" s="1274"/>
      <c r="DJ308" s="1274"/>
      <c r="DK308" s="1274"/>
      <c r="DL308" s="1274"/>
      <c r="DM308" s="1274"/>
      <c r="DN308" s="1274"/>
      <c r="DO308" s="1274"/>
      <c r="DP308" s="1274"/>
      <c r="DQ308" s="1274"/>
      <c r="DR308" s="1274"/>
      <c r="DS308" s="1274"/>
      <c r="DT308" s="1274"/>
      <c r="DU308" s="1274"/>
      <c r="DV308" s="1274"/>
      <c r="DW308" s="1274"/>
      <c r="DX308" s="1274"/>
      <c r="DY308" s="1274"/>
      <c r="DZ308" s="1274"/>
      <c r="EA308" s="1274"/>
      <c r="EB308" s="1273"/>
      <c r="EC308" s="1273"/>
      <c r="ED308" s="1273"/>
      <c r="EE308" s="1273"/>
      <c r="EF308" s="1273"/>
      <c r="EG308" s="1273"/>
      <c r="EH308" s="1273"/>
      <c r="EI308" s="1273"/>
      <c r="EJ308" s="1273"/>
      <c r="EK308" s="1273"/>
      <c r="EL308" s="1273"/>
      <c r="EM308" s="1313"/>
    </row>
    <row r="309" spans="1:143" s="1271" customFormat="1">
      <c r="B309" s="1272"/>
      <c r="C309" s="1272"/>
      <c r="D309" s="1273"/>
      <c r="E309" s="1273"/>
      <c r="F309" s="1273"/>
      <c r="G309" s="1273"/>
      <c r="H309" s="1273"/>
      <c r="I309" s="1273"/>
      <c r="J309" s="1273"/>
      <c r="K309" s="1273"/>
      <c r="L309" s="1273"/>
      <c r="M309" s="1273"/>
      <c r="N309" s="1273"/>
      <c r="O309" s="1273"/>
      <c r="P309" s="1273"/>
      <c r="Q309" s="1273"/>
      <c r="R309" s="1273"/>
      <c r="S309" s="1273"/>
      <c r="T309" s="1273"/>
      <c r="U309" s="1273"/>
      <c r="V309" s="1273"/>
      <c r="W309" s="1274"/>
      <c r="X309" s="1274"/>
      <c r="Y309" s="1274"/>
      <c r="Z309" s="1274"/>
      <c r="AA309" s="1274"/>
      <c r="AB309" s="1274"/>
      <c r="AC309" s="1274"/>
      <c r="AD309" s="1274"/>
      <c r="AE309" s="1274"/>
      <c r="AF309" s="1274"/>
      <c r="AG309" s="1274"/>
      <c r="AH309" s="1274"/>
      <c r="AI309" s="1274"/>
      <c r="AJ309" s="1274"/>
      <c r="AK309" s="1274"/>
      <c r="AL309" s="1274"/>
      <c r="AM309" s="1274"/>
      <c r="AN309" s="1274"/>
      <c r="AO309" s="1274"/>
      <c r="AP309" s="1274"/>
      <c r="AQ309" s="1274"/>
      <c r="AR309" s="1274"/>
      <c r="AS309" s="1274"/>
      <c r="AT309" s="1274"/>
      <c r="AU309" s="1274"/>
      <c r="AV309" s="1274"/>
      <c r="AW309" s="1274"/>
      <c r="AX309" s="1274"/>
      <c r="AY309" s="1274"/>
      <c r="AZ309" s="1274"/>
      <c r="BA309" s="1274"/>
      <c r="BB309" s="1274"/>
      <c r="BC309" s="1274"/>
      <c r="BD309" s="1274"/>
      <c r="BE309" s="1274"/>
      <c r="BF309" s="1274"/>
      <c r="BG309" s="1274"/>
      <c r="BH309" s="1274"/>
      <c r="BI309" s="1274"/>
      <c r="BJ309" s="1274"/>
      <c r="BK309" s="1274"/>
      <c r="BL309" s="1274"/>
      <c r="BM309" s="1274"/>
      <c r="BN309" s="1274"/>
      <c r="BO309" s="1274"/>
      <c r="BP309" s="1274"/>
      <c r="BQ309" s="1274"/>
      <c r="BR309" s="1274"/>
      <c r="BS309" s="1274"/>
      <c r="BT309" s="1274"/>
      <c r="BU309" s="1274"/>
      <c r="BV309" s="1274"/>
      <c r="BW309" s="1274"/>
      <c r="BX309" s="1274"/>
      <c r="BY309" s="1274"/>
      <c r="BZ309" s="1274"/>
      <c r="CA309" s="1274"/>
      <c r="CB309" s="1274"/>
      <c r="CC309" s="1274"/>
      <c r="CD309" s="1274"/>
      <c r="CE309" s="1274"/>
      <c r="CF309" s="1274"/>
      <c r="CG309" s="1274"/>
      <c r="CH309" s="1269"/>
      <c r="CI309" s="1274"/>
      <c r="CJ309" s="1274"/>
      <c r="CK309" s="1274"/>
      <c r="CL309" s="1274"/>
      <c r="CM309" s="1274"/>
      <c r="CN309" s="1274"/>
      <c r="CO309" s="1274"/>
      <c r="CP309" s="1274"/>
      <c r="CQ309" s="1274"/>
      <c r="CR309" s="1274"/>
      <c r="CS309" s="1274"/>
      <c r="CT309" s="1274"/>
      <c r="CU309" s="1274"/>
      <c r="CV309" s="1274"/>
      <c r="CW309" s="1274"/>
      <c r="CX309" s="1274"/>
      <c r="CY309" s="1274"/>
      <c r="CZ309" s="1274"/>
      <c r="DA309" s="1274"/>
      <c r="DB309" s="1274"/>
      <c r="DC309" s="1274"/>
      <c r="DD309" s="1274"/>
      <c r="DE309" s="1274"/>
      <c r="DF309" s="1274"/>
      <c r="DG309" s="1274"/>
      <c r="DH309" s="1274"/>
      <c r="DI309" s="1274"/>
      <c r="DJ309" s="1274"/>
      <c r="DK309" s="1274"/>
      <c r="DL309" s="1274"/>
      <c r="DM309" s="1274"/>
      <c r="DN309" s="1274"/>
      <c r="DO309" s="1274"/>
      <c r="DP309" s="1274"/>
      <c r="DQ309" s="1274"/>
      <c r="DR309" s="1274"/>
      <c r="DS309" s="1274"/>
      <c r="DT309" s="1274"/>
      <c r="DU309" s="1274"/>
      <c r="DV309" s="1274"/>
      <c r="DW309" s="1274"/>
      <c r="DX309" s="1274"/>
      <c r="DY309" s="1274"/>
      <c r="DZ309" s="1274"/>
      <c r="EA309" s="1274"/>
      <c r="EB309" s="1273"/>
      <c r="EC309" s="1273"/>
      <c r="ED309" s="1273"/>
      <c r="EE309" s="1273"/>
      <c r="EF309" s="1273"/>
      <c r="EG309" s="1273"/>
      <c r="EH309" s="1273"/>
      <c r="EI309" s="1273"/>
      <c r="EJ309" s="1273"/>
      <c r="EK309" s="1273"/>
      <c r="EL309" s="1273"/>
      <c r="EM309" s="1313"/>
    </row>
    <row r="310" spans="1:143" s="1271" customFormat="1">
      <c r="B310" s="1272"/>
      <c r="C310" s="1272"/>
      <c r="D310" s="1273"/>
      <c r="E310" s="1273"/>
      <c r="F310" s="1273"/>
      <c r="G310" s="1273"/>
      <c r="H310" s="1273"/>
      <c r="I310" s="1273"/>
      <c r="J310" s="1273"/>
      <c r="K310" s="1273"/>
      <c r="L310" s="1273"/>
      <c r="M310" s="1273"/>
      <c r="N310" s="1273"/>
      <c r="O310" s="1273"/>
      <c r="P310" s="1273"/>
      <c r="Q310" s="1273"/>
      <c r="R310" s="1273"/>
      <c r="S310" s="1273"/>
      <c r="T310" s="1273"/>
      <c r="U310" s="1273"/>
      <c r="V310" s="1273"/>
      <c r="W310" s="1274"/>
      <c r="X310" s="1274"/>
      <c r="Y310" s="1274"/>
      <c r="Z310" s="1274"/>
      <c r="AA310" s="1274"/>
      <c r="AB310" s="1274"/>
      <c r="AC310" s="1274"/>
      <c r="AD310" s="1274"/>
      <c r="AE310" s="1274"/>
      <c r="AF310" s="1274"/>
      <c r="AG310" s="1274"/>
      <c r="AH310" s="1274"/>
      <c r="AI310" s="1274"/>
      <c r="AJ310" s="1274"/>
      <c r="AK310" s="1274"/>
      <c r="AL310" s="1274"/>
      <c r="AM310" s="1274"/>
      <c r="AN310" s="1274"/>
      <c r="AO310" s="1274"/>
      <c r="AP310" s="1274"/>
      <c r="AQ310" s="1274"/>
      <c r="AR310" s="1274"/>
      <c r="AS310" s="1274"/>
      <c r="AT310" s="1274"/>
      <c r="AU310" s="1274"/>
      <c r="AV310" s="1274"/>
      <c r="AW310" s="1274"/>
      <c r="AX310" s="1274"/>
      <c r="AY310" s="1274"/>
      <c r="AZ310" s="1274"/>
      <c r="BA310" s="1274"/>
      <c r="BB310" s="1274"/>
      <c r="BC310" s="1274"/>
      <c r="BD310" s="1274"/>
      <c r="BE310" s="1274"/>
      <c r="BF310" s="1274"/>
      <c r="BG310" s="1274"/>
      <c r="BH310" s="1274"/>
      <c r="BI310" s="1274"/>
      <c r="BJ310" s="1274"/>
      <c r="BK310" s="1274"/>
      <c r="BL310" s="1274"/>
      <c r="BM310" s="1274"/>
      <c r="BN310" s="1274"/>
      <c r="BO310" s="1274"/>
      <c r="BP310" s="1274"/>
      <c r="BQ310" s="1274"/>
      <c r="BR310" s="1274"/>
      <c r="BS310" s="1274"/>
      <c r="BT310" s="1274"/>
      <c r="BU310" s="1274"/>
      <c r="BV310" s="1274"/>
      <c r="BW310" s="1274"/>
      <c r="BX310" s="1274"/>
      <c r="BY310" s="1274"/>
      <c r="BZ310" s="1274"/>
      <c r="CA310" s="1274"/>
      <c r="CB310" s="1274"/>
      <c r="CC310" s="1274"/>
      <c r="CD310" s="1274"/>
      <c r="CE310" s="1274"/>
      <c r="CF310" s="1274"/>
      <c r="CG310" s="1274"/>
      <c r="CH310" s="1269"/>
      <c r="CI310" s="1274"/>
      <c r="CJ310" s="1274"/>
      <c r="CK310" s="1274"/>
      <c r="CL310" s="1274"/>
      <c r="CM310" s="1274"/>
      <c r="CN310" s="1274"/>
      <c r="CO310" s="1274"/>
      <c r="CP310" s="1274"/>
      <c r="CQ310" s="1274"/>
      <c r="CR310" s="1274"/>
      <c r="CS310" s="1274"/>
      <c r="CT310" s="1274"/>
      <c r="CU310" s="1274"/>
      <c r="CV310" s="1274"/>
      <c r="CW310" s="1274"/>
      <c r="CX310" s="1274"/>
      <c r="CY310" s="1274"/>
      <c r="CZ310" s="1274"/>
      <c r="DA310" s="1274"/>
      <c r="DB310" s="1274"/>
      <c r="DC310" s="1274"/>
      <c r="DD310" s="1274"/>
      <c r="DE310" s="1274"/>
      <c r="DF310" s="1274"/>
      <c r="DG310" s="1274"/>
      <c r="DH310" s="1274"/>
      <c r="DI310" s="1274"/>
      <c r="DJ310" s="1274"/>
      <c r="DK310" s="1274"/>
      <c r="DL310" s="1274"/>
      <c r="DM310" s="1274"/>
      <c r="DN310" s="1274"/>
      <c r="DO310" s="1274"/>
      <c r="DP310" s="1274"/>
      <c r="DQ310" s="1274"/>
      <c r="DR310" s="1274"/>
      <c r="DS310" s="1274"/>
      <c r="DT310" s="1274"/>
      <c r="DU310" s="1274"/>
      <c r="DV310" s="1274"/>
      <c r="DW310" s="1274"/>
      <c r="DX310" s="1274"/>
      <c r="DY310" s="1274"/>
      <c r="DZ310" s="1274"/>
      <c r="EA310" s="1274"/>
      <c r="EB310" s="1273"/>
      <c r="EC310" s="1273"/>
      <c r="ED310" s="1273"/>
      <c r="EE310" s="1273"/>
      <c r="EF310" s="1273"/>
      <c r="EG310" s="1273"/>
      <c r="EH310" s="1273"/>
      <c r="EI310" s="1273"/>
      <c r="EJ310" s="1273"/>
      <c r="EK310" s="1273"/>
      <c r="EL310" s="1273"/>
      <c r="EM310" s="1313"/>
    </row>
    <row r="311" spans="1:143" s="1271" customFormat="1">
      <c r="B311" s="1272"/>
      <c r="C311" s="1272"/>
      <c r="D311" s="1273"/>
      <c r="E311" s="1273"/>
      <c r="F311" s="1273"/>
      <c r="G311" s="1273"/>
      <c r="H311" s="1273"/>
      <c r="I311" s="1273"/>
      <c r="J311" s="1273"/>
      <c r="K311" s="1273"/>
      <c r="L311" s="1273"/>
      <c r="M311" s="1273"/>
      <c r="N311" s="1273"/>
      <c r="O311" s="1273"/>
      <c r="P311" s="1273"/>
      <c r="Q311" s="1273"/>
      <c r="R311" s="1273"/>
      <c r="S311" s="1273"/>
      <c r="T311" s="1273"/>
      <c r="U311" s="1273"/>
      <c r="V311" s="1273"/>
      <c r="W311" s="1274"/>
      <c r="X311" s="1274"/>
      <c r="Y311" s="1274"/>
      <c r="Z311" s="1274"/>
      <c r="AA311" s="1274"/>
      <c r="AB311" s="1274"/>
      <c r="AC311" s="1274"/>
      <c r="AD311" s="1274"/>
      <c r="AE311" s="1274"/>
      <c r="AF311" s="1274"/>
      <c r="AG311" s="1274"/>
      <c r="AH311" s="1274"/>
      <c r="AI311" s="1274"/>
      <c r="AJ311" s="1274"/>
      <c r="AK311" s="1274"/>
      <c r="AL311" s="1274"/>
      <c r="AM311" s="1274"/>
      <c r="AN311" s="1274"/>
      <c r="AO311" s="1274"/>
      <c r="AP311" s="1274"/>
      <c r="AQ311" s="1274"/>
      <c r="AR311" s="1274"/>
      <c r="AS311" s="1274"/>
      <c r="AT311" s="1274"/>
      <c r="AU311" s="1274"/>
      <c r="AV311" s="1274"/>
      <c r="AW311" s="1274"/>
      <c r="AX311" s="1274"/>
      <c r="AY311" s="1274"/>
      <c r="AZ311" s="1274"/>
      <c r="BA311" s="1274"/>
      <c r="BB311" s="1274"/>
      <c r="BC311" s="1274"/>
      <c r="BD311" s="1274"/>
      <c r="BE311" s="1274"/>
      <c r="BF311" s="1274"/>
      <c r="BG311" s="1274"/>
      <c r="BH311" s="1274"/>
      <c r="BI311" s="1274"/>
      <c r="BJ311" s="1274"/>
      <c r="BK311" s="1274"/>
      <c r="BL311" s="1274"/>
      <c r="BM311" s="1274"/>
      <c r="BN311" s="1274"/>
      <c r="BO311" s="1274"/>
      <c r="BP311" s="1274"/>
      <c r="BQ311" s="1274"/>
      <c r="BR311" s="1274"/>
      <c r="BS311" s="1274"/>
      <c r="BT311" s="1274"/>
      <c r="BU311" s="1274"/>
      <c r="BV311" s="1274"/>
      <c r="BW311" s="1274"/>
      <c r="BX311" s="1274"/>
      <c r="BY311" s="1274"/>
      <c r="BZ311" s="1274"/>
      <c r="CA311" s="1274"/>
      <c r="CB311" s="1274"/>
      <c r="CC311" s="1274"/>
      <c r="CD311" s="1274"/>
      <c r="CE311" s="1274"/>
      <c r="CF311" s="1274"/>
      <c r="CG311" s="1274"/>
      <c r="CH311" s="1269"/>
      <c r="CI311" s="1274"/>
      <c r="CJ311" s="1274"/>
      <c r="CK311" s="1274"/>
      <c r="CL311" s="1274"/>
      <c r="CM311" s="1274"/>
      <c r="CN311" s="1274"/>
      <c r="CO311" s="1274"/>
      <c r="CP311" s="1274"/>
      <c r="CQ311" s="1274"/>
      <c r="CR311" s="1274"/>
      <c r="CS311" s="1274"/>
      <c r="CT311" s="1274"/>
      <c r="CU311" s="1274"/>
      <c r="CV311" s="1274"/>
      <c r="CW311" s="1274"/>
      <c r="CX311" s="1274"/>
      <c r="CY311" s="1274"/>
      <c r="CZ311" s="1274"/>
      <c r="DA311" s="1274"/>
      <c r="DB311" s="1274"/>
      <c r="DC311" s="1274"/>
      <c r="DD311" s="1274"/>
      <c r="DE311" s="1274"/>
      <c r="DF311" s="1274"/>
      <c r="DG311" s="1274"/>
      <c r="DH311" s="1274"/>
      <c r="DI311" s="1274"/>
      <c r="DJ311" s="1274"/>
      <c r="DK311" s="1274"/>
      <c r="DL311" s="1274"/>
      <c r="DM311" s="1274"/>
      <c r="DN311" s="1274"/>
      <c r="DO311" s="1274"/>
      <c r="DP311" s="1274"/>
      <c r="DQ311" s="1274"/>
      <c r="DR311" s="1274"/>
      <c r="DS311" s="1274"/>
      <c r="DT311" s="1274"/>
      <c r="DU311" s="1274"/>
      <c r="DV311" s="1274"/>
      <c r="DW311" s="1274"/>
      <c r="DX311" s="1274"/>
      <c r="DY311" s="1274"/>
      <c r="DZ311" s="1274"/>
      <c r="EA311" s="1274"/>
      <c r="EB311" s="1273"/>
      <c r="EC311" s="1273"/>
      <c r="ED311" s="1273"/>
      <c r="EE311" s="1273"/>
      <c r="EF311" s="1273"/>
      <c r="EG311" s="1273"/>
      <c r="EH311" s="1273"/>
      <c r="EI311" s="1273"/>
      <c r="EJ311" s="1273"/>
      <c r="EK311" s="1273"/>
      <c r="EL311" s="1273"/>
      <c r="EM311" s="1313"/>
    </row>
    <row r="312" spans="1:143" s="1271" customFormat="1">
      <c r="B312" s="1272"/>
      <c r="C312" s="1272"/>
      <c r="D312" s="1273"/>
      <c r="E312" s="1273"/>
      <c r="F312" s="1273"/>
      <c r="G312" s="1273"/>
      <c r="H312" s="1273"/>
      <c r="I312" s="1273"/>
      <c r="J312" s="1273"/>
      <c r="K312" s="1273"/>
      <c r="L312" s="1273"/>
      <c r="M312" s="1273"/>
      <c r="N312" s="1273"/>
      <c r="O312" s="1273"/>
      <c r="P312" s="1273"/>
      <c r="Q312" s="1273"/>
      <c r="R312" s="1273"/>
      <c r="S312" s="1273"/>
      <c r="T312" s="1273"/>
      <c r="U312" s="1273"/>
      <c r="V312" s="1273"/>
      <c r="W312" s="1274"/>
      <c r="X312" s="1274"/>
      <c r="Y312" s="1274"/>
      <c r="Z312" s="1274"/>
      <c r="AA312" s="1274"/>
      <c r="AB312" s="1274"/>
      <c r="AC312" s="1274"/>
      <c r="AD312" s="1274"/>
      <c r="AE312" s="1274"/>
      <c r="AF312" s="1274"/>
      <c r="AG312" s="1274"/>
      <c r="AH312" s="1274"/>
      <c r="AI312" s="1274"/>
      <c r="AJ312" s="1274"/>
      <c r="AK312" s="1274"/>
      <c r="AL312" s="1274"/>
      <c r="AM312" s="1274"/>
      <c r="AN312" s="1274"/>
      <c r="AO312" s="1274"/>
      <c r="AP312" s="1274"/>
      <c r="AQ312" s="1274"/>
      <c r="AR312" s="1274"/>
      <c r="AS312" s="1274"/>
      <c r="AT312" s="1274"/>
      <c r="AU312" s="1274"/>
      <c r="AV312" s="1274"/>
      <c r="AW312" s="1274"/>
      <c r="AX312" s="1274"/>
      <c r="AY312" s="1274"/>
      <c r="AZ312" s="1274"/>
      <c r="BA312" s="1274"/>
      <c r="BB312" s="1274"/>
      <c r="BC312" s="1274"/>
      <c r="BD312" s="1274"/>
      <c r="BE312" s="1274"/>
      <c r="BF312" s="1274"/>
      <c r="BG312" s="1274"/>
      <c r="BH312" s="1274"/>
      <c r="BI312" s="1274"/>
      <c r="BJ312" s="1274"/>
      <c r="BK312" s="1274"/>
      <c r="BL312" s="1274"/>
      <c r="BM312" s="1274"/>
      <c r="BN312" s="1274"/>
      <c r="BO312" s="1274"/>
      <c r="BP312" s="1274"/>
      <c r="BQ312" s="1274"/>
      <c r="BR312" s="1274"/>
      <c r="BS312" s="1274"/>
      <c r="BT312" s="1274"/>
      <c r="BU312" s="1274"/>
      <c r="BV312" s="1274"/>
      <c r="BW312" s="1274"/>
      <c r="BX312" s="1274"/>
      <c r="BY312" s="1274"/>
      <c r="BZ312" s="1274"/>
      <c r="CA312" s="1274"/>
      <c r="CB312" s="1274"/>
      <c r="CC312" s="1274"/>
      <c r="CD312" s="1274"/>
      <c r="CE312" s="1274"/>
      <c r="CF312" s="1274"/>
      <c r="CG312" s="1274"/>
      <c r="CH312" s="1269"/>
      <c r="CI312" s="1274"/>
      <c r="CJ312" s="1274"/>
      <c r="CK312" s="1274"/>
      <c r="CL312" s="1274"/>
      <c r="CM312" s="1274"/>
      <c r="CN312" s="1274"/>
      <c r="CO312" s="1274"/>
      <c r="CP312" s="1274"/>
      <c r="CQ312" s="1274"/>
      <c r="CR312" s="1274"/>
      <c r="CS312" s="1274"/>
      <c r="CT312" s="1274"/>
      <c r="CU312" s="1274"/>
      <c r="CV312" s="1274"/>
      <c r="CW312" s="1274"/>
      <c r="CX312" s="1274"/>
      <c r="CY312" s="1274"/>
      <c r="CZ312" s="1274"/>
      <c r="DA312" s="1274"/>
      <c r="DB312" s="1274"/>
      <c r="DC312" s="1274"/>
      <c r="DD312" s="1274"/>
      <c r="DE312" s="1274"/>
      <c r="DF312" s="1274"/>
      <c r="DG312" s="1274"/>
      <c r="DH312" s="1274"/>
      <c r="DI312" s="1274"/>
      <c r="DJ312" s="1274"/>
      <c r="DK312" s="1274"/>
      <c r="DL312" s="1274"/>
      <c r="DM312" s="1274"/>
      <c r="DN312" s="1274"/>
      <c r="DO312" s="1274"/>
      <c r="DP312" s="1274"/>
      <c r="DQ312" s="1274"/>
      <c r="DR312" s="1274"/>
      <c r="DS312" s="1274"/>
      <c r="DT312" s="1274"/>
      <c r="DU312" s="1274"/>
      <c r="DV312" s="1274"/>
      <c r="DW312" s="1274"/>
      <c r="DX312" s="1274"/>
      <c r="DY312" s="1274"/>
      <c r="DZ312" s="1274"/>
      <c r="EA312" s="1274"/>
      <c r="EB312" s="1273"/>
      <c r="EC312" s="1273"/>
      <c r="ED312" s="1273"/>
      <c r="EE312" s="1273"/>
      <c r="EF312" s="1273"/>
      <c r="EG312" s="1273"/>
      <c r="EH312" s="1273"/>
      <c r="EI312" s="1273"/>
      <c r="EJ312" s="1273"/>
      <c r="EK312" s="1273"/>
      <c r="EL312" s="1273"/>
      <c r="EM312" s="1313"/>
    </row>
    <row r="313" spans="1:143" s="1271" customFormat="1">
      <c r="B313" s="1272"/>
      <c r="C313" s="1272"/>
      <c r="D313" s="1273"/>
      <c r="E313" s="1273"/>
      <c r="F313" s="1273"/>
      <c r="G313" s="1273"/>
      <c r="H313" s="1273"/>
      <c r="I313" s="1273"/>
      <c r="J313" s="1273"/>
      <c r="K313" s="1273"/>
      <c r="L313" s="1273"/>
      <c r="M313" s="1273"/>
      <c r="N313" s="1273"/>
      <c r="O313" s="1273"/>
      <c r="P313" s="1273"/>
      <c r="Q313" s="1273"/>
      <c r="R313" s="1273"/>
      <c r="S313" s="1273"/>
      <c r="T313" s="1273"/>
      <c r="U313" s="1273"/>
      <c r="V313" s="1273"/>
      <c r="W313" s="1274"/>
      <c r="X313" s="1274"/>
      <c r="Y313" s="1274"/>
      <c r="Z313" s="1274"/>
      <c r="AA313" s="1274"/>
      <c r="AB313" s="1274"/>
      <c r="AC313" s="1274"/>
      <c r="AD313" s="1274"/>
      <c r="AE313" s="1274"/>
      <c r="AF313" s="1274"/>
      <c r="AG313" s="1274"/>
      <c r="AH313" s="1274"/>
      <c r="AI313" s="1274"/>
      <c r="AJ313" s="1274"/>
      <c r="AK313" s="1274"/>
      <c r="AL313" s="1274"/>
      <c r="AM313" s="1274"/>
      <c r="AN313" s="1274"/>
      <c r="AO313" s="1274"/>
      <c r="AP313" s="1274"/>
      <c r="AQ313" s="1274"/>
      <c r="AR313" s="1274"/>
      <c r="AS313" s="1274"/>
      <c r="AT313" s="1274"/>
      <c r="AU313" s="1274"/>
      <c r="AV313" s="1274"/>
      <c r="AW313" s="1274"/>
      <c r="AX313" s="1274"/>
      <c r="AY313" s="1274"/>
      <c r="AZ313" s="1274"/>
      <c r="BA313" s="1274"/>
      <c r="BB313" s="1274"/>
      <c r="BC313" s="1274"/>
      <c r="BD313" s="1274"/>
      <c r="BE313" s="1274"/>
      <c r="BF313" s="1274"/>
      <c r="BG313" s="1274"/>
      <c r="BH313" s="1274"/>
      <c r="BI313" s="1274"/>
      <c r="BJ313" s="1274"/>
      <c r="BK313" s="1274"/>
      <c r="BL313" s="1274"/>
      <c r="BM313" s="1274"/>
      <c r="BN313" s="1274"/>
      <c r="BO313" s="1274"/>
      <c r="BP313" s="1274"/>
      <c r="BQ313" s="1274"/>
      <c r="BR313" s="1274"/>
      <c r="BS313" s="1274"/>
      <c r="BT313" s="1274"/>
      <c r="BU313" s="1274"/>
      <c r="BV313" s="1274"/>
      <c r="BW313" s="1274"/>
      <c r="BX313" s="1274"/>
      <c r="BY313" s="1274"/>
      <c r="BZ313" s="1274"/>
      <c r="CA313" s="1274"/>
      <c r="CB313" s="1274"/>
      <c r="CC313" s="1274"/>
      <c r="CD313" s="1274"/>
      <c r="CE313" s="1274"/>
      <c r="CF313" s="1274"/>
      <c r="CG313" s="1274"/>
      <c r="CH313" s="1269"/>
      <c r="CI313" s="1274"/>
      <c r="CJ313" s="1274"/>
      <c r="CK313" s="1274"/>
      <c r="CL313" s="1274"/>
      <c r="CM313" s="1274"/>
      <c r="CN313" s="1274"/>
      <c r="CO313" s="1274"/>
      <c r="CP313" s="1274"/>
      <c r="CQ313" s="1274"/>
      <c r="CR313" s="1274"/>
      <c r="CS313" s="1274"/>
      <c r="CT313" s="1274"/>
      <c r="CU313" s="1274"/>
      <c r="CV313" s="1274"/>
      <c r="CW313" s="1274"/>
      <c r="CX313" s="1274"/>
      <c r="CY313" s="1274"/>
      <c r="CZ313" s="1274"/>
      <c r="DA313" s="1274"/>
      <c r="DB313" s="1274"/>
      <c r="DC313" s="1274"/>
      <c r="DD313" s="1274"/>
      <c r="DE313" s="1274"/>
      <c r="DF313" s="1274"/>
      <c r="DG313" s="1274"/>
      <c r="DH313" s="1274"/>
      <c r="DI313" s="1274"/>
      <c r="DJ313" s="1274"/>
      <c r="DK313" s="1274"/>
      <c r="DL313" s="1274"/>
      <c r="DM313" s="1274"/>
      <c r="DN313" s="1274"/>
      <c r="DO313" s="1274"/>
      <c r="DP313" s="1274"/>
      <c r="DQ313" s="1274"/>
      <c r="DR313" s="1274"/>
      <c r="DS313" s="1274"/>
      <c r="DT313" s="1274"/>
      <c r="DU313" s="1274"/>
      <c r="DV313" s="1274"/>
      <c r="DW313" s="1274"/>
      <c r="DX313" s="1274"/>
      <c r="DY313" s="1274"/>
      <c r="DZ313" s="1274"/>
      <c r="EA313" s="1274"/>
      <c r="EB313" s="1273"/>
      <c r="EC313" s="1273"/>
      <c r="ED313" s="1273"/>
      <c r="EE313" s="1273"/>
      <c r="EF313" s="1273"/>
      <c r="EG313" s="1273"/>
      <c r="EH313" s="1273"/>
      <c r="EI313" s="1273"/>
      <c r="EJ313" s="1273"/>
      <c r="EK313" s="1273"/>
      <c r="EL313" s="1273"/>
      <c r="EM313" s="1313"/>
    </row>
    <row r="314" spans="1:143" s="1271" customFormat="1">
      <c r="B314" s="1272"/>
      <c r="C314" s="1272"/>
      <c r="D314" s="1273"/>
      <c r="E314" s="1273"/>
      <c r="F314" s="1273"/>
      <c r="G314" s="1273"/>
      <c r="H314" s="1273"/>
      <c r="I314" s="1273"/>
      <c r="J314" s="1273"/>
      <c r="K314" s="1273"/>
      <c r="L314" s="1273"/>
      <c r="M314" s="1273"/>
      <c r="N314" s="1273"/>
      <c r="O314" s="1273"/>
      <c r="P314" s="1273"/>
      <c r="Q314" s="1273"/>
      <c r="R314" s="1273"/>
      <c r="S314" s="1273"/>
      <c r="T314" s="1273"/>
      <c r="U314" s="1273"/>
      <c r="V314" s="1273"/>
      <c r="W314" s="1274"/>
      <c r="X314" s="1274"/>
      <c r="Y314" s="1274"/>
      <c r="Z314" s="1274"/>
      <c r="AA314" s="1274"/>
      <c r="AB314" s="1274"/>
      <c r="AC314" s="1274"/>
      <c r="AD314" s="1274"/>
      <c r="AE314" s="1274"/>
      <c r="AF314" s="1274"/>
      <c r="AG314" s="1274"/>
      <c r="AH314" s="1274"/>
      <c r="AI314" s="1274"/>
      <c r="AJ314" s="1274"/>
      <c r="AK314" s="1274"/>
      <c r="AL314" s="1274"/>
      <c r="AM314" s="1274"/>
      <c r="AN314" s="1274"/>
      <c r="AO314" s="1274"/>
      <c r="AP314" s="1274"/>
      <c r="AQ314" s="1274"/>
      <c r="AR314" s="1274"/>
      <c r="AS314" s="1274"/>
      <c r="AT314" s="1274"/>
      <c r="AU314" s="1274"/>
      <c r="AV314" s="1274"/>
      <c r="AW314" s="1274"/>
      <c r="AX314" s="1274"/>
      <c r="AY314" s="1274"/>
      <c r="AZ314" s="1274"/>
      <c r="BA314" s="1274"/>
      <c r="BB314" s="1274"/>
      <c r="BC314" s="1274"/>
      <c r="BD314" s="1274"/>
      <c r="BE314" s="1274"/>
      <c r="BF314" s="1274"/>
      <c r="BG314" s="1274"/>
      <c r="BH314" s="1274"/>
      <c r="BI314" s="1274"/>
      <c r="BJ314" s="1274"/>
      <c r="BK314" s="1274"/>
      <c r="BL314" s="1274"/>
      <c r="BM314" s="1274"/>
      <c r="BN314" s="1274"/>
      <c r="BO314" s="1274"/>
      <c r="BP314" s="1274"/>
      <c r="BQ314" s="1274"/>
      <c r="BR314" s="1274"/>
      <c r="BS314" s="1274"/>
      <c r="BT314" s="1274"/>
      <c r="BU314" s="1274"/>
      <c r="BV314" s="1274"/>
      <c r="BW314" s="1274"/>
      <c r="BX314" s="1274"/>
      <c r="BY314" s="1274"/>
      <c r="BZ314" s="1274"/>
      <c r="CA314" s="1274"/>
      <c r="CB314" s="1274"/>
      <c r="CC314" s="1274"/>
      <c r="CD314" s="1274"/>
      <c r="CE314" s="1274"/>
      <c r="CF314" s="1274"/>
      <c r="CG314" s="1274"/>
      <c r="CH314" s="1269"/>
      <c r="CI314" s="1274"/>
      <c r="CJ314" s="1274"/>
      <c r="CK314" s="1274"/>
      <c r="CL314" s="1274"/>
      <c r="CM314" s="1274"/>
      <c r="CN314" s="1274"/>
      <c r="CO314" s="1274"/>
      <c r="CP314" s="1274"/>
      <c r="CQ314" s="1274"/>
      <c r="CR314" s="1274"/>
      <c r="CS314" s="1274"/>
      <c r="CT314" s="1274"/>
      <c r="CU314" s="1274"/>
      <c r="CV314" s="1274"/>
      <c r="CW314" s="1274"/>
      <c r="CX314" s="1274"/>
      <c r="CY314" s="1274"/>
      <c r="CZ314" s="1274"/>
      <c r="DA314" s="1274"/>
      <c r="DB314" s="1274"/>
      <c r="DC314" s="1274"/>
      <c r="DD314" s="1274"/>
      <c r="DE314" s="1274"/>
      <c r="DF314" s="1274"/>
      <c r="DG314" s="1274"/>
      <c r="DH314" s="1274"/>
      <c r="DI314" s="1274"/>
      <c r="DJ314" s="1274"/>
      <c r="DK314" s="1274"/>
      <c r="DL314" s="1274"/>
      <c r="DM314" s="1274"/>
      <c r="DN314" s="1274"/>
      <c r="DO314" s="1274"/>
      <c r="DP314" s="1274"/>
      <c r="DQ314" s="1274"/>
      <c r="DR314" s="1274"/>
      <c r="DS314" s="1274"/>
      <c r="DT314" s="1274"/>
      <c r="DU314" s="1274"/>
      <c r="DV314" s="1274"/>
      <c r="DW314" s="1274"/>
      <c r="DX314" s="1274"/>
      <c r="DY314" s="1274"/>
      <c r="DZ314" s="1274"/>
      <c r="EA314" s="1274"/>
      <c r="EB314" s="1273"/>
      <c r="EC314" s="1273"/>
      <c r="ED314" s="1273"/>
      <c r="EE314" s="1273"/>
      <c r="EF314" s="1273"/>
      <c r="EG314" s="1273"/>
      <c r="EH314" s="1273"/>
      <c r="EI314" s="1273"/>
      <c r="EJ314" s="1273"/>
      <c r="EK314" s="1273"/>
      <c r="EL314" s="1273"/>
      <c r="EM314" s="1313"/>
    </row>
    <row r="315" spans="1:143" s="1271" customFormat="1">
      <c r="B315" s="1272"/>
      <c r="C315" s="1272"/>
      <c r="D315" s="1273"/>
      <c r="E315" s="1273"/>
      <c r="F315" s="1273"/>
      <c r="G315" s="1273"/>
      <c r="H315" s="1273"/>
      <c r="I315" s="1273"/>
      <c r="J315" s="1273"/>
      <c r="K315" s="1273"/>
      <c r="L315" s="1273"/>
      <c r="M315" s="1273"/>
      <c r="N315" s="1273"/>
      <c r="O315" s="1273"/>
      <c r="P315" s="1273"/>
      <c r="Q315" s="1273"/>
      <c r="R315" s="1273"/>
      <c r="S315" s="1273"/>
      <c r="T315" s="1273"/>
      <c r="U315" s="1273"/>
      <c r="V315" s="1273"/>
      <c r="W315" s="1274"/>
      <c r="X315" s="1274"/>
      <c r="Y315" s="1274"/>
      <c r="Z315" s="1274"/>
      <c r="AA315" s="1274"/>
      <c r="AB315" s="1274"/>
      <c r="AC315" s="1274"/>
      <c r="AD315" s="1274"/>
      <c r="AE315" s="1274"/>
      <c r="AF315" s="1274"/>
      <c r="AG315" s="1274"/>
      <c r="AH315" s="1274"/>
      <c r="AI315" s="1274"/>
      <c r="AJ315" s="1274"/>
      <c r="AK315" s="1274"/>
      <c r="AL315" s="1274"/>
      <c r="AM315" s="1274"/>
      <c r="AN315" s="1274"/>
      <c r="AO315" s="1274"/>
      <c r="AP315" s="1274"/>
      <c r="AQ315" s="1274"/>
      <c r="AR315" s="1274"/>
      <c r="AS315" s="1274"/>
      <c r="AT315" s="1274"/>
      <c r="AU315" s="1274"/>
      <c r="AV315" s="1274"/>
      <c r="AW315" s="1274"/>
      <c r="AX315" s="1274"/>
      <c r="AY315" s="1274"/>
      <c r="AZ315" s="1274"/>
      <c r="BA315" s="1274"/>
      <c r="BB315" s="1274"/>
      <c r="BC315" s="1274"/>
      <c r="BD315" s="1274"/>
      <c r="BE315" s="1274"/>
      <c r="BF315" s="1274"/>
      <c r="BG315" s="1274"/>
      <c r="BH315" s="1274"/>
      <c r="BI315" s="1274"/>
      <c r="BJ315" s="1274"/>
      <c r="BK315" s="1274"/>
      <c r="BL315" s="1274"/>
      <c r="BM315" s="1274"/>
      <c r="BN315" s="1274"/>
      <c r="BO315" s="1274"/>
      <c r="BP315" s="1274"/>
      <c r="BQ315" s="1274"/>
      <c r="BR315" s="1274"/>
      <c r="BS315" s="1274"/>
      <c r="BT315" s="1274"/>
      <c r="BU315" s="1274"/>
      <c r="BV315" s="1274"/>
      <c r="BW315" s="1274"/>
      <c r="BX315" s="1274"/>
      <c r="BY315" s="1274"/>
      <c r="BZ315" s="1274"/>
      <c r="CA315" s="1274"/>
      <c r="CB315" s="1274"/>
      <c r="CC315" s="1274"/>
      <c r="CD315" s="1274"/>
      <c r="CE315" s="1274"/>
      <c r="CF315" s="1274"/>
      <c r="CG315" s="1274"/>
      <c r="CH315" s="1269"/>
      <c r="CI315" s="1274"/>
      <c r="CJ315" s="1274"/>
      <c r="CK315" s="1274"/>
      <c r="CL315" s="1274"/>
      <c r="CM315" s="1274"/>
      <c r="CN315" s="1274"/>
      <c r="CO315" s="1274"/>
      <c r="CP315" s="1274"/>
      <c r="CQ315" s="1274"/>
      <c r="CR315" s="1274"/>
      <c r="CS315" s="1274"/>
      <c r="CT315" s="1274"/>
      <c r="CU315" s="1274"/>
      <c r="CV315" s="1274"/>
      <c r="CW315" s="1274"/>
      <c r="CX315" s="1274"/>
      <c r="CY315" s="1274"/>
      <c r="CZ315" s="1274"/>
      <c r="DA315" s="1274"/>
      <c r="DB315" s="1274"/>
      <c r="DC315" s="1274"/>
      <c r="DD315" s="1274"/>
      <c r="DE315" s="1274"/>
      <c r="DF315" s="1274"/>
      <c r="DG315" s="1274"/>
      <c r="DH315" s="1274"/>
      <c r="DI315" s="1274"/>
      <c r="DJ315" s="1274"/>
      <c r="DK315" s="1274"/>
      <c r="DL315" s="1274"/>
      <c r="DM315" s="1274"/>
      <c r="DN315" s="1274"/>
      <c r="DO315" s="1274"/>
      <c r="DP315" s="1274"/>
      <c r="DQ315" s="1274"/>
      <c r="DR315" s="1274"/>
      <c r="DS315" s="1274"/>
      <c r="DT315" s="1274"/>
      <c r="DU315" s="1274"/>
      <c r="DV315" s="1274"/>
      <c r="DW315" s="1274"/>
      <c r="DX315" s="1274"/>
      <c r="DY315" s="1274"/>
      <c r="DZ315" s="1274"/>
      <c r="EA315" s="1274"/>
      <c r="EB315" s="1273"/>
      <c r="EC315" s="1273"/>
      <c r="ED315" s="1273"/>
      <c r="EE315" s="1273"/>
      <c r="EF315" s="1273"/>
      <c r="EG315" s="1273"/>
      <c r="EH315" s="1273"/>
      <c r="EI315" s="1273"/>
      <c r="EJ315" s="1273"/>
      <c r="EK315" s="1273"/>
      <c r="EL315" s="1273"/>
      <c r="EM315" s="1313"/>
    </row>
    <row r="316" spans="1:143" s="1271" customFormat="1">
      <c r="A316" s="1284"/>
      <c r="B316" s="1272"/>
      <c r="C316" s="1272"/>
      <c r="D316" s="1273"/>
      <c r="E316" s="1273"/>
      <c r="F316" s="1273"/>
      <c r="G316" s="1273"/>
      <c r="H316" s="1273"/>
      <c r="I316" s="1273"/>
      <c r="J316" s="1273"/>
      <c r="K316" s="1273"/>
      <c r="L316" s="1273"/>
      <c r="M316" s="1273"/>
      <c r="N316" s="1273"/>
      <c r="O316" s="1273"/>
      <c r="P316" s="1273"/>
      <c r="Q316" s="1273"/>
      <c r="R316" s="1273"/>
      <c r="S316" s="1273"/>
      <c r="T316" s="1273"/>
      <c r="U316" s="1273"/>
      <c r="V316" s="1273"/>
      <c r="W316" s="1274"/>
      <c r="X316" s="1274"/>
      <c r="Y316" s="1274"/>
      <c r="Z316" s="1274"/>
      <c r="AA316" s="1274"/>
      <c r="AB316" s="1274"/>
      <c r="AC316" s="1274"/>
      <c r="AD316" s="1274"/>
      <c r="AE316" s="1274"/>
      <c r="AF316" s="1274"/>
      <c r="AG316" s="1274"/>
      <c r="AH316" s="1274"/>
      <c r="AI316" s="1274"/>
      <c r="AJ316" s="1274"/>
      <c r="AK316" s="1274"/>
      <c r="AL316" s="1274"/>
      <c r="AM316" s="1274"/>
      <c r="AN316" s="1274"/>
      <c r="AO316" s="1274"/>
      <c r="AP316" s="1274"/>
      <c r="AQ316" s="1274"/>
      <c r="AR316" s="1274"/>
      <c r="AS316" s="1274"/>
      <c r="AT316" s="1274"/>
      <c r="AU316" s="1274"/>
      <c r="AV316" s="1274"/>
      <c r="AW316" s="1274"/>
      <c r="AX316" s="1274"/>
      <c r="AY316" s="1274"/>
      <c r="AZ316" s="1274"/>
      <c r="BA316" s="1274"/>
      <c r="BB316" s="1274"/>
      <c r="BC316" s="1274"/>
      <c r="BD316" s="1274"/>
      <c r="BE316" s="1274"/>
      <c r="BF316" s="1274"/>
      <c r="BG316" s="1274"/>
      <c r="BH316" s="1274"/>
      <c r="BI316" s="1274"/>
      <c r="BJ316" s="1274"/>
      <c r="BK316" s="1274"/>
      <c r="BL316" s="1274"/>
      <c r="BM316" s="1274"/>
      <c r="BN316" s="1274"/>
      <c r="BO316" s="1274"/>
      <c r="BP316" s="1274"/>
      <c r="BQ316" s="1274"/>
      <c r="BR316" s="1274"/>
      <c r="BS316" s="1274"/>
      <c r="BT316" s="1274"/>
      <c r="BU316" s="1274"/>
      <c r="BV316" s="1274"/>
      <c r="BW316" s="1274"/>
      <c r="BX316" s="1274"/>
      <c r="BY316" s="1274"/>
      <c r="BZ316" s="1274"/>
      <c r="CA316" s="1274"/>
      <c r="CB316" s="1274"/>
      <c r="CC316" s="1274"/>
      <c r="CD316" s="1274"/>
      <c r="CE316" s="1274"/>
      <c r="CF316" s="1274"/>
      <c r="CG316" s="1274"/>
      <c r="CH316" s="1269"/>
      <c r="CI316" s="1274"/>
      <c r="CJ316" s="1274"/>
      <c r="CK316" s="1274"/>
      <c r="CL316" s="1274"/>
      <c r="CM316" s="1274"/>
      <c r="CN316" s="1274"/>
      <c r="CO316" s="1274"/>
      <c r="CP316" s="1274"/>
      <c r="CQ316" s="1274"/>
      <c r="CR316" s="1274"/>
      <c r="CS316" s="1274"/>
      <c r="CT316" s="1274"/>
      <c r="CU316" s="1274"/>
      <c r="CV316" s="1274"/>
      <c r="CW316" s="1274"/>
      <c r="CX316" s="1274"/>
      <c r="CY316" s="1274"/>
      <c r="CZ316" s="1274"/>
      <c r="DA316" s="1274"/>
      <c r="DB316" s="1274"/>
      <c r="DC316" s="1274"/>
      <c r="DD316" s="1274"/>
      <c r="DE316" s="1274"/>
      <c r="DF316" s="1274"/>
      <c r="DG316" s="1274"/>
      <c r="DH316" s="1274"/>
      <c r="DI316" s="1274"/>
      <c r="DJ316" s="1274"/>
      <c r="DK316" s="1274"/>
      <c r="DL316" s="1274"/>
      <c r="DM316" s="1274"/>
      <c r="DN316" s="1274"/>
      <c r="DO316" s="1274"/>
      <c r="DP316" s="1274"/>
      <c r="DQ316" s="1274"/>
      <c r="DR316" s="1274"/>
      <c r="DS316" s="1274"/>
      <c r="DT316" s="1274"/>
      <c r="DU316" s="1274"/>
      <c r="DV316" s="1274"/>
      <c r="DW316" s="1274"/>
      <c r="DX316" s="1274"/>
      <c r="DY316" s="1274"/>
      <c r="DZ316" s="1274"/>
      <c r="EA316" s="1274"/>
      <c r="EB316" s="1273"/>
      <c r="EC316" s="1273"/>
      <c r="ED316" s="1273"/>
      <c r="EE316" s="1273"/>
      <c r="EF316" s="1273"/>
      <c r="EG316" s="1273"/>
      <c r="EH316" s="1273"/>
      <c r="EI316" s="1273"/>
      <c r="EJ316" s="1273"/>
      <c r="EK316" s="1273"/>
      <c r="EL316" s="1273"/>
      <c r="EM316" s="1313"/>
    </row>
    <row r="317" spans="1:143" s="1271" customFormat="1">
      <c r="B317" s="1276"/>
      <c r="C317" s="1276"/>
      <c r="D317" s="1276"/>
      <c r="E317" s="1276"/>
      <c r="F317" s="1276"/>
      <c r="G317" s="1276"/>
      <c r="H317" s="1276"/>
      <c r="I317" s="1276"/>
      <c r="J317" s="1276"/>
      <c r="K317" s="1276"/>
      <c r="L317" s="1276"/>
      <c r="M317" s="1276"/>
      <c r="N317" s="1276"/>
      <c r="O317" s="1276"/>
      <c r="P317" s="1276"/>
      <c r="Q317" s="1276"/>
      <c r="R317" s="1276"/>
      <c r="S317" s="1276"/>
      <c r="T317" s="1276"/>
      <c r="U317" s="1276"/>
      <c r="V317" s="1276"/>
      <c r="W317" s="1277"/>
      <c r="X317" s="1277"/>
      <c r="Y317" s="1277"/>
      <c r="Z317" s="1277"/>
      <c r="AA317" s="1277"/>
      <c r="AB317" s="1277"/>
      <c r="AC317" s="1277"/>
      <c r="AD317" s="1277"/>
      <c r="AE317" s="1277"/>
      <c r="AF317" s="1277"/>
      <c r="AG317" s="1277"/>
      <c r="AH317" s="1277"/>
      <c r="AI317" s="1277"/>
      <c r="AJ317" s="1277"/>
      <c r="AK317" s="1277"/>
      <c r="AL317" s="1277"/>
      <c r="AM317" s="1277"/>
      <c r="AN317" s="1277"/>
      <c r="AO317" s="1277"/>
      <c r="AP317" s="1277"/>
      <c r="AQ317" s="1277"/>
      <c r="AR317" s="1277"/>
      <c r="AS317" s="1277"/>
      <c r="AT317" s="1277"/>
      <c r="AU317" s="1277"/>
      <c r="AV317" s="1277"/>
      <c r="AW317" s="1277"/>
      <c r="AX317" s="1277"/>
      <c r="AY317" s="1277"/>
      <c r="AZ317" s="1277"/>
      <c r="BA317" s="1277"/>
      <c r="BB317" s="1277"/>
      <c r="BC317" s="1277"/>
      <c r="BD317" s="1277"/>
      <c r="BE317" s="1277"/>
      <c r="BF317" s="1277"/>
      <c r="BG317" s="1277"/>
      <c r="BH317" s="1277"/>
      <c r="BI317" s="1277"/>
      <c r="BJ317" s="1277"/>
      <c r="BK317" s="1277"/>
      <c r="BL317" s="1277"/>
      <c r="BM317" s="1277"/>
      <c r="BN317" s="1277"/>
      <c r="BO317" s="1277"/>
      <c r="BP317" s="1277"/>
      <c r="BQ317" s="1277"/>
      <c r="BR317" s="1277"/>
      <c r="BS317" s="1277"/>
      <c r="BT317" s="1277"/>
      <c r="BU317" s="1277"/>
      <c r="BV317" s="1277"/>
      <c r="BW317" s="1277"/>
      <c r="BX317" s="1277"/>
      <c r="BY317" s="1277"/>
      <c r="BZ317" s="1277"/>
      <c r="CA317" s="1277"/>
      <c r="CB317" s="1277"/>
      <c r="CC317" s="1277"/>
      <c r="CD317" s="1277"/>
      <c r="CE317" s="1277"/>
      <c r="CF317" s="1277"/>
      <c r="CG317" s="1277"/>
      <c r="CH317" s="1269"/>
      <c r="CI317" s="1277"/>
      <c r="CJ317" s="1277"/>
      <c r="CK317" s="1277"/>
      <c r="CL317" s="1277"/>
      <c r="CM317" s="1277"/>
      <c r="CN317" s="1277"/>
      <c r="CO317" s="1277"/>
      <c r="CP317" s="1277"/>
      <c r="CQ317" s="1277"/>
      <c r="CR317" s="1277"/>
      <c r="CS317" s="1277"/>
      <c r="CT317" s="1277"/>
      <c r="CU317" s="1277"/>
      <c r="CV317" s="1277"/>
      <c r="CW317" s="1277"/>
      <c r="CX317" s="1277"/>
      <c r="CY317" s="1277"/>
      <c r="CZ317" s="1277"/>
      <c r="DA317" s="1277"/>
      <c r="DB317" s="1277"/>
      <c r="DC317" s="1277"/>
      <c r="DD317" s="1277"/>
      <c r="DE317" s="1277"/>
      <c r="DF317" s="1277"/>
      <c r="DG317" s="1277"/>
      <c r="DH317" s="1277"/>
      <c r="DI317" s="1277"/>
      <c r="DJ317" s="1277"/>
      <c r="DK317" s="1277"/>
      <c r="DL317" s="1277"/>
      <c r="DM317" s="1277"/>
      <c r="DN317" s="1277"/>
      <c r="DO317" s="1277"/>
      <c r="DP317" s="1277"/>
      <c r="DQ317" s="1277"/>
      <c r="DR317" s="1277"/>
      <c r="DS317" s="1277"/>
      <c r="DT317" s="1277"/>
      <c r="DU317" s="1277"/>
      <c r="DV317" s="1277"/>
      <c r="DW317" s="1277"/>
      <c r="DX317" s="1277"/>
      <c r="DY317" s="1277"/>
      <c r="DZ317" s="1277"/>
      <c r="EA317" s="1277"/>
      <c r="EB317" s="1276"/>
      <c r="EC317" s="1276"/>
      <c r="ED317" s="1276"/>
      <c r="EE317" s="1276"/>
      <c r="EF317" s="1276"/>
      <c r="EG317" s="1276"/>
      <c r="EH317" s="1276"/>
      <c r="EI317" s="1276"/>
      <c r="EJ317" s="1276"/>
      <c r="EK317" s="1275"/>
      <c r="EL317" s="1275"/>
      <c r="EM317" s="1313"/>
    </row>
    <row r="318" spans="1:143" s="1271" customFormat="1">
      <c r="B318" s="1276"/>
      <c r="C318" s="1276"/>
      <c r="D318" s="1276"/>
      <c r="E318" s="1276"/>
      <c r="F318" s="1276"/>
      <c r="G318" s="1276"/>
      <c r="H318" s="1276"/>
      <c r="I318" s="1276"/>
      <c r="J318" s="1276"/>
      <c r="K318" s="1276"/>
      <c r="L318" s="1276"/>
      <c r="M318" s="1276"/>
      <c r="N318" s="1276"/>
      <c r="O318" s="1276"/>
      <c r="P318" s="1276"/>
      <c r="Q318" s="1276"/>
      <c r="R318" s="1276"/>
      <c r="S318" s="1276"/>
      <c r="T318" s="1276"/>
      <c r="U318" s="1276"/>
      <c r="V318" s="1276"/>
      <c r="W318" s="1277"/>
      <c r="X318" s="1277"/>
      <c r="Y318" s="1277"/>
      <c r="Z318" s="1277"/>
      <c r="AA318" s="1277"/>
      <c r="AB318" s="1277"/>
      <c r="AC318" s="1277"/>
      <c r="AD318" s="1277"/>
      <c r="AE318" s="1277"/>
      <c r="AF318" s="1277"/>
      <c r="AG318" s="1277"/>
      <c r="AH318" s="1277"/>
      <c r="AI318" s="1277"/>
      <c r="AJ318" s="1277"/>
      <c r="AK318" s="1277"/>
      <c r="AL318" s="1277"/>
      <c r="AM318" s="1277"/>
      <c r="AN318" s="1277"/>
      <c r="AO318" s="1277"/>
      <c r="AP318" s="1277"/>
      <c r="AQ318" s="1277"/>
      <c r="AR318" s="1277"/>
      <c r="AS318" s="1277"/>
      <c r="AT318" s="1277"/>
      <c r="AU318" s="1277"/>
      <c r="AV318" s="1277"/>
      <c r="AW318" s="1277"/>
      <c r="AX318" s="1277"/>
      <c r="AY318" s="1277"/>
      <c r="AZ318" s="1277"/>
      <c r="BA318" s="1277"/>
      <c r="BB318" s="1277"/>
      <c r="BC318" s="1277"/>
      <c r="BD318" s="1277"/>
      <c r="BE318" s="1277"/>
      <c r="BF318" s="1277"/>
      <c r="BG318" s="1277"/>
      <c r="BH318" s="1277"/>
      <c r="BI318" s="1277"/>
      <c r="BJ318" s="1277"/>
      <c r="BK318" s="1277"/>
      <c r="BL318" s="1277"/>
      <c r="BM318" s="1277"/>
      <c r="BN318" s="1277"/>
      <c r="BO318" s="1277"/>
      <c r="BP318" s="1277"/>
      <c r="BQ318" s="1277"/>
      <c r="BR318" s="1277"/>
      <c r="BS318" s="1277"/>
      <c r="BT318" s="1277"/>
      <c r="BU318" s="1277"/>
      <c r="BV318" s="1277"/>
      <c r="BW318" s="1277"/>
      <c r="BX318" s="1277"/>
      <c r="BY318" s="1277"/>
      <c r="BZ318" s="1277"/>
      <c r="CA318" s="1277"/>
      <c r="CB318" s="1277"/>
      <c r="CC318" s="1277"/>
      <c r="CD318" s="1277"/>
      <c r="CE318" s="1277"/>
      <c r="CF318" s="1277"/>
      <c r="CG318" s="1277"/>
      <c r="CH318" s="1269"/>
      <c r="CI318" s="1277"/>
      <c r="CJ318" s="1277"/>
      <c r="CK318" s="1277"/>
      <c r="CL318" s="1277"/>
      <c r="CM318" s="1277"/>
      <c r="CN318" s="1277"/>
      <c r="CO318" s="1277"/>
      <c r="CP318" s="1277"/>
      <c r="CQ318" s="1277"/>
      <c r="CR318" s="1277"/>
      <c r="CS318" s="1277"/>
      <c r="CT318" s="1277"/>
      <c r="CU318" s="1277"/>
      <c r="CV318" s="1277"/>
      <c r="CW318" s="1277"/>
      <c r="CX318" s="1277"/>
      <c r="CY318" s="1277"/>
      <c r="CZ318" s="1277"/>
      <c r="DA318" s="1277"/>
      <c r="DB318" s="1277"/>
      <c r="DC318" s="1277"/>
      <c r="DD318" s="1277"/>
      <c r="DE318" s="1277"/>
      <c r="DF318" s="1277"/>
      <c r="DG318" s="1277"/>
      <c r="DH318" s="1277"/>
      <c r="DI318" s="1277"/>
      <c r="DJ318" s="1277"/>
      <c r="DK318" s="1277"/>
      <c r="DL318" s="1277"/>
      <c r="DM318" s="1277"/>
      <c r="DN318" s="1277"/>
      <c r="DO318" s="1277"/>
      <c r="DP318" s="1277"/>
      <c r="DQ318" s="1277"/>
      <c r="DR318" s="1277"/>
      <c r="DS318" s="1277"/>
      <c r="DT318" s="1277"/>
      <c r="DU318" s="1277"/>
      <c r="DV318" s="1277"/>
      <c r="DW318" s="1277"/>
      <c r="DX318" s="1277"/>
      <c r="DY318" s="1277"/>
      <c r="DZ318" s="1277"/>
      <c r="EA318" s="1277"/>
      <c r="EB318" s="1276"/>
      <c r="EC318" s="1276"/>
      <c r="ED318" s="1276"/>
      <c r="EE318" s="1276"/>
      <c r="EF318" s="1276"/>
      <c r="EG318" s="1276"/>
      <c r="EH318" s="1276"/>
      <c r="EI318" s="1276"/>
      <c r="EJ318" s="1276"/>
      <c r="EK318" s="1275"/>
      <c r="EL318" s="1275"/>
      <c r="EM318" s="1313"/>
    </row>
    <row r="319" spans="1:143" s="1271" customFormat="1">
      <c r="B319" s="1276"/>
      <c r="C319" s="1276"/>
      <c r="D319" s="1276"/>
      <c r="E319" s="1276"/>
      <c r="F319" s="1276"/>
      <c r="G319" s="1276"/>
      <c r="H319" s="1276"/>
      <c r="I319" s="1276"/>
      <c r="J319" s="1276"/>
      <c r="K319" s="1276"/>
      <c r="L319" s="1276"/>
      <c r="M319" s="1276"/>
      <c r="N319" s="1276"/>
      <c r="O319" s="1276"/>
      <c r="P319" s="1276"/>
      <c r="Q319" s="1276"/>
      <c r="R319" s="1276"/>
      <c r="S319" s="1276"/>
      <c r="T319" s="1276"/>
      <c r="U319" s="1276"/>
      <c r="V319" s="1276"/>
      <c r="W319" s="1277"/>
      <c r="X319" s="1277"/>
      <c r="Y319" s="1277"/>
      <c r="Z319" s="1277"/>
      <c r="AA319" s="1277"/>
      <c r="AB319" s="1277"/>
      <c r="AC319" s="1277"/>
      <c r="AD319" s="1277"/>
      <c r="AE319" s="1277"/>
      <c r="AF319" s="1277"/>
      <c r="AG319" s="1277"/>
      <c r="AH319" s="1277"/>
      <c r="AI319" s="1277"/>
      <c r="AJ319" s="1277"/>
      <c r="AK319" s="1277"/>
      <c r="AL319" s="1277"/>
      <c r="AM319" s="1277"/>
      <c r="AN319" s="1277"/>
      <c r="AO319" s="1277"/>
      <c r="AP319" s="1277"/>
      <c r="AQ319" s="1277"/>
      <c r="AR319" s="1277"/>
      <c r="AS319" s="1277"/>
      <c r="AT319" s="1277"/>
      <c r="AU319" s="1277"/>
      <c r="AV319" s="1277"/>
      <c r="AW319" s="1277"/>
      <c r="AX319" s="1277"/>
      <c r="AY319" s="1277"/>
      <c r="AZ319" s="1277"/>
      <c r="BA319" s="1277"/>
      <c r="BB319" s="1277"/>
      <c r="BC319" s="1277"/>
      <c r="BD319" s="1277"/>
      <c r="BE319" s="1277"/>
      <c r="BF319" s="1277"/>
      <c r="BG319" s="1277"/>
      <c r="BH319" s="1277"/>
      <c r="BI319" s="1277"/>
      <c r="BJ319" s="1277"/>
      <c r="BK319" s="1277"/>
      <c r="BL319" s="1277"/>
      <c r="BM319" s="1277"/>
      <c r="BN319" s="1277"/>
      <c r="BO319" s="1277"/>
      <c r="BP319" s="1277"/>
      <c r="BQ319" s="1277"/>
      <c r="BR319" s="1277"/>
      <c r="BS319" s="1277"/>
      <c r="BT319" s="1277"/>
      <c r="BU319" s="1277"/>
      <c r="BV319" s="1277"/>
      <c r="BW319" s="1277"/>
      <c r="BX319" s="1277"/>
      <c r="BY319" s="1277"/>
      <c r="BZ319" s="1277"/>
      <c r="CA319" s="1277"/>
      <c r="CB319" s="1277"/>
      <c r="CC319" s="1277"/>
      <c r="CD319" s="1277"/>
      <c r="CE319" s="1277"/>
      <c r="CF319" s="1277"/>
      <c r="CG319" s="1277"/>
      <c r="CH319" s="1269"/>
      <c r="CI319" s="1277"/>
      <c r="CJ319" s="1277"/>
      <c r="CK319" s="1277"/>
      <c r="CL319" s="1277"/>
      <c r="CM319" s="1277"/>
      <c r="CN319" s="1277"/>
      <c r="CO319" s="1277"/>
      <c r="CP319" s="1277"/>
      <c r="CQ319" s="1277"/>
      <c r="CR319" s="1277"/>
      <c r="CS319" s="1277"/>
      <c r="CT319" s="1277"/>
      <c r="CU319" s="1277"/>
      <c r="CV319" s="1277"/>
      <c r="CW319" s="1277"/>
      <c r="CX319" s="1277"/>
      <c r="CY319" s="1277"/>
      <c r="CZ319" s="1277"/>
      <c r="DA319" s="1277"/>
      <c r="DB319" s="1277"/>
      <c r="DC319" s="1277"/>
      <c r="DD319" s="1277"/>
      <c r="DE319" s="1277"/>
      <c r="DF319" s="1277"/>
      <c r="DG319" s="1277"/>
      <c r="DH319" s="1277"/>
      <c r="DI319" s="1277"/>
      <c r="DJ319" s="1277"/>
      <c r="DK319" s="1277"/>
      <c r="DL319" s="1277"/>
      <c r="DM319" s="1277"/>
      <c r="DN319" s="1277"/>
      <c r="DO319" s="1277"/>
      <c r="DP319" s="1277"/>
      <c r="DQ319" s="1277"/>
      <c r="DR319" s="1277"/>
      <c r="DS319" s="1277"/>
      <c r="DT319" s="1277"/>
      <c r="DU319" s="1277"/>
      <c r="DV319" s="1277"/>
      <c r="DW319" s="1277"/>
      <c r="DX319" s="1277"/>
      <c r="DY319" s="1277"/>
      <c r="DZ319" s="1277"/>
      <c r="EA319" s="1277"/>
      <c r="EB319" s="1276"/>
      <c r="EC319" s="1276"/>
      <c r="ED319" s="1276"/>
      <c r="EE319" s="1276"/>
      <c r="EF319" s="1276"/>
      <c r="EG319" s="1276"/>
      <c r="EH319" s="1276"/>
      <c r="EI319" s="1276"/>
      <c r="EJ319" s="1276"/>
      <c r="EK319" s="1275"/>
      <c r="EL319" s="1275"/>
      <c r="EM319" s="1313"/>
    </row>
    <row r="320" spans="1:143" s="1271" customFormat="1">
      <c r="B320" s="1276"/>
      <c r="C320" s="1276"/>
      <c r="D320" s="1276"/>
      <c r="E320" s="1276"/>
      <c r="F320" s="1276"/>
      <c r="G320" s="1276"/>
      <c r="H320" s="1276"/>
      <c r="I320" s="1276"/>
      <c r="J320" s="1276"/>
      <c r="K320" s="1276"/>
      <c r="L320" s="1276"/>
      <c r="M320" s="1276"/>
      <c r="N320" s="1276"/>
      <c r="O320" s="1276"/>
      <c r="P320" s="1276"/>
      <c r="Q320" s="1276"/>
      <c r="R320" s="1276"/>
      <c r="S320" s="1276"/>
      <c r="T320" s="1276"/>
      <c r="U320" s="1276"/>
      <c r="V320" s="1276"/>
      <c r="W320" s="1277"/>
      <c r="X320" s="1277"/>
      <c r="Y320" s="1277"/>
      <c r="Z320" s="1277"/>
      <c r="AA320" s="1277"/>
      <c r="AB320" s="1277"/>
      <c r="AC320" s="1277"/>
      <c r="AD320" s="1277"/>
      <c r="AE320" s="1277"/>
      <c r="AF320" s="1277"/>
      <c r="AG320" s="1277"/>
      <c r="AH320" s="1277"/>
      <c r="AI320" s="1277"/>
      <c r="AJ320" s="1277"/>
      <c r="AK320" s="1277"/>
      <c r="AL320" s="1277"/>
      <c r="AM320" s="1277"/>
      <c r="AN320" s="1277"/>
      <c r="AO320" s="1277"/>
      <c r="AP320" s="1277"/>
      <c r="AQ320" s="1277"/>
      <c r="AR320" s="1277"/>
      <c r="AS320" s="1277"/>
      <c r="AT320" s="1277"/>
      <c r="AU320" s="1277"/>
      <c r="AV320" s="1277"/>
      <c r="AW320" s="1277"/>
      <c r="AX320" s="1277"/>
      <c r="AY320" s="1277"/>
      <c r="AZ320" s="1277"/>
      <c r="BA320" s="1277"/>
      <c r="BB320" s="1277"/>
      <c r="BC320" s="1277"/>
      <c r="BD320" s="1277"/>
      <c r="BE320" s="1277"/>
      <c r="BF320" s="1277"/>
      <c r="BG320" s="1277"/>
      <c r="BH320" s="1277"/>
      <c r="BI320" s="1277"/>
      <c r="BJ320" s="1277"/>
      <c r="BK320" s="1277"/>
      <c r="BL320" s="1277"/>
      <c r="BM320" s="1277"/>
      <c r="BN320" s="1277"/>
      <c r="BO320" s="1277"/>
      <c r="BP320" s="1277"/>
      <c r="BQ320" s="1277"/>
      <c r="BR320" s="1277"/>
      <c r="BS320" s="1277"/>
      <c r="BT320" s="1277"/>
      <c r="BU320" s="1277"/>
      <c r="BV320" s="1277"/>
      <c r="BW320" s="1277"/>
      <c r="BX320" s="1277"/>
      <c r="BY320" s="1277"/>
      <c r="BZ320" s="1277"/>
      <c r="CA320" s="1277"/>
      <c r="CB320" s="1277"/>
      <c r="CC320" s="1277"/>
      <c r="CD320" s="1277"/>
      <c r="CE320" s="1277"/>
      <c r="CF320" s="1277"/>
      <c r="CG320" s="1277"/>
      <c r="CH320" s="1269"/>
      <c r="CI320" s="1277"/>
      <c r="CJ320" s="1277"/>
      <c r="CK320" s="1277"/>
      <c r="CL320" s="1277"/>
      <c r="CM320" s="1277"/>
      <c r="CN320" s="1277"/>
      <c r="CO320" s="1277"/>
      <c r="CP320" s="1277"/>
      <c r="CQ320" s="1277"/>
      <c r="CR320" s="1277"/>
      <c r="CS320" s="1277"/>
      <c r="CT320" s="1277"/>
      <c r="CU320" s="1277"/>
      <c r="CV320" s="1277"/>
      <c r="CW320" s="1277"/>
      <c r="CX320" s="1277"/>
      <c r="CY320" s="1277"/>
      <c r="CZ320" s="1277"/>
      <c r="DA320" s="1277"/>
      <c r="DB320" s="1277"/>
      <c r="DC320" s="1277"/>
      <c r="DD320" s="1277"/>
      <c r="DE320" s="1277"/>
      <c r="DF320" s="1277"/>
      <c r="DG320" s="1277"/>
      <c r="DH320" s="1277"/>
      <c r="DI320" s="1277"/>
      <c r="DJ320" s="1277"/>
      <c r="DK320" s="1277"/>
      <c r="DL320" s="1277"/>
      <c r="DM320" s="1277"/>
      <c r="DN320" s="1277"/>
      <c r="DO320" s="1277"/>
      <c r="DP320" s="1277"/>
      <c r="DQ320" s="1277"/>
      <c r="DR320" s="1277"/>
      <c r="DS320" s="1277"/>
      <c r="DT320" s="1277"/>
      <c r="DU320" s="1277"/>
      <c r="DV320" s="1277"/>
      <c r="DW320" s="1277"/>
      <c r="DX320" s="1277"/>
      <c r="DY320" s="1277"/>
      <c r="DZ320" s="1277"/>
      <c r="EA320" s="1277"/>
      <c r="EB320" s="1276"/>
      <c r="EC320" s="1276"/>
      <c r="ED320" s="1276"/>
      <c r="EE320" s="1276"/>
      <c r="EF320" s="1276"/>
      <c r="EG320" s="1276"/>
      <c r="EH320" s="1276"/>
      <c r="EI320" s="1276"/>
      <c r="EJ320" s="1276"/>
      <c r="EK320" s="1275"/>
      <c r="EL320" s="1275"/>
      <c r="EM320" s="1313"/>
    </row>
    <row r="321" spans="1:143" s="1271" customFormat="1">
      <c r="A321" s="1262"/>
      <c r="B321" s="1276"/>
      <c r="C321" s="1276"/>
      <c r="D321" s="1276"/>
      <c r="E321" s="1276"/>
      <c r="F321" s="1276"/>
      <c r="G321" s="1276"/>
      <c r="H321" s="1276"/>
      <c r="I321" s="1276"/>
      <c r="J321" s="1276"/>
      <c r="K321" s="1276"/>
      <c r="L321" s="1276"/>
      <c r="M321" s="1276"/>
      <c r="N321" s="1276"/>
      <c r="O321" s="1276"/>
      <c r="P321" s="1276"/>
      <c r="Q321" s="1276"/>
      <c r="R321" s="1276"/>
      <c r="S321" s="1276"/>
      <c r="T321" s="1276"/>
      <c r="U321" s="1276"/>
      <c r="V321" s="1276"/>
      <c r="W321" s="1277"/>
      <c r="X321" s="1277"/>
      <c r="Y321" s="1277"/>
      <c r="Z321" s="1277"/>
      <c r="AA321" s="1277"/>
      <c r="AB321" s="1277"/>
      <c r="AC321" s="1277"/>
      <c r="AD321" s="1277"/>
      <c r="AE321" s="1277"/>
      <c r="AF321" s="1277"/>
      <c r="AG321" s="1277"/>
      <c r="AH321" s="1277"/>
      <c r="AI321" s="1277"/>
      <c r="AJ321" s="1277"/>
      <c r="AK321" s="1277"/>
      <c r="AL321" s="1277"/>
      <c r="AM321" s="1277"/>
      <c r="AN321" s="1277"/>
      <c r="AO321" s="1277"/>
      <c r="AP321" s="1277"/>
      <c r="AQ321" s="1277"/>
      <c r="AR321" s="1277"/>
      <c r="AS321" s="1277"/>
      <c r="AT321" s="1277"/>
      <c r="AU321" s="1277"/>
      <c r="AV321" s="1277"/>
      <c r="AW321" s="1277"/>
      <c r="AX321" s="1277"/>
      <c r="AY321" s="1277"/>
      <c r="AZ321" s="1277"/>
      <c r="BA321" s="1277"/>
      <c r="BB321" s="1277"/>
      <c r="BC321" s="1277"/>
      <c r="BD321" s="1277"/>
      <c r="BE321" s="1277"/>
      <c r="BF321" s="1277"/>
      <c r="BG321" s="1277"/>
      <c r="BH321" s="1277"/>
      <c r="BI321" s="1277"/>
      <c r="BJ321" s="1277"/>
      <c r="BK321" s="1277"/>
      <c r="BL321" s="1277"/>
      <c r="BM321" s="1277"/>
      <c r="BN321" s="1277"/>
      <c r="BO321" s="1277"/>
      <c r="BP321" s="1277"/>
      <c r="BQ321" s="1277"/>
      <c r="BR321" s="1277"/>
      <c r="BS321" s="1277"/>
      <c r="BT321" s="1277"/>
      <c r="BU321" s="1277"/>
      <c r="BV321" s="1277"/>
      <c r="BW321" s="1277"/>
      <c r="BX321" s="1277"/>
      <c r="BY321" s="1277"/>
      <c r="BZ321" s="1277"/>
      <c r="CA321" s="1277"/>
      <c r="CB321" s="1277"/>
      <c r="CC321" s="1277"/>
      <c r="CD321" s="1277"/>
      <c r="CE321" s="1277"/>
      <c r="CF321" s="1277"/>
      <c r="CG321" s="1277"/>
      <c r="CH321" s="1269"/>
      <c r="CI321" s="1277"/>
      <c r="CJ321" s="1277"/>
      <c r="CK321" s="1277"/>
      <c r="CL321" s="1277"/>
      <c r="CM321" s="1277"/>
      <c r="CN321" s="1277"/>
      <c r="CO321" s="1277"/>
      <c r="CP321" s="1277"/>
      <c r="CQ321" s="1277"/>
      <c r="CR321" s="1277"/>
      <c r="CS321" s="1277"/>
      <c r="CT321" s="1277"/>
      <c r="CU321" s="1277"/>
      <c r="CV321" s="1277"/>
      <c r="CW321" s="1277"/>
      <c r="CX321" s="1277"/>
      <c r="CY321" s="1277"/>
      <c r="CZ321" s="1277"/>
      <c r="DA321" s="1277"/>
      <c r="DB321" s="1277"/>
      <c r="DC321" s="1277"/>
      <c r="DD321" s="1277"/>
      <c r="DE321" s="1277"/>
      <c r="DF321" s="1277"/>
      <c r="DG321" s="1277"/>
      <c r="DH321" s="1277"/>
      <c r="DI321" s="1277"/>
      <c r="DJ321" s="1277"/>
      <c r="DK321" s="1277"/>
      <c r="DL321" s="1277"/>
      <c r="DM321" s="1277"/>
      <c r="DN321" s="1277"/>
      <c r="DO321" s="1277"/>
      <c r="DP321" s="1277"/>
      <c r="DQ321" s="1277"/>
      <c r="DR321" s="1277"/>
      <c r="DS321" s="1277"/>
      <c r="DT321" s="1277"/>
      <c r="DU321" s="1277"/>
      <c r="DV321" s="1277"/>
      <c r="DW321" s="1277"/>
      <c r="DX321" s="1277"/>
      <c r="DY321" s="1277"/>
      <c r="DZ321" s="1277"/>
      <c r="EA321" s="1277"/>
      <c r="EB321" s="1276"/>
      <c r="EC321" s="1276"/>
      <c r="ED321" s="1276"/>
      <c r="EE321" s="1276"/>
      <c r="EF321" s="1276"/>
      <c r="EG321" s="1276"/>
      <c r="EH321" s="1276"/>
      <c r="EI321" s="1276"/>
      <c r="EJ321" s="1276"/>
      <c r="EK321" s="1275"/>
      <c r="EL321" s="1275"/>
      <c r="EM321" s="1313"/>
    </row>
    <row r="322" spans="1:143" s="1271" customFormat="1">
      <c r="B322" s="1272"/>
      <c r="C322" s="1272"/>
      <c r="D322" s="1273"/>
      <c r="E322" s="1273"/>
      <c r="F322" s="1273"/>
      <c r="G322" s="1273"/>
      <c r="H322" s="1273"/>
      <c r="I322" s="1273"/>
      <c r="J322" s="1273"/>
      <c r="K322" s="1273"/>
      <c r="L322" s="1273"/>
      <c r="M322" s="1273"/>
      <c r="N322" s="1273"/>
      <c r="O322" s="1273"/>
      <c r="P322" s="1273"/>
      <c r="Q322" s="1273"/>
      <c r="R322" s="1273"/>
      <c r="S322" s="1273"/>
      <c r="T322" s="1273"/>
      <c r="U322" s="1273"/>
      <c r="V322" s="1273"/>
      <c r="W322" s="1274"/>
      <c r="X322" s="1274"/>
      <c r="Y322" s="1274"/>
      <c r="Z322" s="1274"/>
      <c r="AA322" s="1274"/>
      <c r="AB322" s="1274"/>
      <c r="AC322" s="1274"/>
      <c r="AD322" s="1274"/>
      <c r="AE322" s="1274"/>
      <c r="AF322" s="1274"/>
      <c r="AG322" s="1274"/>
      <c r="AH322" s="1274"/>
      <c r="AI322" s="1274"/>
      <c r="AJ322" s="1274"/>
      <c r="AK322" s="1274"/>
      <c r="AL322" s="1274"/>
      <c r="AM322" s="1274"/>
      <c r="AN322" s="1274"/>
      <c r="AO322" s="1274"/>
      <c r="AP322" s="1274"/>
      <c r="AQ322" s="1274"/>
      <c r="AR322" s="1274"/>
      <c r="AS322" s="1274"/>
      <c r="AT322" s="1274"/>
      <c r="AU322" s="1274"/>
      <c r="AV322" s="1274"/>
      <c r="AW322" s="1274"/>
      <c r="AX322" s="1274"/>
      <c r="AY322" s="1274"/>
      <c r="AZ322" s="1274"/>
      <c r="BA322" s="1274"/>
      <c r="BB322" s="1274"/>
      <c r="BC322" s="1274"/>
      <c r="BD322" s="1274"/>
      <c r="BE322" s="1274"/>
      <c r="BF322" s="1274"/>
      <c r="BG322" s="1274"/>
      <c r="BH322" s="1274"/>
      <c r="BI322" s="1274"/>
      <c r="BJ322" s="1274"/>
      <c r="BK322" s="1274"/>
      <c r="BL322" s="1274"/>
      <c r="BM322" s="1274"/>
      <c r="BN322" s="1274"/>
      <c r="BO322" s="1274"/>
      <c r="BP322" s="1274"/>
      <c r="BQ322" s="1274"/>
      <c r="BR322" s="1274"/>
      <c r="BS322" s="1274"/>
      <c r="BT322" s="1274"/>
      <c r="BU322" s="1274"/>
      <c r="BV322" s="1274"/>
      <c r="BW322" s="1274"/>
      <c r="BX322" s="1274"/>
      <c r="BY322" s="1274"/>
      <c r="BZ322" s="1274"/>
      <c r="CA322" s="1274"/>
      <c r="CB322" s="1274"/>
      <c r="CC322" s="1274"/>
      <c r="CD322" s="1274"/>
      <c r="CE322" s="1274"/>
      <c r="CF322" s="1274"/>
      <c r="CG322" s="1274"/>
      <c r="CH322" s="1269"/>
      <c r="CI322" s="1274"/>
      <c r="CJ322" s="1274"/>
      <c r="CK322" s="1274"/>
      <c r="CL322" s="1274"/>
      <c r="CM322" s="1274"/>
      <c r="CN322" s="1274"/>
      <c r="CO322" s="1274"/>
      <c r="CP322" s="1274"/>
      <c r="CQ322" s="1274"/>
      <c r="CR322" s="1274"/>
      <c r="CS322" s="1274"/>
      <c r="CT322" s="1274"/>
      <c r="CU322" s="1274"/>
      <c r="CV322" s="1274"/>
      <c r="CW322" s="1274"/>
      <c r="CX322" s="1274"/>
      <c r="CY322" s="1274"/>
      <c r="CZ322" s="1274"/>
      <c r="DA322" s="1274"/>
      <c r="DB322" s="1274"/>
      <c r="DC322" s="1274"/>
      <c r="DD322" s="1274"/>
      <c r="DE322" s="1274"/>
      <c r="DF322" s="1274"/>
      <c r="DG322" s="1274"/>
      <c r="DH322" s="1274"/>
      <c r="DI322" s="1274"/>
      <c r="DJ322" s="1274"/>
      <c r="DK322" s="1274"/>
      <c r="DL322" s="1274"/>
      <c r="DM322" s="1274"/>
      <c r="DN322" s="1274"/>
      <c r="DO322" s="1274"/>
      <c r="DP322" s="1274"/>
      <c r="DQ322" s="1274"/>
      <c r="DR322" s="1274"/>
      <c r="DS322" s="1274"/>
      <c r="DT322" s="1274"/>
      <c r="DU322" s="1274"/>
      <c r="DV322" s="1274"/>
      <c r="DW322" s="1274"/>
      <c r="DX322" s="1274"/>
      <c r="DY322" s="1274"/>
      <c r="DZ322" s="1274"/>
      <c r="EA322" s="1274"/>
      <c r="EB322" s="1273"/>
      <c r="EC322" s="1273"/>
      <c r="ED322" s="1273"/>
      <c r="EE322" s="1273"/>
      <c r="EF322" s="1273"/>
      <c r="EG322" s="1273"/>
      <c r="EH322" s="1273"/>
      <c r="EI322" s="1273"/>
      <c r="EJ322" s="1273"/>
      <c r="EK322" s="1273"/>
      <c r="EL322" s="1273"/>
      <c r="EM322" s="1313"/>
    </row>
    <row r="323" spans="1:143" s="1271" customFormat="1">
      <c r="B323" s="1272"/>
      <c r="C323" s="1272"/>
      <c r="D323" s="1273"/>
      <c r="E323" s="1273"/>
      <c r="F323" s="1273"/>
      <c r="G323" s="1273"/>
      <c r="H323" s="1273"/>
      <c r="I323" s="1273"/>
      <c r="J323" s="1273"/>
      <c r="K323" s="1273"/>
      <c r="L323" s="1273"/>
      <c r="M323" s="1273"/>
      <c r="N323" s="1273"/>
      <c r="O323" s="1273"/>
      <c r="P323" s="1273"/>
      <c r="Q323" s="1273"/>
      <c r="R323" s="1273"/>
      <c r="S323" s="1273"/>
      <c r="T323" s="1273"/>
      <c r="U323" s="1273"/>
      <c r="V323" s="1273"/>
      <c r="W323" s="1274"/>
      <c r="X323" s="1274"/>
      <c r="Y323" s="1274"/>
      <c r="Z323" s="1274"/>
      <c r="AA323" s="1274"/>
      <c r="AB323" s="1274"/>
      <c r="AC323" s="1274"/>
      <c r="AD323" s="1274"/>
      <c r="AE323" s="1274"/>
      <c r="AF323" s="1274"/>
      <c r="AG323" s="1274"/>
      <c r="AH323" s="1274"/>
      <c r="AI323" s="1274"/>
      <c r="AJ323" s="1274"/>
      <c r="AK323" s="1274"/>
      <c r="AL323" s="1274"/>
      <c r="AM323" s="1274"/>
      <c r="AN323" s="1274"/>
      <c r="AO323" s="1274"/>
      <c r="AP323" s="1274"/>
      <c r="AQ323" s="1274"/>
      <c r="AR323" s="1274"/>
      <c r="AS323" s="1274"/>
      <c r="AT323" s="1274"/>
      <c r="AU323" s="1274"/>
      <c r="AV323" s="1274"/>
      <c r="AW323" s="1274"/>
      <c r="AX323" s="1274"/>
      <c r="AY323" s="1274"/>
      <c r="AZ323" s="1274"/>
      <c r="BA323" s="1274"/>
      <c r="BB323" s="1274"/>
      <c r="BC323" s="1274"/>
      <c r="BD323" s="1274"/>
      <c r="BE323" s="1274"/>
      <c r="BF323" s="1274"/>
      <c r="BG323" s="1274"/>
      <c r="BH323" s="1274"/>
      <c r="BI323" s="1274"/>
      <c r="BJ323" s="1274"/>
      <c r="BK323" s="1274"/>
      <c r="BL323" s="1274"/>
      <c r="BM323" s="1274"/>
      <c r="BN323" s="1274"/>
      <c r="BO323" s="1274"/>
      <c r="BP323" s="1274"/>
      <c r="BQ323" s="1274"/>
      <c r="BR323" s="1274"/>
      <c r="BS323" s="1274"/>
      <c r="BT323" s="1274"/>
      <c r="BU323" s="1274"/>
      <c r="BV323" s="1274"/>
      <c r="BW323" s="1274"/>
      <c r="BX323" s="1274"/>
      <c r="BY323" s="1274"/>
      <c r="BZ323" s="1274"/>
      <c r="CA323" s="1274"/>
      <c r="CB323" s="1274"/>
      <c r="CC323" s="1274"/>
      <c r="CD323" s="1274"/>
      <c r="CE323" s="1274"/>
      <c r="CF323" s="1274"/>
      <c r="CG323" s="1274"/>
      <c r="CH323" s="1269"/>
      <c r="CI323" s="1274"/>
      <c r="CJ323" s="1274"/>
      <c r="CK323" s="1274"/>
      <c r="CL323" s="1274"/>
      <c r="CM323" s="1274"/>
      <c r="CN323" s="1274"/>
      <c r="CO323" s="1274"/>
      <c r="CP323" s="1274"/>
      <c r="CQ323" s="1274"/>
      <c r="CR323" s="1274"/>
      <c r="CS323" s="1274"/>
      <c r="CT323" s="1274"/>
      <c r="CU323" s="1274"/>
      <c r="CV323" s="1274"/>
      <c r="CW323" s="1274"/>
      <c r="CX323" s="1274"/>
      <c r="CY323" s="1274"/>
      <c r="CZ323" s="1274"/>
      <c r="DA323" s="1274"/>
      <c r="DB323" s="1274"/>
      <c r="DC323" s="1274"/>
      <c r="DD323" s="1274"/>
      <c r="DE323" s="1274"/>
      <c r="DF323" s="1274"/>
      <c r="DG323" s="1274"/>
      <c r="DH323" s="1274"/>
      <c r="DI323" s="1274"/>
      <c r="DJ323" s="1274"/>
      <c r="DK323" s="1274"/>
      <c r="DL323" s="1274"/>
      <c r="DM323" s="1274"/>
      <c r="DN323" s="1274"/>
      <c r="DO323" s="1274"/>
      <c r="DP323" s="1274"/>
      <c r="DQ323" s="1274"/>
      <c r="DR323" s="1274"/>
      <c r="DS323" s="1274"/>
      <c r="DT323" s="1274"/>
      <c r="DU323" s="1274"/>
      <c r="DV323" s="1274"/>
      <c r="DW323" s="1274"/>
      <c r="DX323" s="1274"/>
      <c r="DY323" s="1274"/>
      <c r="DZ323" s="1274"/>
      <c r="EA323" s="1274"/>
      <c r="EB323" s="1273"/>
      <c r="EC323" s="1273"/>
      <c r="ED323" s="1273"/>
      <c r="EE323" s="1273"/>
      <c r="EF323" s="1273"/>
      <c r="EG323" s="1273"/>
      <c r="EH323" s="1273"/>
      <c r="EI323" s="1273"/>
      <c r="EJ323" s="1273"/>
      <c r="EK323" s="1273"/>
      <c r="EL323" s="1273"/>
      <c r="EM323" s="1313"/>
    </row>
    <row r="324" spans="1:143" s="1271" customFormat="1">
      <c r="B324" s="1272"/>
      <c r="C324" s="1272"/>
      <c r="D324" s="1273"/>
      <c r="E324" s="1273"/>
      <c r="F324" s="1273"/>
      <c r="G324" s="1273"/>
      <c r="H324" s="1273"/>
      <c r="I324" s="1273"/>
      <c r="J324" s="1273"/>
      <c r="K324" s="1273"/>
      <c r="L324" s="1273"/>
      <c r="M324" s="1273"/>
      <c r="N324" s="1273"/>
      <c r="O324" s="1273"/>
      <c r="P324" s="1273"/>
      <c r="Q324" s="1273"/>
      <c r="R324" s="1273"/>
      <c r="S324" s="1273"/>
      <c r="T324" s="1273"/>
      <c r="U324" s="1273"/>
      <c r="V324" s="1273"/>
      <c r="W324" s="1274"/>
      <c r="X324" s="1274"/>
      <c r="Y324" s="1274"/>
      <c r="Z324" s="1274"/>
      <c r="AA324" s="1274"/>
      <c r="AB324" s="1274"/>
      <c r="AC324" s="1274"/>
      <c r="AD324" s="1274"/>
      <c r="AE324" s="1274"/>
      <c r="AF324" s="1274"/>
      <c r="AG324" s="1274"/>
      <c r="AH324" s="1274"/>
      <c r="AI324" s="1274"/>
      <c r="AJ324" s="1274"/>
      <c r="AK324" s="1274"/>
      <c r="AL324" s="1274"/>
      <c r="AM324" s="1274"/>
      <c r="AN324" s="1274"/>
      <c r="AO324" s="1274"/>
      <c r="AP324" s="1274"/>
      <c r="AQ324" s="1274"/>
      <c r="AR324" s="1274"/>
      <c r="AS324" s="1274"/>
      <c r="AT324" s="1274"/>
      <c r="AU324" s="1274"/>
      <c r="AV324" s="1274"/>
      <c r="AW324" s="1274"/>
      <c r="AX324" s="1274"/>
      <c r="AY324" s="1274"/>
      <c r="AZ324" s="1274"/>
      <c r="BA324" s="1274"/>
      <c r="BB324" s="1274"/>
      <c r="BC324" s="1274"/>
      <c r="BD324" s="1274"/>
      <c r="BE324" s="1274"/>
      <c r="BF324" s="1274"/>
      <c r="BG324" s="1274"/>
      <c r="BH324" s="1274"/>
      <c r="BI324" s="1274"/>
      <c r="BJ324" s="1274"/>
      <c r="BK324" s="1274"/>
      <c r="BL324" s="1274"/>
      <c r="BM324" s="1274"/>
      <c r="BN324" s="1274"/>
      <c r="BO324" s="1274"/>
      <c r="BP324" s="1274"/>
      <c r="BQ324" s="1274"/>
      <c r="BR324" s="1274"/>
      <c r="BS324" s="1274"/>
      <c r="BT324" s="1274"/>
      <c r="BU324" s="1274"/>
      <c r="BV324" s="1274"/>
      <c r="BW324" s="1274"/>
      <c r="BX324" s="1274"/>
      <c r="BY324" s="1274"/>
      <c r="BZ324" s="1274"/>
      <c r="CA324" s="1274"/>
      <c r="CB324" s="1274"/>
      <c r="CC324" s="1274"/>
      <c r="CD324" s="1274"/>
      <c r="CE324" s="1274"/>
      <c r="CF324" s="1274"/>
      <c r="CG324" s="1274"/>
      <c r="CH324" s="1269"/>
      <c r="CI324" s="1274"/>
      <c r="CJ324" s="1274"/>
      <c r="CK324" s="1274"/>
      <c r="CL324" s="1274"/>
      <c r="CM324" s="1274"/>
      <c r="CN324" s="1274"/>
      <c r="CO324" s="1274"/>
      <c r="CP324" s="1274"/>
      <c r="CQ324" s="1274"/>
      <c r="CR324" s="1274"/>
      <c r="CS324" s="1274"/>
      <c r="CT324" s="1274"/>
      <c r="CU324" s="1274"/>
      <c r="CV324" s="1274"/>
      <c r="CW324" s="1274"/>
      <c r="CX324" s="1274"/>
      <c r="CY324" s="1274"/>
      <c r="CZ324" s="1274"/>
      <c r="DA324" s="1274"/>
      <c r="DB324" s="1274"/>
      <c r="DC324" s="1274"/>
      <c r="DD324" s="1274"/>
      <c r="DE324" s="1274"/>
      <c r="DF324" s="1274"/>
      <c r="DG324" s="1274"/>
      <c r="DH324" s="1274"/>
      <c r="DI324" s="1274"/>
      <c r="DJ324" s="1274"/>
      <c r="DK324" s="1274"/>
      <c r="DL324" s="1274"/>
      <c r="DM324" s="1274"/>
      <c r="DN324" s="1274"/>
      <c r="DO324" s="1274"/>
      <c r="DP324" s="1274"/>
      <c r="DQ324" s="1274"/>
      <c r="DR324" s="1274"/>
      <c r="DS324" s="1274"/>
      <c r="DT324" s="1274"/>
      <c r="DU324" s="1274"/>
      <c r="DV324" s="1274"/>
      <c r="DW324" s="1274"/>
      <c r="DX324" s="1274"/>
      <c r="DY324" s="1274"/>
      <c r="DZ324" s="1274"/>
      <c r="EA324" s="1274"/>
      <c r="EB324" s="1273"/>
      <c r="EC324" s="1273"/>
      <c r="ED324" s="1273"/>
      <c r="EE324" s="1273"/>
      <c r="EF324" s="1273"/>
      <c r="EG324" s="1273"/>
      <c r="EH324" s="1273"/>
      <c r="EI324" s="1273"/>
      <c r="EJ324" s="1273"/>
      <c r="EK324" s="1273"/>
      <c r="EL324" s="1273"/>
      <c r="EM324" s="1313"/>
    </row>
    <row r="325" spans="1:143" s="1271" customFormat="1">
      <c r="B325" s="1272"/>
      <c r="C325" s="1272"/>
      <c r="D325" s="1273"/>
      <c r="E325" s="1273"/>
      <c r="F325" s="1273"/>
      <c r="G325" s="1273"/>
      <c r="H325" s="1273"/>
      <c r="I325" s="1273"/>
      <c r="J325" s="1273"/>
      <c r="K325" s="1273"/>
      <c r="L325" s="1273"/>
      <c r="M325" s="1273"/>
      <c r="N325" s="1273"/>
      <c r="O325" s="1273"/>
      <c r="P325" s="1273"/>
      <c r="Q325" s="1273"/>
      <c r="R325" s="1273"/>
      <c r="S325" s="1273"/>
      <c r="T325" s="1273"/>
      <c r="U325" s="1273"/>
      <c r="V325" s="1273"/>
      <c r="W325" s="1274"/>
      <c r="X325" s="1274"/>
      <c r="Y325" s="1274"/>
      <c r="Z325" s="1274"/>
      <c r="AA325" s="1274"/>
      <c r="AB325" s="1274"/>
      <c r="AC325" s="1274"/>
      <c r="AD325" s="1274"/>
      <c r="AE325" s="1274"/>
      <c r="AF325" s="1274"/>
      <c r="AG325" s="1274"/>
      <c r="AH325" s="1274"/>
      <c r="AI325" s="1274"/>
      <c r="AJ325" s="1274"/>
      <c r="AK325" s="1274"/>
      <c r="AL325" s="1274"/>
      <c r="AM325" s="1274"/>
      <c r="AN325" s="1274"/>
      <c r="AO325" s="1274"/>
      <c r="AP325" s="1274"/>
      <c r="AQ325" s="1274"/>
      <c r="AR325" s="1274"/>
      <c r="AS325" s="1274"/>
      <c r="AT325" s="1274"/>
      <c r="AU325" s="1274"/>
      <c r="AV325" s="1274"/>
      <c r="AW325" s="1274"/>
      <c r="AX325" s="1274"/>
      <c r="AY325" s="1274"/>
      <c r="AZ325" s="1274"/>
      <c r="BA325" s="1274"/>
      <c r="BB325" s="1274"/>
      <c r="BC325" s="1274"/>
      <c r="BD325" s="1274"/>
      <c r="BE325" s="1274"/>
      <c r="BF325" s="1274"/>
      <c r="BG325" s="1274"/>
      <c r="BH325" s="1274"/>
      <c r="BI325" s="1274"/>
      <c r="BJ325" s="1274"/>
      <c r="BK325" s="1274"/>
      <c r="BL325" s="1274"/>
      <c r="BM325" s="1274"/>
      <c r="BN325" s="1274"/>
      <c r="BO325" s="1274"/>
      <c r="BP325" s="1274"/>
      <c r="BQ325" s="1274"/>
      <c r="BR325" s="1274"/>
      <c r="BS325" s="1274"/>
      <c r="BT325" s="1274"/>
      <c r="BU325" s="1274"/>
      <c r="BV325" s="1274"/>
      <c r="BW325" s="1274"/>
      <c r="BX325" s="1274"/>
      <c r="BY325" s="1274"/>
      <c r="BZ325" s="1274"/>
      <c r="CA325" s="1274"/>
      <c r="CB325" s="1274"/>
      <c r="CC325" s="1274"/>
      <c r="CD325" s="1274"/>
      <c r="CE325" s="1274"/>
      <c r="CF325" s="1274"/>
      <c r="CG325" s="1274"/>
      <c r="CH325" s="1269"/>
      <c r="CI325" s="1274"/>
      <c r="CJ325" s="1274"/>
      <c r="CK325" s="1274"/>
      <c r="CL325" s="1274"/>
      <c r="CM325" s="1274"/>
      <c r="CN325" s="1274"/>
      <c r="CO325" s="1274"/>
      <c r="CP325" s="1274"/>
      <c r="CQ325" s="1274"/>
      <c r="CR325" s="1274"/>
      <c r="CS325" s="1274"/>
      <c r="CT325" s="1274"/>
      <c r="CU325" s="1274"/>
      <c r="CV325" s="1274"/>
      <c r="CW325" s="1274"/>
      <c r="CX325" s="1274"/>
      <c r="CY325" s="1274"/>
      <c r="CZ325" s="1274"/>
      <c r="DA325" s="1274"/>
      <c r="DB325" s="1274"/>
      <c r="DC325" s="1274"/>
      <c r="DD325" s="1274"/>
      <c r="DE325" s="1274"/>
      <c r="DF325" s="1274"/>
      <c r="DG325" s="1274"/>
      <c r="DH325" s="1274"/>
      <c r="DI325" s="1274"/>
      <c r="DJ325" s="1274"/>
      <c r="DK325" s="1274"/>
      <c r="DL325" s="1274"/>
      <c r="DM325" s="1274"/>
      <c r="DN325" s="1274"/>
      <c r="DO325" s="1274"/>
      <c r="DP325" s="1274"/>
      <c r="DQ325" s="1274"/>
      <c r="DR325" s="1274"/>
      <c r="DS325" s="1274"/>
      <c r="DT325" s="1274"/>
      <c r="DU325" s="1274"/>
      <c r="DV325" s="1274"/>
      <c r="DW325" s="1274"/>
      <c r="DX325" s="1274"/>
      <c r="DY325" s="1274"/>
      <c r="DZ325" s="1274"/>
      <c r="EA325" s="1274"/>
      <c r="EB325" s="1273"/>
      <c r="EC325" s="1273"/>
      <c r="ED325" s="1273"/>
      <c r="EE325" s="1273"/>
      <c r="EF325" s="1273"/>
      <c r="EG325" s="1273"/>
      <c r="EH325" s="1273"/>
      <c r="EI325" s="1273"/>
      <c r="EJ325" s="1273"/>
      <c r="EK325" s="1273"/>
      <c r="EL325" s="1273"/>
      <c r="EM325" s="1313"/>
    </row>
    <row r="326" spans="1:143" s="1271" customFormat="1">
      <c r="B326" s="1272"/>
      <c r="C326" s="1272"/>
      <c r="D326" s="1273"/>
      <c r="E326" s="1273"/>
      <c r="F326" s="1273"/>
      <c r="G326" s="1273"/>
      <c r="H326" s="1273"/>
      <c r="I326" s="1273"/>
      <c r="J326" s="1273"/>
      <c r="K326" s="1273"/>
      <c r="L326" s="1273"/>
      <c r="M326" s="1273"/>
      <c r="N326" s="1273"/>
      <c r="O326" s="1273"/>
      <c r="P326" s="1273"/>
      <c r="Q326" s="1273"/>
      <c r="R326" s="1273"/>
      <c r="S326" s="1273"/>
      <c r="T326" s="1273"/>
      <c r="U326" s="1273"/>
      <c r="V326" s="1273"/>
      <c r="W326" s="1274"/>
      <c r="X326" s="1274"/>
      <c r="Y326" s="1274"/>
      <c r="Z326" s="1274"/>
      <c r="AA326" s="1274"/>
      <c r="AB326" s="1274"/>
      <c r="AC326" s="1274"/>
      <c r="AD326" s="1274"/>
      <c r="AE326" s="1274"/>
      <c r="AF326" s="1274"/>
      <c r="AG326" s="1274"/>
      <c r="AH326" s="1274"/>
      <c r="AI326" s="1274"/>
      <c r="AJ326" s="1274"/>
      <c r="AK326" s="1274"/>
      <c r="AL326" s="1274"/>
      <c r="AM326" s="1274"/>
      <c r="AN326" s="1274"/>
      <c r="AO326" s="1274"/>
      <c r="AP326" s="1274"/>
      <c r="AQ326" s="1274"/>
      <c r="AR326" s="1274"/>
      <c r="AS326" s="1274"/>
      <c r="AT326" s="1274"/>
      <c r="AU326" s="1274"/>
      <c r="AV326" s="1274"/>
      <c r="AW326" s="1274"/>
      <c r="AX326" s="1274"/>
      <c r="AY326" s="1274"/>
      <c r="AZ326" s="1274"/>
      <c r="BA326" s="1274"/>
      <c r="BB326" s="1274"/>
      <c r="BC326" s="1274"/>
      <c r="BD326" s="1274"/>
      <c r="BE326" s="1274"/>
      <c r="BF326" s="1274"/>
      <c r="BG326" s="1274"/>
      <c r="BH326" s="1274"/>
      <c r="BI326" s="1274"/>
      <c r="BJ326" s="1274"/>
      <c r="BK326" s="1274"/>
      <c r="BL326" s="1274"/>
      <c r="BM326" s="1274"/>
      <c r="BN326" s="1274"/>
      <c r="BO326" s="1274"/>
      <c r="BP326" s="1274"/>
      <c r="BQ326" s="1274"/>
      <c r="BR326" s="1274"/>
      <c r="BS326" s="1274"/>
      <c r="BT326" s="1274"/>
      <c r="BU326" s="1274"/>
      <c r="BV326" s="1274"/>
      <c r="BW326" s="1274"/>
      <c r="BX326" s="1274"/>
      <c r="BY326" s="1274"/>
      <c r="BZ326" s="1274"/>
      <c r="CA326" s="1274"/>
      <c r="CB326" s="1274"/>
      <c r="CC326" s="1274"/>
      <c r="CD326" s="1274"/>
      <c r="CE326" s="1274"/>
      <c r="CF326" s="1274"/>
      <c r="CG326" s="1274"/>
      <c r="CH326" s="1269"/>
      <c r="CI326" s="1274"/>
      <c r="CJ326" s="1274"/>
      <c r="CK326" s="1274"/>
      <c r="CL326" s="1274"/>
      <c r="CM326" s="1274"/>
      <c r="CN326" s="1274"/>
      <c r="CO326" s="1274"/>
      <c r="CP326" s="1274"/>
      <c r="CQ326" s="1274"/>
      <c r="CR326" s="1274"/>
      <c r="CS326" s="1274"/>
      <c r="CT326" s="1274"/>
      <c r="CU326" s="1274"/>
      <c r="CV326" s="1274"/>
      <c r="CW326" s="1274"/>
      <c r="CX326" s="1274"/>
      <c r="CY326" s="1274"/>
      <c r="CZ326" s="1274"/>
      <c r="DA326" s="1274"/>
      <c r="DB326" s="1274"/>
      <c r="DC326" s="1274"/>
      <c r="DD326" s="1274"/>
      <c r="DE326" s="1274"/>
      <c r="DF326" s="1274"/>
      <c r="DG326" s="1274"/>
      <c r="DH326" s="1274"/>
      <c r="DI326" s="1274"/>
      <c r="DJ326" s="1274"/>
      <c r="DK326" s="1274"/>
      <c r="DL326" s="1274"/>
      <c r="DM326" s="1274"/>
      <c r="DN326" s="1274"/>
      <c r="DO326" s="1274"/>
      <c r="DP326" s="1274"/>
      <c r="DQ326" s="1274"/>
      <c r="DR326" s="1274"/>
      <c r="DS326" s="1274"/>
      <c r="DT326" s="1274"/>
      <c r="DU326" s="1274"/>
      <c r="DV326" s="1274"/>
      <c r="DW326" s="1274"/>
      <c r="DX326" s="1274"/>
      <c r="DY326" s="1274"/>
      <c r="DZ326" s="1274"/>
      <c r="EA326" s="1274"/>
      <c r="EB326" s="1273"/>
      <c r="EC326" s="1273"/>
      <c r="ED326" s="1273"/>
      <c r="EE326" s="1273"/>
      <c r="EF326" s="1273"/>
      <c r="EG326" s="1273"/>
      <c r="EH326" s="1273"/>
      <c r="EI326" s="1273"/>
      <c r="EJ326" s="1273"/>
      <c r="EK326" s="1273"/>
      <c r="EL326" s="1273"/>
      <c r="EM326" s="1313"/>
    </row>
    <row r="327" spans="1:143" s="1271" customFormat="1">
      <c r="B327" s="1272"/>
      <c r="C327" s="1272"/>
      <c r="D327" s="1273"/>
      <c r="E327" s="1273"/>
      <c r="F327" s="1273"/>
      <c r="G327" s="1273"/>
      <c r="H327" s="1273"/>
      <c r="I327" s="1273"/>
      <c r="J327" s="1273"/>
      <c r="K327" s="1273"/>
      <c r="L327" s="1273"/>
      <c r="M327" s="1273"/>
      <c r="N327" s="1273"/>
      <c r="O327" s="1273"/>
      <c r="P327" s="1273"/>
      <c r="Q327" s="1273"/>
      <c r="R327" s="1273"/>
      <c r="S327" s="1273"/>
      <c r="T327" s="1273"/>
      <c r="U327" s="1273"/>
      <c r="V327" s="1273"/>
      <c r="W327" s="1274"/>
      <c r="X327" s="1274"/>
      <c r="Y327" s="1274"/>
      <c r="Z327" s="1274"/>
      <c r="AA327" s="1274"/>
      <c r="AB327" s="1274"/>
      <c r="AC327" s="1274"/>
      <c r="AD327" s="1274"/>
      <c r="AE327" s="1274"/>
      <c r="AF327" s="1274"/>
      <c r="AG327" s="1274"/>
      <c r="AH327" s="1274"/>
      <c r="AI327" s="1274"/>
      <c r="AJ327" s="1274"/>
      <c r="AK327" s="1274"/>
      <c r="AL327" s="1274"/>
      <c r="AM327" s="1274"/>
      <c r="AN327" s="1274"/>
      <c r="AO327" s="1274"/>
      <c r="AP327" s="1274"/>
      <c r="AQ327" s="1274"/>
      <c r="AR327" s="1274"/>
      <c r="AS327" s="1274"/>
      <c r="AT327" s="1274"/>
      <c r="AU327" s="1274"/>
      <c r="AV327" s="1274"/>
      <c r="AW327" s="1274"/>
      <c r="AX327" s="1274"/>
      <c r="AY327" s="1274"/>
      <c r="AZ327" s="1274"/>
      <c r="BA327" s="1274"/>
      <c r="BB327" s="1274"/>
      <c r="BC327" s="1274"/>
      <c r="BD327" s="1274"/>
      <c r="BE327" s="1274"/>
      <c r="BF327" s="1274"/>
      <c r="BG327" s="1274"/>
      <c r="BH327" s="1274"/>
      <c r="BI327" s="1274"/>
      <c r="BJ327" s="1274"/>
      <c r="BK327" s="1274"/>
      <c r="BL327" s="1274"/>
      <c r="BM327" s="1274"/>
      <c r="BN327" s="1274"/>
      <c r="BO327" s="1274"/>
      <c r="BP327" s="1274"/>
      <c r="BQ327" s="1274"/>
      <c r="BR327" s="1274"/>
      <c r="BS327" s="1274"/>
      <c r="BT327" s="1274"/>
      <c r="BU327" s="1274"/>
      <c r="BV327" s="1274"/>
      <c r="BW327" s="1274"/>
      <c r="BX327" s="1274"/>
      <c r="BY327" s="1274"/>
      <c r="BZ327" s="1274"/>
      <c r="CA327" s="1274"/>
      <c r="CB327" s="1274"/>
      <c r="CC327" s="1274"/>
      <c r="CD327" s="1274"/>
      <c r="CE327" s="1274"/>
      <c r="CF327" s="1274"/>
      <c r="CG327" s="1274"/>
      <c r="CH327" s="1269"/>
      <c r="CI327" s="1274"/>
      <c r="CJ327" s="1274"/>
      <c r="CK327" s="1274"/>
      <c r="CL327" s="1274"/>
      <c r="CM327" s="1274"/>
      <c r="CN327" s="1274"/>
      <c r="CO327" s="1274"/>
      <c r="CP327" s="1274"/>
      <c r="CQ327" s="1274"/>
      <c r="CR327" s="1274"/>
      <c r="CS327" s="1274"/>
      <c r="CT327" s="1274"/>
      <c r="CU327" s="1274"/>
      <c r="CV327" s="1274"/>
      <c r="CW327" s="1274"/>
      <c r="CX327" s="1274"/>
      <c r="CY327" s="1274"/>
      <c r="CZ327" s="1274"/>
      <c r="DA327" s="1274"/>
      <c r="DB327" s="1274"/>
      <c r="DC327" s="1274"/>
      <c r="DD327" s="1274"/>
      <c r="DE327" s="1274"/>
      <c r="DF327" s="1274"/>
      <c r="DG327" s="1274"/>
      <c r="DH327" s="1274"/>
      <c r="DI327" s="1274"/>
      <c r="DJ327" s="1274"/>
      <c r="DK327" s="1274"/>
      <c r="DL327" s="1274"/>
      <c r="DM327" s="1274"/>
      <c r="DN327" s="1274"/>
      <c r="DO327" s="1274"/>
      <c r="DP327" s="1274"/>
      <c r="DQ327" s="1274"/>
      <c r="DR327" s="1274"/>
      <c r="DS327" s="1274"/>
      <c r="DT327" s="1274"/>
      <c r="DU327" s="1274"/>
      <c r="DV327" s="1274"/>
      <c r="DW327" s="1274"/>
      <c r="DX327" s="1274"/>
      <c r="DY327" s="1274"/>
      <c r="DZ327" s="1274"/>
      <c r="EA327" s="1274"/>
      <c r="EB327" s="1273"/>
      <c r="EC327" s="1273"/>
      <c r="ED327" s="1273"/>
      <c r="EE327" s="1273"/>
      <c r="EF327" s="1273"/>
      <c r="EG327" s="1273"/>
      <c r="EH327" s="1273"/>
      <c r="EI327" s="1273"/>
      <c r="EJ327" s="1273"/>
      <c r="EK327" s="1273"/>
      <c r="EL327" s="1273"/>
      <c r="EM327" s="1313"/>
    </row>
    <row r="328" spans="1:143" s="1271" customFormat="1">
      <c r="B328" s="1272"/>
      <c r="C328" s="1272"/>
      <c r="D328" s="1273"/>
      <c r="E328" s="1273"/>
      <c r="F328" s="1273"/>
      <c r="G328" s="1273"/>
      <c r="H328" s="1273"/>
      <c r="I328" s="1273"/>
      <c r="J328" s="1273"/>
      <c r="K328" s="1273"/>
      <c r="L328" s="1273"/>
      <c r="M328" s="1273"/>
      <c r="N328" s="1273"/>
      <c r="O328" s="1273"/>
      <c r="P328" s="1273"/>
      <c r="Q328" s="1273"/>
      <c r="R328" s="1273"/>
      <c r="S328" s="1273"/>
      <c r="T328" s="1273"/>
      <c r="U328" s="1273"/>
      <c r="V328" s="1273"/>
      <c r="W328" s="1274"/>
      <c r="X328" s="1274"/>
      <c r="Y328" s="1274"/>
      <c r="Z328" s="1274"/>
      <c r="AA328" s="1274"/>
      <c r="AB328" s="1274"/>
      <c r="AC328" s="1274"/>
      <c r="AD328" s="1274"/>
      <c r="AE328" s="1274"/>
      <c r="AF328" s="1274"/>
      <c r="AG328" s="1274"/>
      <c r="AH328" s="1274"/>
      <c r="AI328" s="1274"/>
      <c r="AJ328" s="1274"/>
      <c r="AK328" s="1274"/>
      <c r="AL328" s="1274"/>
      <c r="AM328" s="1274"/>
      <c r="AN328" s="1274"/>
      <c r="AO328" s="1274"/>
      <c r="AP328" s="1274"/>
      <c r="AQ328" s="1274"/>
      <c r="AR328" s="1274"/>
      <c r="AS328" s="1274"/>
      <c r="AT328" s="1274"/>
      <c r="AU328" s="1274"/>
      <c r="AV328" s="1274"/>
      <c r="AW328" s="1274"/>
      <c r="AX328" s="1274"/>
      <c r="AY328" s="1274"/>
      <c r="AZ328" s="1274"/>
      <c r="BA328" s="1274"/>
      <c r="BB328" s="1274"/>
      <c r="BC328" s="1274"/>
      <c r="BD328" s="1274"/>
      <c r="BE328" s="1274"/>
      <c r="BF328" s="1274"/>
      <c r="BG328" s="1274"/>
      <c r="BH328" s="1274"/>
      <c r="BI328" s="1274"/>
      <c r="BJ328" s="1274"/>
      <c r="BK328" s="1274"/>
      <c r="BL328" s="1274"/>
      <c r="BM328" s="1274"/>
      <c r="BN328" s="1274"/>
      <c r="BO328" s="1274"/>
      <c r="BP328" s="1274"/>
      <c r="BQ328" s="1274"/>
      <c r="BR328" s="1274"/>
      <c r="BS328" s="1274"/>
      <c r="BT328" s="1274"/>
      <c r="BU328" s="1274"/>
      <c r="BV328" s="1274"/>
      <c r="BW328" s="1274"/>
      <c r="BX328" s="1274"/>
      <c r="BY328" s="1274"/>
      <c r="BZ328" s="1274"/>
      <c r="CA328" s="1274"/>
      <c r="CB328" s="1274"/>
      <c r="CC328" s="1274"/>
      <c r="CD328" s="1274"/>
      <c r="CE328" s="1274"/>
      <c r="CF328" s="1274"/>
      <c r="CG328" s="1274"/>
      <c r="CH328" s="1269"/>
      <c r="CI328" s="1274"/>
      <c r="CJ328" s="1274"/>
      <c r="CK328" s="1274"/>
      <c r="CL328" s="1274"/>
      <c r="CM328" s="1274"/>
      <c r="CN328" s="1274"/>
      <c r="CO328" s="1274"/>
      <c r="CP328" s="1274"/>
      <c r="CQ328" s="1274"/>
      <c r="CR328" s="1274"/>
      <c r="CS328" s="1274"/>
      <c r="CT328" s="1274"/>
      <c r="CU328" s="1274"/>
      <c r="CV328" s="1274"/>
      <c r="CW328" s="1274"/>
      <c r="CX328" s="1274"/>
      <c r="CY328" s="1274"/>
      <c r="CZ328" s="1274"/>
      <c r="DA328" s="1274"/>
      <c r="DB328" s="1274"/>
      <c r="DC328" s="1274"/>
      <c r="DD328" s="1274"/>
      <c r="DE328" s="1274"/>
      <c r="DF328" s="1274"/>
      <c r="DG328" s="1274"/>
      <c r="DH328" s="1274"/>
      <c r="DI328" s="1274"/>
      <c r="DJ328" s="1274"/>
      <c r="DK328" s="1274"/>
      <c r="DL328" s="1274"/>
      <c r="DM328" s="1274"/>
      <c r="DN328" s="1274"/>
      <c r="DO328" s="1274"/>
      <c r="DP328" s="1274"/>
      <c r="DQ328" s="1274"/>
      <c r="DR328" s="1274"/>
      <c r="DS328" s="1274"/>
      <c r="DT328" s="1274"/>
      <c r="DU328" s="1274"/>
      <c r="DV328" s="1274"/>
      <c r="DW328" s="1274"/>
      <c r="DX328" s="1274"/>
      <c r="DY328" s="1274"/>
      <c r="DZ328" s="1274"/>
      <c r="EA328" s="1274"/>
      <c r="EB328" s="1273"/>
      <c r="EC328" s="1273"/>
      <c r="ED328" s="1273"/>
      <c r="EE328" s="1273"/>
      <c r="EF328" s="1273"/>
      <c r="EG328" s="1273"/>
      <c r="EH328" s="1273"/>
      <c r="EI328" s="1273"/>
      <c r="EJ328" s="1273"/>
      <c r="EK328" s="1273"/>
      <c r="EL328" s="1273"/>
      <c r="EM328" s="1313"/>
    </row>
    <row r="329" spans="1:143" s="1271" customFormat="1">
      <c r="A329" s="1284"/>
      <c r="B329" s="1272"/>
      <c r="C329" s="1272"/>
      <c r="D329" s="1273"/>
      <c r="E329" s="1273"/>
      <c r="F329" s="1273"/>
      <c r="G329" s="1273"/>
      <c r="H329" s="1273"/>
      <c r="I329" s="1273"/>
      <c r="J329" s="1273"/>
      <c r="K329" s="1273"/>
      <c r="L329" s="1273"/>
      <c r="M329" s="1273"/>
      <c r="N329" s="1273"/>
      <c r="O329" s="1273"/>
      <c r="P329" s="1273"/>
      <c r="Q329" s="1273"/>
      <c r="R329" s="1273"/>
      <c r="S329" s="1273"/>
      <c r="T329" s="1273"/>
      <c r="U329" s="1273"/>
      <c r="V329" s="1273"/>
      <c r="W329" s="1274"/>
      <c r="X329" s="1274"/>
      <c r="Y329" s="1274"/>
      <c r="Z329" s="1274"/>
      <c r="AA329" s="1274"/>
      <c r="AB329" s="1274"/>
      <c r="AC329" s="1274"/>
      <c r="AD329" s="1274"/>
      <c r="AE329" s="1274"/>
      <c r="AF329" s="1274"/>
      <c r="AG329" s="1274"/>
      <c r="AH329" s="1274"/>
      <c r="AI329" s="1274"/>
      <c r="AJ329" s="1274"/>
      <c r="AK329" s="1274"/>
      <c r="AL329" s="1274"/>
      <c r="AM329" s="1274"/>
      <c r="AN329" s="1274"/>
      <c r="AO329" s="1274"/>
      <c r="AP329" s="1274"/>
      <c r="AQ329" s="1274"/>
      <c r="AR329" s="1274"/>
      <c r="AS329" s="1274"/>
      <c r="AT329" s="1274"/>
      <c r="AU329" s="1274"/>
      <c r="AV329" s="1274"/>
      <c r="AW329" s="1274"/>
      <c r="AX329" s="1274"/>
      <c r="AY329" s="1274"/>
      <c r="AZ329" s="1274"/>
      <c r="BA329" s="1274"/>
      <c r="BB329" s="1274"/>
      <c r="BC329" s="1274"/>
      <c r="BD329" s="1274"/>
      <c r="BE329" s="1274"/>
      <c r="BF329" s="1274"/>
      <c r="BG329" s="1274"/>
      <c r="BH329" s="1274"/>
      <c r="BI329" s="1274"/>
      <c r="BJ329" s="1274"/>
      <c r="BK329" s="1274"/>
      <c r="BL329" s="1274"/>
      <c r="BM329" s="1274"/>
      <c r="BN329" s="1274"/>
      <c r="BO329" s="1274"/>
      <c r="BP329" s="1274"/>
      <c r="BQ329" s="1274"/>
      <c r="BR329" s="1274"/>
      <c r="BS329" s="1274"/>
      <c r="BT329" s="1274"/>
      <c r="BU329" s="1274"/>
      <c r="BV329" s="1274"/>
      <c r="BW329" s="1274"/>
      <c r="BX329" s="1274"/>
      <c r="BY329" s="1274"/>
      <c r="BZ329" s="1274"/>
      <c r="CA329" s="1274"/>
      <c r="CB329" s="1274"/>
      <c r="CC329" s="1274"/>
      <c r="CD329" s="1274"/>
      <c r="CE329" s="1274"/>
      <c r="CF329" s="1274"/>
      <c r="CG329" s="1274"/>
      <c r="CH329" s="1269"/>
      <c r="CI329" s="1274"/>
      <c r="CJ329" s="1274"/>
      <c r="CK329" s="1274"/>
      <c r="CL329" s="1274"/>
      <c r="CM329" s="1274"/>
      <c r="CN329" s="1274"/>
      <c r="CO329" s="1274"/>
      <c r="CP329" s="1274"/>
      <c r="CQ329" s="1274"/>
      <c r="CR329" s="1274"/>
      <c r="CS329" s="1274"/>
      <c r="CT329" s="1274"/>
      <c r="CU329" s="1274"/>
      <c r="CV329" s="1274"/>
      <c r="CW329" s="1274"/>
      <c r="CX329" s="1274"/>
      <c r="CY329" s="1274"/>
      <c r="CZ329" s="1274"/>
      <c r="DA329" s="1274"/>
      <c r="DB329" s="1274"/>
      <c r="DC329" s="1274"/>
      <c r="DD329" s="1274"/>
      <c r="DE329" s="1274"/>
      <c r="DF329" s="1274"/>
      <c r="DG329" s="1274"/>
      <c r="DH329" s="1274"/>
      <c r="DI329" s="1274"/>
      <c r="DJ329" s="1274"/>
      <c r="DK329" s="1274"/>
      <c r="DL329" s="1274"/>
      <c r="DM329" s="1274"/>
      <c r="DN329" s="1274"/>
      <c r="DO329" s="1274"/>
      <c r="DP329" s="1274"/>
      <c r="DQ329" s="1274"/>
      <c r="DR329" s="1274"/>
      <c r="DS329" s="1274"/>
      <c r="DT329" s="1274"/>
      <c r="DU329" s="1274"/>
      <c r="DV329" s="1274"/>
      <c r="DW329" s="1274"/>
      <c r="DX329" s="1274"/>
      <c r="DY329" s="1274"/>
      <c r="DZ329" s="1274"/>
      <c r="EA329" s="1274"/>
      <c r="EB329" s="1273"/>
      <c r="EC329" s="1273"/>
      <c r="ED329" s="1273"/>
      <c r="EE329" s="1273"/>
      <c r="EF329" s="1273"/>
      <c r="EG329" s="1273"/>
      <c r="EH329" s="1273"/>
      <c r="EI329" s="1273"/>
      <c r="EJ329" s="1273"/>
      <c r="EK329" s="1273"/>
      <c r="EL329" s="1273"/>
      <c r="EM329" s="1313"/>
    </row>
    <row r="330" spans="1:143" s="1271" customFormat="1">
      <c r="B330" s="1276"/>
      <c r="C330" s="1276"/>
      <c r="D330" s="1276"/>
      <c r="E330" s="1276"/>
      <c r="F330" s="1276"/>
      <c r="G330" s="1276"/>
      <c r="H330" s="1276"/>
      <c r="I330" s="1276"/>
      <c r="J330" s="1276"/>
      <c r="K330" s="1276"/>
      <c r="L330" s="1276"/>
      <c r="M330" s="1276"/>
      <c r="N330" s="1276"/>
      <c r="O330" s="1276"/>
      <c r="P330" s="1276"/>
      <c r="Q330" s="1276"/>
      <c r="R330" s="1276"/>
      <c r="S330" s="1276"/>
      <c r="T330" s="1276"/>
      <c r="U330" s="1276"/>
      <c r="V330" s="1276"/>
      <c r="W330" s="1277"/>
      <c r="X330" s="1277"/>
      <c r="Y330" s="1277"/>
      <c r="Z330" s="1277"/>
      <c r="AA330" s="1277"/>
      <c r="AB330" s="1277"/>
      <c r="AC330" s="1277"/>
      <c r="AD330" s="1277"/>
      <c r="AE330" s="1277"/>
      <c r="AF330" s="1277"/>
      <c r="AG330" s="1277"/>
      <c r="AH330" s="1277"/>
      <c r="AI330" s="1277"/>
      <c r="AJ330" s="1277"/>
      <c r="AK330" s="1277"/>
      <c r="AL330" s="1277"/>
      <c r="AM330" s="1277"/>
      <c r="AN330" s="1277"/>
      <c r="AO330" s="1277"/>
      <c r="AP330" s="1277"/>
      <c r="AQ330" s="1277"/>
      <c r="AR330" s="1277"/>
      <c r="AS330" s="1277"/>
      <c r="AT330" s="1277"/>
      <c r="AU330" s="1277"/>
      <c r="AV330" s="1277"/>
      <c r="AW330" s="1277"/>
      <c r="AX330" s="1277"/>
      <c r="AY330" s="1277"/>
      <c r="AZ330" s="1277"/>
      <c r="BA330" s="1277"/>
      <c r="BB330" s="1277"/>
      <c r="BC330" s="1277"/>
      <c r="BD330" s="1277"/>
      <c r="BE330" s="1277"/>
      <c r="BF330" s="1277"/>
      <c r="BG330" s="1277"/>
      <c r="BH330" s="1277"/>
      <c r="BI330" s="1277"/>
      <c r="BJ330" s="1277"/>
      <c r="BK330" s="1277"/>
      <c r="BL330" s="1277"/>
      <c r="BM330" s="1277"/>
      <c r="BN330" s="1277"/>
      <c r="BO330" s="1277"/>
      <c r="BP330" s="1277"/>
      <c r="BQ330" s="1277"/>
      <c r="BR330" s="1277"/>
      <c r="BS330" s="1277"/>
      <c r="BT330" s="1277"/>
      <c r="BU330" s="1277"/>
      <c r="BV330" s="1277"/>
      <c r="BW330" s="1277"/>
      <c r="BX330" s="1277"/>
      <c r="BY330" s="1277"/>
      <c r="BZ330" s="1277"/>
      <c r="CA330" s="1277"/>
      <c r="CB330" s="1277"/>
      <c r="CC330" s="1277"/>
      <c r="CD330" s="1277"/>
      <c r="CE330" s="1277"/>
      <c r="CF330" s="1277"/>
      <c r="CG330" s="1277"/>
      <c r="CH330" s="1269"/>
      <c r="CI330" s="1277"/>
      <c r="CJ330" s="1277"/>
      <c r="CK330" s="1277"/>
      <c r="CL330" s="1277"/>
      <c r="CM330" s="1277"/>
      <c r="CN330" s="1277"/>
      <c r="CO330" s="1277"/>
      <c r="CP330" s="1277"/>
      <c r="CQ330" s="1277"/>
      <c r="CR330" s="1277"/>
      <c r="CS330" s="1277"/>
      <c r="CT330" s="1277"/>
      <c r="CU330" s="1277"/>
      <c r="CV330" s="1277"/>
      <c r="CW330" s="1277"/>
      <c r="CX330" s="1277"/>
      <c r="CY330" s="1277"/>
      <c r="CZ330" s="1277"/>
      <c r="DA330" s="1277"/>
      <c r="DB330" s="1277"/>
      <c r="DC330" s="1277"/>
      <c r="DD330" s="1277"/>
      <c r="DE330" s="1277"/>
      <c r="DF330" s="1277"/>
      <c r="DG330" s="1277"/>
      <c r="DH330" s="1277"/>
      <c r="DI330" s="1277"/>
      <c r="DJ330" s="1277"/>
      <c r="DK330" s="1277"/>
      <c r="DL330" s="1277"/>
      <c r="DM330" s="1277"/>
      <c r="DN330" s="1277"/>
      <c r="DO330" s="1277"/>
      <c r="DP330" s="1277"/>
      <c r="DQ330" s="1277"/>
      <c r="DR330" s="1277"/>
      <c r="DS330" s="1277"/>
      <c r="DT330" s="1277"/>
      <c r="DU330" s="1277"/>
      <c r="DV330" s="1277"/>
      <c r="DW330" s="1277"/>
      <c r="DX330" s="1277"/>
      <c r="DY330" s="1277"/>
      <c r="DZ330" s="1277"/>
      <c r="EA330" s="1277"/>
      <c r="EB330" s="1276"/>
      <c r="EC330" s="1276"/>
      <c r="ED330" s="1276"/>
      <c r="EE330" s="1276"/>
      <c r="EF330" s="1276"/>
      <c r="EG330" s="1276"/>
      <c r="EH330" s="1276"/>
      <c r="EI330" s="1276"/>
      <c r="EJ330" s="1276"/>
      <c r="EK330" s="1275"/>
      <c r="EL330" s="1275"/>
      <c r="EM330" s="1313"/>
    </row>
    <row r="331" spans="1:143" s="1271" customFormat="1">
      <c r="B331" s="1276"/>
      <c r="C331" s="1276"/>
      <c r="D331" s="1276"/>
      <c r="E331" s="1276"/>
      <c r="F331" s="1276"/>
      <c r="G331" s="1276"/>
      <c r="H331" s="1276"/>
      <c r="I331" s="1276"/>
      <c r="J331" s="1276"/>
      <c r="K331" s="1276"/>
      <c r="L331" s="1276"/>
      <c r="M331" s="1276"/>
      <c r="N331" s="1276"/>
      <c r="O331" s="1276"/>
      <c r="P331" s="1276"/>
      <c r="Q331" s="1276"/>
      <c r="R331" s="1276"/>
      <c r="S331" s="1276"/>
      <c r="T331" s="1276"/>
      <c r="U331" s="1276"/>
      <c r="V331" s="1276"/>
      <c r="W331" s="1277"/>
      <c r="X331" s="1277"/>
      <c r="Y331" s="1277"/>
      <c r="Z331" s="1277"/>
      <c r="AA331" s="1277"/>
      <c r="AB331" s="1277"/>
      <c r="AC331" s="1277"/>
      <c r="AD331" s="1277"/>
      <c r="AE331" s="1277"/>
      <c r="AF331" s="1277"/>
      <c r="AG331" s="1277"/>
      <c r="AH331" s="1277"/>
      <c r="AI331" s="1277"/>
      <c r="AJ331" s="1277"/>
      <c r="AK331" s="1277"/>
      <c r="AL331" s="1277"/>
      <c r="AM331" s="1277"/>
      <c r="AN331" s="1277"/>
      <c r="AO331" s="1277"/>
      <c r="AP331" s="1277"/>
      <c r="AQ331" s="1277"/>
      <c r="AR331" s="1277"/>
      <c r="AS331" s="1277"/>
      <c r="AT331" s="1277"/>
      <c r="AU331" s="1277"/>
      <c r="AV331" s="1277"/>
      <c r="AW331" s="1277"/>
      <c r="AX331" s="1277"/>
      <c r="AY331" s="1277"/>
      <c r="AZ331" s="1277"/>
      <c r="BA331" s="1277"/>
      <c r="BB331" s="1277"/>
      <c r="BC331" s="1277"/>
      <c r="BD331" s="1277"/>
      <c r="BE331" s="1277"/>
      <c r="BF331" s="1277"/>
      <c r="BG331" s="1277"/>
      <c r="BH331" s="1277"/>
      <c r="BI331" s="1277"/>
      <c r="BJ331" s="1277"/>
      <c r="BK331" s="1277"/>
      <c r="BL331" s="1277"/>
      <c r="BM331" s="1277"/>
      <c r="BN331" s="1277"/>
      <c r="BO331" s="1277"/>
      <c r="BP331" s="1277"/>
      <c r="BQ331" s="1277"/>
      <c r="BR331" s="1277"/>
      <c r="BS331" s="1277"/>
      <c r="BT331" s="1277"/>
      <c r="BU331" s="1277"/>
      <c r="BV331" s="1277"/>
      <c r="BW331" s="1277"/>
      <c r="BX331" s="1277"/>
      <c r="BY331" s="1277"/>
      <c r="BZ331" s="1277"/>
      <c r="CA331" s="1277"/>
      <c r="CB331" s="1277"/>
      <c r="CC331" s="1277"/>
      <c r="CD331" s="1277"/>
      <c r="CE331" s="1277"/>
      <c r="CF331" s="1277"/>
      <c r="CG331" s="1277"/>
      <c r="CH331" s="1269"/>
      <c r="CI331" s="1277"/>
      <c r="CJ331" s="1277"/>
      <c r="CK331" s="1277"/>
      <c r="CL331" s="1277"/>
      <c r="CM331" s="1277"/>
      <c r="CN331" s="1277"/>
      <c r="CO331" s="1277"/>
      <c r="CP331" s="1277"/>
      <c r="CQ331" s="1277"/>
      <c r="CR331" s="1277"/>
      <c r="CS331" s="1277"/>
      <c r="CT331" s="1277"/>
      <c r="CU331" s="1277"/>
      <c r="CV331" s="1277"/>
      <c r="CW331" s="1277"/>
      <c r="CX331" s="1277"/>
      <c r="CY331" s="1277"/>
      <c r="CZ331" s="1277"/>
      <c r="DA331" s="1277"/>
      <c r="DB331" s="1277"/>
      <c r="DC331" s="1277"/>
      <c r="DD331" s="1277"/>
      <c r="DE331" s="1277"/>
      <c r="DF331" s="1277"/>
      <c r="DG331" s="1277"/>
      <c r="DH331" s="1277"/>
      <c r="DI331" s="1277"/>
      <c r="DJ331" s="1277"/>
      <c r="DK331" s="1277"/>
      <c r="DL331" s="1277"/>
      <c r="DM331" s="1277"/>
      <c r="DN331" s="1277"/>
      <c r="DO331" s="1277"/>
      <c r="DP331" s="1277"/>
      <c r="DQ331" s="1277"/>
      <c r="DR331" s="1277"/>
      <c r="DS331" s="1277"/>
      <c r="DT331" s="1277"/>
      <c r="DU331" s="1277"/>
      <c r="DV331" s="1277"/>
      <c r="DW331" s="1277"/>
      <c r="DX331" s="1277"/>
      <c r="DY331" s="1277"/>
      <c r="DZ331" s="1277"/>
      <c r="EA331" s="1277"/>
      <c r="EB331" s="1276"/>
      <c r="EC331" s="1276"/>
      <c r="ED331" s="1276"/>
      <c r="EE331" s="1276"/>
      <c r="EF331" s="1276"/>
      <c r="EG331" s="1276"/>
      <c r="EH331" s="1276"/>
      <c r="EI331" s="1276"/>
      <c r="EJ331" s="1276"/>
      <c r="EK331" s="1275"/>
      <c r="EL331" s="1275"/>
      <c r="EM331" s="1313"/>
    </row>
    <row r="332" spans="1:143" s="1271" customFormat="1">
      <c r="B332" s="1276"/>
      <c r="C332" s="1276"/>
      <c r="D332" s="1276"/>
      <c r="E332" s="1276"/>
      <c r="F332" s="1276"/>
      <c r="G332" s="1276"/>
      <c r="H332" s="1276"/>
      <c r="I332" s="1276"/>
      <c r="J332" s="1276"/>
      <c r="K332" s="1276"/>
      <c r="L332" s="1276"/>
      <c r="M332" s="1276"/>
      <c r="N332" s="1276"/>
      <c r="O332" s="1276"/>
      <c r="P332" s="1276"/>
      <c r="Q332" s="1276"/>
      <c r="R332" s="1276"/>
      <c r="S332" s="1276"/>
      <c r="T332" s="1276"/>
      <c r="U332" s="1276"/>
      <c r="V332" s="1276"/>
      <c r="W332" s="1277"/>
      <c r="X332" s="1277"/>
      <c r="Y332" s="1277"/>
      <c r="Z332" s="1277"/>
      <c r="AA332" s="1277"/>
      <c r="AB332" s="1277"/>
      <c r="AC332" s="1277"/>
      <c r="AD332" s="1277"/>
      <c r="AE332" s="1277"/>
      <c r="AF332" s="1277"/>
      <c r="AG332" s="1277"/>
      <c r="AH332" s="1277"/>
      <c r="AI332" s="1277"/>
      <c r="AJ332" s="1277"/>
      <c r="AK332" s="1277"/>
      <c r="AL332" s="1277"/>
      <c r="AM332" s="1277"/>
      <c r="AN332" s="1277"/>
      <c r="AO332" s="1277"/>
      <c r="AP332" s="1277"/>
      <c r="AQ332" s="1277"/>
      <c r="AR332" s="1277"/>
      <c r="AS332" s="1277"/>
      <c r="AT332" s="1277"/>
      <c r="AU332" s="1277"/>
      <c r="AV332" s="1277"/>
      <c r="AW332" s="1277"/>
      <c r="AX332" s="1277"/>
      <c r="AY332" s="1277"/>
      <c r="AZ332" s="1277"/>
      <c r="BA332" s="1277"/>
      <c r="BB332" s="1277"/>
      <c r="BC332" s="1277"/>
      <c r="BD332" s="1277"/>
      <c r="BE332" s="1277"/>
      <c r="BF332" s="1277"/>
      <c r="BG332" s="1277"/>
      <c r="BH332" s="1277"/>
      <c r="BI332" s="1277"/>
      <c r="BJ332" s="1277"/>
      <c r="BK332" s="1277"/>
      <c r="BL332" s="1277"/>
      <c r="BM332" s="1277"/>
      <c r="BN332" s="1277"/>
      <c r="BO332" s="1277"/>
      <c r="BP332" s="1277"/>
      <c r="BQ332" s="1277"/>
      <c r="BR332" s="1277"/>
      <c r="BS332" s="1277"/>
      <c r="BT332" s="1277"/>
      <c r="BU332" s="1277"/>
      <c r="BV332" s="1277"/>
      <c r="BW332" s="1277"/>
      <c r="BX332" s="1277"/>
      <c r="BY332" s="1277"/>
      <c r="BZ332" s="1277"/>
      <c r="CA332" s="1277"/>
      <c r="CB332" s="1277"/>
      <c r="CC332" s="1277"/>
      <c r="CD332" s="1277"/>
      <c r="CE332" s="1277"/>
      <c r="CF332" s="1277"/>
      <c r="CG332" s="1277"/>
      <c r="CH332" s="1269"/>
      <c r="CI332" s="1277"/>
      <c r="CJ332" s="1277"/>
      <c r="CK332" s="1277"/>
      <c r="CL332" s="1277"/>
      <c r="CM332" s="1277"/>
      <c r="CN332" s="1277"/>
      <c r="CO332" s="1277"/>
      <c r="CP332" s="1277"/>
      <c r="CQ332" s="1277"/>
      <c r="CR332" s="1277"/>
      <c r="CS332" s="1277"/>
      <c r="CT332" s="1277"/>
      <c r="CU332" s="1277"/>
      <c r="CV332" s="1277"/>
      <c r="CW332" s="1277"/>
      <c r="CX332" s="1277"/>
      <c r="CY332" s="1277"/>
      <c r="CZ332" s="1277"/>
      <c r="DA332" s="1277"/>
      <c r="DB332" s="1277"/>
      <c r="DC332" s="1277"/>
      <c r="DD332" s="1277"/>
      <c r="DE332" s="1277"/>
      <c r="DF332" s="1277"/>
      <c r="DG332" s="1277"/>
      <c r="DH332" s="1277"/>
      <c r="DI332" s="1277"/>
      <c r="DJ332" s="1277"/>
      <c r="DK332" s="1277"/>
      <c r="DL332" s="1277"/>
      <c r="DM332" s="1277"/>
      <c r="DN332" s="1277"/>
      <c r="DO332" s="1277"/>
      <c r="DP332" s="1277"/>
      <c r="DQ332" s="1277"/>
      <c r="DR332" s="1277"/>
      <c r="DS332" s="1277"/>
      <c r="DT332" s="1277"/>
      <c r="DU332" s="1277"/>
      <c r="DV332" s="1277"/>
      <c r="DW332" s="1277"/>
      <c r="DX332" s="1277"/>
      <c r="DY332" s="1277"/>
      <c r="DZ332" s="1277"/>
      <c r="EA332" s="1277"/>
      <c r="EB332" s="1276"/>
      <c r="EC332" s="1276"/>
      <c r="ED332" s="1276"/>
      <c r="EE332" s="1276"/>
      <c r="EF332" s="1276"/>
      <c r="EG332" s="1276"/>
      <c r="EH332" s="1276"/>
      <c r="EI332" s="1276"/>
      <c r="EJ332" s="1276"/>
      <c r="EK332" s="1275"/>
      <c r="EL332" s="1275"/>
      <c r="EM332" s="1313"/>
    </row>
    <row r="333" spans="1:143" s="1271" customFormat="1">
      <c r="B333" s="1276"/>
      <c r="C333" s="1276"/>
      <c r="D333" s="1276"/>
      <c r="E333" s="1276"/>
      <c r="F333" s="1276"/>
      <c r="G333" s="1276"/>
      <c r="H333" s="1276"/>
      <c r="I333" s="1276"/>
      <c r="J333" s="1276"/>
      <c r="K333" s="1276"/>
      <c r="L333" s="1276"/>
      <c r="M333" s="1276"/>
      <c r="N333" s="1276"/>
      <c r="O333" s="1276"/>
      <c r="P333" s="1276"/>
      <c r="Q333" s="1276"/>
      <c r="R333" s="1276"/>
      <c r="S333" s="1276"/>
      <c r="T333" s="1276"/>
      <c r="U333" s="1276"/>
      <c r="V333" s="1276"/>
      <c r="W333" s="1277"/>
      <c r="X333" s="1277"/>
      <c r="Y333" s="1277"/>
      <c r="Z333" s="1277"/>
      <c r="AA333" s="1277"/>
      <c r="AB333" s="1277"/>
      <c r="AC333" s="1277"/>
      <c r="AD333" s="1277"/>
      <c r="AE333" s="1277"/>
      <c r="AF333" s="1277"/>
      <c r="AG333" s="1277"/>
      <c r="AH333" s="1277"/>
      <c r="AI333" s="1277"/>
      <c r="AJ333" s="1277"/>
      <c r="AK333" s="1277"/>
      <c r="AL333" s="1277"/>
      <c r="AM333" s="1277"/>
      <c r="AN333" s="1277"/>
      <c r="AO333" s="1277"/>
      <c r="AP333" s="1277"/>
      <c r="AQ333" s="1277"/>
      <c r="AR333" s="1277"/>
      <c r="AS333" s="1277"/>
      <c r="AT333" s="1277"/>
      <c r="AU333" s="1277"/>
      <c r="AV333" s="1277"/>
      <c r="AW333" s="1277"/>
      <c r="AX333" s="1277"/>
      <c r="AY333" s="1277"/>
      <c r="AZ333" s="1277"/>
      <c r="BA333" s="1277"/>
      <c r="BB333" s="1277"/>
      <c r="BC333" s="1277"/>
      <c r="BD333" s="1277"/>
      <c r="BE333" s="1277"/>
      <c r="BF333" s="1277"/>
      <c r="BG333" s="1277"/>
      <c r="BH333" s="1277"/>
      <c r="BI333" s="1277"/>
      <c r="BJ333" s="1277"/>
      <c r="BK333" s="1277"/>
      <c r="BL333" s="1277"/>
      <c r="BM333" s="1277"/>
      <c r="BN333" s="1277"/>
      <c r="BO333" s="1277"/>
      <c r="BP333" s="1277"/>
      <c r="BQ333" s="1277"/>
      <c r="BR333" s="1277"/>
      <c r="BS333" s="1277"/>
      <c r="BT333" s="1277"/>
      <c r="BU333" s="1277"/>
      <c r="BV333" s="1277"/>
      <c r="BW333" s="1277"/>
      <c r="BX333" s="1277"/>
      <c r="BY333" s="1277"/>
      <c r="BZ333" s="1277"/>
      <c r="CA333" s="1277"/>
      <c r="CB333" s="1277"/>
      <c r="CC333" s="1277"/>
      <c r="CD333" s="1277"/>
      <c r="CE333" s="1277"/>
      <c r="CF333" s="1277"/>
      <c r="CG333" s="1277"/>
      <c r="CH333" s="1269"/>
      <c r="CI333" s="1277"/>
      <c r="CJ333" s="1277"/>
      <c r="CK333" s="1277"/>
      <c r="CL333" s="1277"/>
      <c r="CM333" s="1277"/>
      <c r="CN333" s="1277"/>
      <c r="CO333" s="1277"/>
      <c r="CP333" s="1277"/>
      <c r="CQ333" s="1277"/>
      <c r="CR333" s="1277"/>
      <c r="CS333" s="1277"/>
      <c r="CT333" s="1277"/>
      <c r="CU333" s="1277"/>
      <c r="CV333" s="1277"/>
      <c r="CW333" s="1277"/>
      <c r="CX333" s="1277"/>
      <c r="CY333" s="1277"/>
      <c r="CZ333" s="1277"/>
      <c r="DA333" s="1277"/>
      <c r="DB333" s="1277"/>
      <c r="DC333" s="1277"/>
      <c r="DD333" s="1277"/>
      <c r="DE333" s="1277"/>
      <c r="DF333" s="1277"/>
      <c r="DG333" s="1277"/>
      <c r="DH333" s="1277"/>
      <c r="DI333" s="1277"/>
      <c r="DJ333" s="1277"/>
      <c r="DK333" s="1277"/>
      <c r="DL333" s="1277"/>
      <c r="DM333" s="1277"/>
      <c r="DN333" s="1277"/>
      <c r="DO333" s="1277"/>
      <c r="DP333" s="1277"/>
      <c r="DQ333" s="1277"/>
      <c r="DR333" s="1277"/>
      <c r="DS333" s="1277"/>
      <c r="DT333" s="1277"/>
      <c r="DU333" s="1277"/>
      <c r="DV333" s="1277"/>
      <c r="DW333" s="1277"/>
      <c r="DX333" s="1277"/>
      <c r="DY333" s="1277"/>
      <c r="DZ333" s="1277"/>
      <c r="EA333" s="1277"/>
      <c r="EB333" s="1276"/>
      <c r="EC333" s="1276"/>
      <c r="ED333" s="1276"/>
      <c r="EE333" s="1276"/>
      <c r="EF333" s="1276"/>
      <c r="EG333" s="1276"/>
      <c r="EH333" s="1276"/>
      <c r="EI333" s="1276"/>
      <c r="EJ333" s="1276"/>
      <c r="EK333" s="1275"/>
      <c r="EL333" s="1275"/>
      <c r="EM333" s="1313"/>
    </row>
    <row r="334" spans="1:143" s="1271" customFormat="1">
      <c r="A334" s="1262"/>
      <c r="B334" s="1276"/>
      <c r="C334" s="1276"/>
      <c r="D334" s="1276"/>
      <c r="E334" s="1276"/>
      <c r="F334" s="1276"/>
      <c r="G334" s="1276"/>
      <c r="H334" s="1276"/>
      <c r="I334" s="1276"/>
      <c r="J334" s="1276"/>
      <c r="K334" s="1276"/>
      <c r="L334" s="1276"/>
      <c r="M334" s="1276"/>
      <c r="N334" s="1276"/>
      <c r="O334" s="1276"/>
      <c r="P334" s="1276"/>
      <c r="Q334" s="1276"/>
      <c r="R334" s="1276"/>
      <c r="S334" s="1276"/>
      <c r="T334" s="1276"/>
      <c r="U334" s="1276"/>
      <c r="V334" s="1276"/>
      <c r="W334" s="1277"/>
      <c r="X334" s="1277"/>
      <c r="Y334" s="1277"/>
      <c r="Z334" s="1277"/>
      <c r="AA334" s="1277"/>
      <c r="AB334" s="1277"/>
      <c r="AC334" s="1277"/>
      <c r="AD334" s="1277"/>
      <c r="AE334" s="1277"/>
      <c r="AF334" s="1277"/>
      <c r="AG334" s="1277"/>
      <c r="AH334" s="1277"/>
      <c r="AI334" s="1277"/>
      <c r="AJ334" s="1277"/>
      <c r="AK334" s="1277"/>
      <c r="AL334" s="1277"/>
      <c r="AM334" s="1277"/>
      <c r="AN334" s="1277"/>
      <c r="AO334" s="1277"/>
      <c r="AP334" s="1277"/>
      <c r="AQ334" s="1277"/>
      <c r="AR334" s="1277"/>
      <c r="AS334" s="1277"/>
      <c r="AT334" s="1277"/>
      <c r="AU334" s="1277"/>
      <c r="AV334" s="1277"/>
      <c r="AW334" s="1277"/>
      <c r="AX334" s="1277"/>
      <c r="AY334" s="1277"/>
      <c r="AZ334" s="1277"/>
      <c r="BA334" s="1277"/>
      <c r="BB334" s="1277"/>
      <c r="BC334" s="1277"/>
      <c r="BD334" s="1277"/>
      <c r="BE334" s="1277"/>
      <c r="BF334" s="1277"/>
      <c r="BG334" s="1277"/>
      <c r="BH334" s="1277"/>
      <c r="BI334" s="1277"/>
      <c r="BJ334" s="1277"/>
      <c r="BK334" s="1277"/>
      <c r="BL334" s="1277"/>
      <c r="BM334" s="1277"/>
      <c r="BN334" s="1277"/>
      <c r="BO334" s="1277"/>
      <c r="BP334" s="1277"/>
      <c r="BQ334" s="1277"/>
      <c r="BR334" s="1277"/>
      <c r="BS334" s="1277"/>
      <c r="BT334" s="1277"/>
      <c r="BU334" s="1277"/>
      <c r="BV334" s="1277"/>
      <c r="BW334" s="1277"/>
      <c r="BX334" s="1277"/>
      <c r="BY334" s="1277"/>
      <c r="BZ334" s="1277"/>
      <c r="CA334" s="1277"/>
      <c r="CB334" s="1277"/>
      <c r="CC334" s="1277"/>
      <c r="CD334" s="1277"/>
      <c r="CE334" s="1277"/>
      <c r="CF334" s="1277"/>
      <c r="CG334" s="1277"/>
      <c r="CH334" s="1269"/>
      <c r="CI334" s="1277"/>
      <c r="CJ334" s="1277"/>
      <c r="CK334" s="1277"/>
      <c r="CL334" s="1277"/>
      <c r="CM334" s="1277"/>
      <c r="CN334" s="1277"/>
      <c r="CO334" s="1277"/>
      <c r="CP334" s="1277"/>
      <c r="CQ334" s="1277"/>
      <c r="CR334" s="1277"/>
      <c r="CS334" s="1277"/>
      <c r="CT334" s="1277"/>
      <c r="CU334" s="1277"/>
      <c r="CV334" s="1277"/>
      <c r="CW334" s="1277"/>
      <c r="CX334" s="1277"/>
      <c r="CY334" s="1277"/>
      <c r="CZ334" s="1277"/>
      <c r="DA334" s="1277"/>
      <c r="DB334" s="1277"/>
      <c r="DC334" s="1277"/>
      <c r="DD334" s="1277"/>
      <c r="DE334" s="1277"/>
      <c r="DF334" s="1277"/>
      <c r="DG334" s="1277"/>
      <c r="DH334" s="1277"/>
      <c r="DI334" s="1277"/>
      <c r="DJ334" s="1277"/>
      <c r="DK334" s="1277"/>
      <c r="DL334" s="1277"/>
      <c r="DM334" s="1277"/>
      <c r="DN334" s="1277"/>
      <c r="DO334" s="1277"/>
      <c r="DP334" s="1277"/>
      <c r="DQ334" s="1277"/>
      <c r="DR334" s="1277"/>
      <c r="DS334" s="1277"/>
      <c r="DT334" s="1277"/>
      <c r="DU334" s="1277"/>
      <c r="DV334" s="1277"/>
      <c r="DW334" s="1277"/>
      <c r="DX334" s="1277"/>
      <c r="DY334" s="1277"/>
      <c r="DZ334" s="1277"/>
      <c r="EA334" s="1277"/>
      <c r="EB334" s="1276"/>
      <c r="EC334" s="1276"/>
      <c r="ED334" s="1276"/>
      <c r="EE334" s="1276"/>
      <c r="EF334" s="1276"/>
      <c r="EG334" s="1276"/>
      <c r="EH334" s="1276"/>
      <c r="EI334" s="1276"/>
      <c r="EJ334" s="1276"/>
      <c r="EK334" s="1275"/>
      <c r="EL334" s="1275"/>
      <c r="EM334" s="1313"/>
    </row>
    <row r="335" spans="1:143" s="1271" customFormat="1">
      <c r="B335" s="1272"/>
      <c r="C335" s="1272"/>
      <c r="D335" s="1273"/>
      <c r="E335" s="1273"/>
      <c r="F335" s="1273"/>
      <c r="G335" s="1273"/>
      <c r="H335" s="1273"/>
      <c r="I335" s="1273"/>
      <c r="J335" s="1273"/>
      <c r="K335" s="1273"/>
      <c r="L335" s="1273"/>
      <c r="M335" s="1273"/>
      <c r="N335" s="1273"/>
      <c r="O335" s="1273"/>
      <c r="P335" s="1273"/>
      <c r="Q335" s="1273"/>
      <c r="R335" s="1273"/>
      <c r="S335" s="1273"/>
      <c r="T335" s="1273"/>
      <c r="U335" s="1273"/>
      <c r="V335" s="1273"/>
      <c r="W335" s="1274"/>
      <c r="X335" s="1274"/>
      <c r="Y335" s="1274"/>
      <c r="Z335" s="1274"/>
      <c r="AA335" s="1274"/>
      <c r="AB335" s="1274"/>
      <c r="AC335" s="1274"/>
      <c r="AD335" s="1274"/>
      <c r="AE335" s="1274"/>
      <c r="AF335" s="1274"/>
      <c r="AG335" s="1274"/>
      <c r="AH335" s="1274"/>
      <c r="AI335" s="1274"/>
      <c r="AJ335" s="1274"/>
      <c r="AK335" s="1274"/>
      <c r="AL335" s="1274"/>
      <c r="AM335" s="1274"/>
      <c r="AN335" s="1274"/>
      <c r="AO335" s="1274"/>
      <c r="AP335" s="1274"/>
      <c r="AQ335" s="1274"/>
      <c r="AR335" s="1274"/>
      <c r="AS335" s="1274"/>
      <c r="AT335" s="1274"/>
      <c r="AU335" s="1274"/>
      <c r="AV335" s="1274"/>
      <c r="AW335" s="1274"/>
      <c r="AX335" s="1274"/>
      <c r="AY335" s="1274"/>
      <c r="AZ335" s="1274"/>
      <c r="BA335" s="1274"/>
      <c r="BB335" s="1274"/>
      <c r="BC335" s="1274"/>
      <c r="BD335" s="1274"/>
      <c r="BE335" s="1274"/>
      <c r="BF335" s="1274"/>
      <c r="BG335" s="1274"/>
      <c r="BH335" s="1274"/>
      <c r="BI335" s="1274"/>
      <c r="BJ335" s="1274"/>
      <c r="BK335" s="1274"/>
      <c r="BL335" s="1274"/>
      <c r="BM335" s="1274"/>
      <c r="BN335" s="1274"/>
      <c r="BO335" s="1274"/>
      <c r="BP335" s="1274"/>
      <c r="BQ335" s="1274"/>
      <c r="BR335" s="1274"/>
      <c r="BS335" s="1274"/>
      <c r="BT335" s="1274"/>
      <c r="BU335" s="1274"/>
      <c r="BV335" s="1274"/>
      <c r="BW335" s="1274"/>
      <c r="BX335" s="1274"/>
      <c r="BY335" s="1274"/>
      <c r="BZ335" s="1274"/>
      <c r="CA335" s="1274"/>
      <c r="CB335" s="1274"/>
      <c r="CC335" s="1274"/>
      <c r="CD335" s="1274"/>
      <c r="CE335" s="1274"/>
      <c r="CF335" s="1274"/>
      <c r="CG335" s="1274"/>
      <c r="CH335" s="1269"/>
      <c r="CI335" s="1274"/>
      <c r="CJ335" s="1274"/>
      <c r="CK335" s="1274"/>
      <c r="CL335" s="1274"/>
      <c r="CM335" s="1274"/>
      <c r="CN335" s="1274"/>
      <c r="CO335" s="1274"/>
      <c r="CP335" s="1274"/>
      <c r="CQ335" s="1274"/>
      <c r="CR335" s="1274"/>
      <c r="CS335" s="1274"/>
      <c r="CT335" s="1274"/>
      <c r="CU335" s="1274"/>
      <c r="CV335" s="1274"/>
      <c r="CW335" s="1274"/>
      <c r="CX335" s="1274"/>
      <c r="CY335" s="1274"/>
      <c r="CZ335" s="1274"/>
      <c r="DA335" s="1274"/>
      <c r="DB335" s="1274"/>
      <c r="DC335" s="1274"/>
      <c r="DD335" s="1274"/>
      <c r="DE335" s="1274"/>
      <c r="DF335" s="1274"/>
      <c r="DG335" s="1274"/>
      <c r="DH335" s="1274"/>
      <c r="DI335" s="1274"/>
      <c r="DJ335" s="1274"/>
      <c r="DK335" s="1274"/>
      <c r="DL335" s="1274"/>
      <c r="DM335" s="1274"/>
      <c r="DN335" s="1274"/>
      <c r="DO335" s="1274"/>
      <c r="DP335" s="1274"/>
      <c r="DQ335" s="1274"/>
      <c r="DR335" s="1274"/>
      <c r="DS335" s="1274"/>
      <c r="DT335" s="1274"/>
      <c r="DU335" s="1274"/>
      <c r="DV335" s="1274"/>
      <c r="DW335" s="1274"/>
      <c r="DX335" s="1274"/>
      <c r="DY335" s="1274"/>
      <c r="DZ335" s="1274"/>
      <c r="EA335" s="1274"/>
      <c r="EB335" s="1273"/>
      <c r="EC335" s="1273"/>
      <c r="ED335" s="1273"/>
      <c r="EE335" s="1273"/>
      <c r="EF335" s="1273"/>
      <c r="EG335" s="1273"/>
      <c r="EH335" s="1273"/>
      <c r="EI335" s="1273"/>
      <c r="EJ335" s="1273"/>
      <c r="EK335" s="1273"/>
      <c r="EL335" s="1273"/>
      <c r="EM335" s="1313"/>
    </row>
    <row r="336" spans="1:143" s="1271" customFormat="1">
      <c r="B336" s="1272"/>
      <c r="C336" s="1272"/>
      <c r="D336" s="1273"/>
      <c r="E336" s="1273"/>
      <c r="F336" s="1273"/>
      <c r="G336" s="1273"/>
      <c r="H336" s="1273"/>
      <c r="I336" s="1273"/>
      <c r="J336" s="1273"/>
      <c r="K336" s="1273"/>
      <c r="L336" s="1273"/>
      <c r="M336" s="1273"/>
      <c r="N336" s="1273"/>
      <c r="O336" s="1273"/>
      <c r="P336" s="1273"/>
      <c r="Q336" s="1273"/>
      <c r="R336" s="1273"/>
      <c r="S336" s="1273"/>
      <c r="T336" s="1273"/>
      <c r="U336" s="1273"/>
      <c r="V336" s="1273"/>
      <c r="W336" s="1274"/>
      <c r="X336" s="1274"/>
      <c r="Y336" s="1274"/>
      <c r="Z336" s="1274"/>
      <c r="AA336" s="1274"/>
      <c r="AB336" s="1274"/>
      <c r="AC336" s="1274"/>
      <c r="AD336" s="1274"/>
      <c r="AE336" s="1274"/>
      <c r="AF336" s="1274"/>
      <c r="AG336" s="1274"/>
      <c r="AH336" s="1274"/>
      <c r="AI336" s="1274"/>
      <c r="AJ336" s="1274"/>
      <c r="AK336" s="1274"/>
      <c r="AL336" s="1274"/>
      <c r="AM336" s="1274"/>
      <c r="AN336" s="1274"/>
      <c r="AO336" s="1274"/>
      <c r="AP336" s="1274"/>
      <c r="AQ336" s="1274"/>
      <c r="AR336" s="1274"/>
      <c r="AS336" s="1274"/>
      <c r="AT336" s="1274"/>
      <c r="AU336" s="1274"/>
      <c r="AV336" s="1274"/>
      <c r="AW336" s="1274"/>
      <c r="AX336" s="1274"/>
      <c r="AY336" s="1274"/>
      <c r="AZ336" s="1274"/>
      <c r="BA336" s="1274"/>
      <c r="BB336" s="1274"/>
      <c r="BC336" s="1274"/>
      <c r="BD336" s="1274"/>
      <c r="BE336" s="1274"/>
      <c r="BF336" s="1274"/>
      <c r="BG336" s="1274"/>
      <c r="BH336" s="1274"/>
      <c r="BI336" s="1274"/>
      <c r="BJ336" s="1274"/>
      <c r="BK336" s="1274"/>
      <c r="BL336" s="1274"/>
      <c r="BM336" s="1274"/>
      <c r="BN336" s="1274"/>
      <c r="BO336" s="1274"/>
      <c r="BP336" s="1274"/>
      <c r="BQ336" s="1274"/>
      <c r="BR336" s="1274"/>
      <c r="BS336" s="1274"/>
      <c r="BT336" s="1274"/>
      <c r="BU336" s="1274"/>
      <c r="BV336" s="1274"/>
      <c r="BW336" s="1274"/>
      <c r="BX336" s="1274"/>
      <c r="BY336" s="1274"/>
      <c r="BZ336" s="1274"/>
      <c r="CA336" s="1274"/>
      <c r="CB336" s="1274"/>
      <c r="CC336" s="1274"/>
      <c r="CD336" s="1274"/>
      <c r="CE336" s="1274"/>
      <c r="CF336" s="1274"/>
      <c r="CG336" s="1274"/>
      <c r="CH336" s="1269"/>
      <c r="CI336" s="1274"/>
      <c r="CJ336" s="1274"/>
      <c r="CK336" s="1274"/>
      <c r="CL336" s="1274"/>
      <c r="CM336" s="1274"/>
      <c r="CN336" s="1274"/>
      <c r="CO336" s="1274"/>
      <c r="CP336" s="1274"/>
      <c r="CQ336" s="1274"/>
      <c r="CR336" s="1274"/>
      <c r="CS336" s="1274"/>
      <c r="CT336" s="1274"/>
      <c r="CU336" s="1274"/>
      <c r="CV336" s="1274"/>
      <c r="CW336" s="1274"/>
      <c r="CX336" s="1274"/>
      <c r="CY336" s="1274"/>
      <c r="CZ336" s="1274"/>
      <c r="DA336" s="1274"/>
      <c r="DB336" s="1274"/>
      <c r="DC336" s="1274"/>
      <c r="DD336" s="1274"/>
      <c r="DE336" s="1274"/>
      <c r="DF336" s="1274"/>
      <c r="DG336" s="1274"/>
      <c r="DH336" s="1274"/>
      <c r="DI336" s="1274"/>
      <c r="DJ336" s="1274"/>
      <c r="DK336" s="1274"/>
      <c r="DL336" s="1274"/>
      <c r="DM336" s="1274"/>
      <c r="DN336" s="1274"/>
      <c r="DO336" s="1274"/>
      <c r="DP336" s="1274"/>
      <c r="DQ336" s="1274"/>
      <c r="DR336" s="1274"/>
      <c r="DS336" s="1274"/>
      <c r="DT336" s="1274"/>
      <c r="DU336" s="1274"/>
      <c r="DV336" s="1274"/>
      <c r="DW336" s="1274"/>
      <c r="DX336" s="1274"/>
      <c r="DY336" s="1274"/>
      <c r="DZ336" s="1274"/>
      <c r="EA336" s="1274"/>
      <c r="EB336" s="1273"/>
      <c r="EC336" s="1273"/>
      <c r="ED336" s="1273"/>
      <c r="EE336" s="1273"/>
      <c r="EF336" s="1273"/>
      <c r="EG336" s="1273"/>
      <c r="EH336" s="1273"/>
      <c r="EI336" s="1273"/>
      <c r="EJ336" s="1273"/>
      <c r="EK336" s="1273"/>
      <c r="EL336" s="1273"/>
      <c r="EM336" s="1313"/>
    </row>
    <row r="337" spans="1:143" s="1271" customFormat="1">
      <c r="B337" s="1272"/>
      <c r="C337" s="1272"/>
      <c r="D337" s="1273"/>
      <c r="E337" s="1273"/>
      <c r="F337" s="1273"/>
      <c r="G337" s="1273"/>
      <c r="H337" s="1273"/>
      <c r="I337" s="1273"/>
      <c r="J337" s="1273"/>
      <c r="K337" s="1273"/>
      <c r="L337" s="1273"/>
      <c r="M337" s="1273"/>
      <c r="N337" s="1273"/>
      <c r="O337" s="1273"/>
      <c r="P337" s="1273"/>
      <c r="Q337" s="1273"/>
      <c r="R337" s="1273"/>
      <c r="S337" s="1273"/>
      <c r="T337" s="1273"/>
      <c r="U337" s="1273"/>
      <c r="V337" s="1273"/>
      <c r="W337" s="1274"/>
      <c r="X337" s="1274"/>
      <c r="Y337" s="1274"/>
      <c r="Z337" s="1274"/>
      <c r="AA337" s="1274"/>
      <c r="AB337" s="1274"/>
      <c r="AC337" s="1274"/>
      <c r="AD337" s="1274"/>
      <c r="AE337" s="1274"/>
      <c r="AF337" s="1274"/>
      <c r="AG337" s="1274"/>
      <c r="AH337" s="1274"/>
      <c r="AI337" s="1274"/>
      <c r="AJ337" s="1274"/>
      <c r="AK337" s="1274"/>
      <c r="AL337" s="1274"/>
      <c r="AM337" s="1274"/>
      <c r="AN337" s="1274"/>
      <c r="AO337" s="1274"/>
      <c r="AP337" s="1274"/>
      <c r="AQ337" s="1274"/>
      <c r="AR337" s="1274"/>
      <c r="AS337" s="1274"/>
      <c r="AT337" s="1274"/>
      <c r="AU337" s="1274"/>
      <c r="AV337" s="1274"/>
      <c r="AW337" s="1274"/>
      <c r="AX337" s="1274"/>
      <c r="AY337" s="1274"/>
      <c r="AZ337" s="1274"/>
      <c r="BA337" s="1274"/>
      <c r="BB337" s="1274"/>
      <c r="BC337" s="1274"/>
      <c r="BD337" s="1274"/>
      <c r="BE337" s="1274"/>
      <c r="BF337" s="1274"/>
      <c r="BG337" s="1274"/>
      <c r="BH337" s="1274"/>
      <c r="BI337" s="1274"/>
      <c r="BJ337" s="1274"/>
      <c r="BK337" s="1274"/>
      <c r="BL337" s="1274"/>
      <c r="BM337" s="1274"/>
      <c r="BN337" s="1274"/>
      <c r="BO337" s="1274"/>
      <c r="BP337" s="1274"/>
      <c r="BQ337" s="1274"/>
      <c r="BR337" s="1274"/>
      <c r="BS337" s="1274"/>
      <c r="BT337" s="1274"/>
      <c r="BU337" s="1274"/>
      <c r="BV337" s="1274"/>
      <c r="BW337" s="1274"/>
      <c r="BX337" s="1274"/>
      <c r="BY337" s="1274"/>
      <c r="BZ337" s="1274"/>
      <c r="CA337" s="1274"/>
      <c r="CB337" s="1274"/>
      <c r="CC337" s="1274"/>
      <c r="CD337" s="1274"/>
      <c r="CE337" s="1274"/>
      <c r="CF337" s="1274"/>
      <c r="CG337" s="1274"/>
      <c r="CH337" s="1269"/>
      <c r="CI337" s="1274"/>
      <c r="CJ337" s="1274"/>
      <c r="CK337" s="1274"/>
      <c r="CL337" s="1274"/>
      <c r="CM337" s="1274"/>
      <c r="CN337" s="1274"/>
      <c r="CO337" s="1274"/>
      <c r="CP337" s="1274"/>
      <c r="CQ337" s="1274"/>
      <c r="CR337" s="1274"/>
      <c r="CS337" s="1274"/>
      <c r="CT337" s="1274"/>
      <c r="CU337" s="1274"/>
      <c r="CV337" s="1274"/>
      <c r="CW337" s="1274"/>
      <c r="CX337" s="1274"/>
      <c r="CY337" s="1274"/>
      <c r="CZ337" s="1274"/>
      <c r="DA337" s="1274"/>
      <c r="DB337" s="1274"/>
      <c r="DC337" s="1274"/>
      <c r="DD337" s="1274"/>
      <c r="DE337" s="1274"/>
      <c r="DF337" s="1274"/>
      <c r="DG337" s="1274"/>
      <c r="DH337" s="1274"/>
      <c r="DI337" s="1274"/>
      <c r="DJ337" s="1274"/>
      <c r="DK337" s="1274"/>
      <c r="DL337" s="1274"/>
      <c r="DM337" s="1274"/>
      <c r="DN337" s="1274"/>
      <c r="DO337" s="1274"/>
      <c r="DP337" s="1274"/>
      <c r="DQ337" s="1274"/>
      <c r="DR337" s="1274"/>
      <c r="DS337" s="1274"/>
      <c r="DT337" s="1274"/>
      <c r="DU337" s="1274"/>
      <c r="DV337" s="1274"/>
      <c r="DW337" s="1274"/>
      <c r="DX337" s="1274"/>
      <c r="DY337" s="1274"/>
      <c r="DZ337" s="1274"/>
      <c r="EA337" s="1274"/>
      <c r="EB337" s="1273"/>
      <c r="EC337" s="1273"/>
      <c r="ED337" s="1273"/>
      <c r="EE337" s="1273"/>
      <c r="EF337" s="1273"/>
      <c r="EG337" s="1273"/>
      <c r="EH337" s="1273"/>
      <c r="EI337" s="1273"/>
      <c r="EJ337" s="1273"/>
      <c r="EK337" s="1273"/>
      <c r="EL337" s="1273"/>
      <c r="EM337" s="1313"/>
    </row>
    <row r="338" spans="1:143" s="1271" customFormat="1">
      <c r="B338" s="1272"/>
      <c r="C338" s="1272"/>
      <c r="D338" s="1273"/>
      <c r="E338" s="1273"/>
      <c r="F338" s="1273"/>
      <c r="G338" s="1273"/>
      <c r="H338" s="1273"/>
      <c r="I338" s="1273"/>
      <c r="J338" s="1273"/>
      <c r="K338" s="1273"/>
      <c r="L338" s="1273"/>
      <c r="M338" s="1273"/>
      <c r="N338" s="1273"/>
      <c r="O338" s="1273"/>
      <c r="P338" s="1273"/>
      <c r="Q338" s="1273"/>
      <c r="R338" s="1273"/>
      <c r="S338" s="1273"/>
      <c r="T338" s="1273"/>
      <c r="U338" s="1273"/>
      <c r="V338" s="1273"/>
      <c r="W338" s="1274"/>
      <c r="X338" s="1274"/>
      <c r="Y338" s="1274"/>
      <c r="Z338" s="1274"/>
      <c r="AA338" s="1274"/>
      <c r="AB338" s="1274"/>
      <c r="AC338" s="1274"/>
      <c r="AD338" s="1274"/>
      <c r="AE338" s="1274"/>
      <c r="AF338" s="1274"/>
      <c r="AG338" s="1274"/>
      <c r="AH338" s="1274"/>
      <c r="AI338" s="1274"/>
      <c r="AJ338" s="1274"/>
      <c r="AK338" s="1274"/>
      <c r="AL338" s="1274"/>
      <c r="AM338" s="1274"/>
      <c r="AN338" s="1274"/>
      <c r="AO338" s="1274"/>
      <c r="AP338" s="1274"/>
      <c r="AQ338" s="1274"/>
      <c r="AR338" s="1274"/>
      <c r="AS338" s="1274"/>
      <c r="AT338" s="1274"/>
      <c r="AU338" s="1274"/>
      <c r="AV338" s="1274"/>
      <c r="AW338" s="1274"/>
      <c r="AX338" s="1274"/>
      <c r="AY338" s="1274"/>
      <c r="AZ338" s="1274"/>
      <c r="BA338" s="1274"/>
      <c r="BB338" s="1274"/>
      <c r="BC338" s="1274"/>
      <c r="BD338" s="1274"/>
      <c r="BE338" s="1274"/>
      <c r="BF338" s="1274"/>
      <c r="BG338" s="1274"/>
      <c r="BH338" s="1274"/>
      <c r="BI338" s="1274"/>
      <c r="BJ338" s="1274"/>
      <c r="BK338" s="1274"/>
      <c r="BL338" s="1274"/>
      <c r="BM338" s="1274"/>
      <c r="BN338" s="1274"/>
      <c r="BO338" s="1274"/>
      <c r="BP338" s="1274"/>
      <c r="BQ338" s="1274"/>
      <c r="BR338" s="1274"/>
      <c r="BS338" s="1274"/>
      <c r="BT338" s="1274"/>
      <c r="BU338" s="1274"/>
      <c r="BV338" s="1274"/>
      <c r="BW338" s="1274"/>
      <c r="BX338" s="1274"/>
      <c r="BY338" s="1274"/>
      <c r="BZ338" s="1274"/>
      <c r="CA338" s="1274"/>
      <c r="CB338" s="1274"/>
      <c r="CC338" s="1274"/>
      <c r="CD338" s="1274"/>
      <c r="CE338" s="1274"/>
      <c r="CF338" s="1274"/>
      <c r="CG338" s="1274"/>
      <c r="CH338" s="1269"/>
      <c r="CI338" s="1274"/>
      <c r="CJ338" s="1274"/>
      <c r="CK338" s="1274"/>
      <c r="CL338" s="1274"/>
      <c r="CM338" s="1274"/>
      <c r="CN338" s="1274"/>
      <c r="CO338" s="1274"/>
      <c r="CP338" s="1274"/>
      <c r="CQ338" s="1274"/>
      <c r="CR338" s="1274"/>
      <c r="CS338" s="1274"/>
      <c r="CT338" s="1274"/>
      <c r="CU338" s="1274"/>
      <c r="CV338" s="1274"/>
      <c r="CW338" s="1274"/>
      <c r="CX338" s="1274"/>
      <c r="CY338" s="1274"/>
      <c r="CZ338" s="1274"/>
      <c r="DA338" s="1274"/>
      <c r="DB338" s="1274"/>
      <c r="DC338" s="1274"/>
      <c r="DD338" s="1274"/>
      <c r="DE338" s="1274"/>
      <c r="DF338" s="1274"/>
      <c r="DG338" s="1274"/>
      <c r="DH338" s="1274"/>
      <c r="DI338" s="1274"/>
      <c r="DJ338" s="1274"/>
      <c r="DK338" s="1274"/>
      <c r="DL338" s="1274"/>
      <c r="DM338" s="1274"/>
      <c r="DN338" s="1274"/>
      <c r="DO338" s="1274"/>
      <c r="DP338" s="1274"/>
      <c r="DQ338" s="1274"/>
      <c r="DR338" s="1274"/>
      <c r="DS338" s="1274"/>
      <c r="DT338" s="1274"/>
      <c r="DU338" s="1274"/>
      <c r="DV338" s="1274"/>
      <c r="DW338" s="1274"/>
      <c r="DX338" s="1274"/>
      <c r="DY338" s="1274"/>
      <c r="DZ338" s="1274"/>
      <c r="EA338" s="1274"/>
      <c r="EB338" s="1273"/>
      <c r="EC338" s="1273"/>
      <c r="ED338" s="1273"/>
      <c r="EE338" s="1273"/>
      <c r="EF338" s="1273"/>
      <c r="EG338" s="1273"/>
      <c r="EH338" s="1273"/>
      <c r="EI338" s="1273"/>
      <c r="EJ338" s="1273"/>
      <c r="EK338" s="1273"/>
      <c r="EL338" s="1273"/>
      <c r="EM338" s="1313"/>
    </row>
    <row r="339" spans="1:143" s="1271" customFormat="1">
      <c r="B339" s="1272"/>
      <c r="C339" s="1272"/>
      <c r="D339" s="1273"/>
      <c r="E339" s="1273"/>
      <c r="F339" s="1273"/>
      <c r="G339" s="1273"/>
      <c r="H339" s="1273"/>
      <c r="I339" s="1273"/>
      <c r="J339" s="1273"/>
      <c r="K339" s="1273"/>
      <c r="L339" s="1273"/>
      <c r="M339" s="1273"/>
      <c r="N339" s="1273"/>
      <c r="O339" s="1273"/>
      <c r="P339" s="1273"/>
      <c r="Q339" s="1273"/>
      <c r="R339" s="1273"/>
      <c r="S339" s="1273"/>
      <c r="T339" s="1273"/>
      <c r="U339" s="1273"/>
      <c r="V339" s="1273"/>
      <c r="W339" s="1274"/>
      <c r="X339" s="1274"/>
      <c r="Y339" s="1274"/>
      <c r="Z339" s="1274"/>
      <c r="AA339" s="1274"/>
      <c r="AB339" s="1274"/>
      <c r="AC339" s="1274"/>
      <c r="AD339" s="1274"/>
      <c r="AE339" s="1274"/>
      <c r="AF339" s="1274"/>
      <c r="AG339" s="1274"/>
      <c r="AH339" s="1274"/>
      <c r="AI339" s="1274"/>
      <c r="AJ339" s="1274"/>
      <c r="AK339" s="1274"/>
      <c r="AL339" s="1274"/>
      <c r="AM339" s="1274"/>
      <c r="AN339" s="1274"/>
      <c r="AO339" s="1274"/>
      <c r="AP339" s="1274"/>
      <c r="AQ339" s="1274"/>
      <c r="AR339" s="1274"/>
      <c r="AS339" s="1274"/>
      <c r="AT339" s="1274"/>
      <c r="AU339" s="1274"/>
      <c r="AV339" s="1274"/>
      <c r="AW339" s="1274"/>
      <c r="AX339" s="1274"/>
      <c r="AY339" s="1274"/>
      <c r="AZ339" s="1274"/>
      <c r="BA339" s="1274"/>
      <c r="BB339" s="1274"/>
      <c r="BC339" s="1274"/>
      <c r="BD339" s="1274"/>
      <c r="BE339" s="1274"/>
      <c r="BF339" s="1274"/>
      <c r="BG339" s="1274"/>
      <c r="BH339" s="1274"/>
      <c r="BI339" s="1274"/>
      <c r="BJ339" s="1274"/>
      <c r="BK339" s="1274"/>
      <c r="BL339" s="1274"/>
      <c r="BM339" s="1274"/>
      <c r="BN339" s="1274"/>
      <c r="BO339" s="1274"/>
      <c r="BP339" s="1274"/>
      <c r="BQ339" s="1274"/>
      <c r="BR339" s="1274"/>
      <c r="BS339" s="1274"/>
      <c r="BT339" s="1274"/>
      <c r="BU339" s="1274"/>
      <c r="BV339" s="1274"/>
      <c r="BW339" s="1274"/>
      <c r="BX339" s="1274"/>
      <c r="BY339" s="1274"/>
      <c r="BZ339" s="1274"/>
      <c r="CA339" s="1274"/>
      <c r="CB339" s="1274"/>
      <c r="CC339" s="1274"/>
      <c r="CD339" s="1274"/>
      <c r="CE339" s="1274"/>
      <c r="CF339" s="1274"/>
      <c r="CG339" s="1274"/>
      <c r="CH339" s="1269"/>
      <c r="CI339" s="1274"/>
      <c r="CJ339" s="1274"/>
      <c r="CK339" s="1274"/>
      <c r="CL339" s="1274"/>
      <c r="CM339" s="1274"/>
      <c r="CN339" s="1274"/>
      <c r="CO339" s="1274"/>
      <c r="CP339" s="1274"/>
      <c r="CQ339" s="1274"/>
      <c r="CR339" s="1274"/>
      <c r="CS339" s="1274"/>
      <c r="CT339" s="1274"/>
      <c r="CU339" s="1274"/>
      <c r="CV339" s="1274"/>
      <c r="CW339" s="1274"/>
      <c r="CX339" s="1274"/>
      <c r="CY339" s="1274"/>
      <c r="CZ339" s="1274"/>
      <c r="DA339" s="1274"/>
      <c r="DB339" s="1274"/>
      <c r="DC339" s="1274"/>
      <c r="DD339" s="1274"/>
      <c r="DE339" s="1274"/>
      <c r="DF339" s="1274"/>
      <c r="DG339" s="1274"/>
      <c r="DH339" s="1274"/>
      <c r="DI339" s="1274"/>
      <c r="DJ339" s="1274"/>
      <c r="DK339" s="1274"/>
      <c r="DL339" s="1274"/>
      <c r="DM339" s="1274"/>
      <c r="DN339" s="1274"/>
      <c r="DO339" s="1274"/>
      <c r="DP339" s="1274"/>
      <c r="DQ339" s="1274"/>
      <c r="DR339" s="1274"/>
      <c r="DS339" s="1274"/>
      <c r="DT339" s="1274"/>
      <c r="DU339" s="1274"/>
      <c r="DV339" s="1274"/>
      <c r="DW339" s="1274"/>
      <c r="DX339" s="1274"/>
      <c r="DY339" s="1274"/>
      <c r="DZ339" s="1274"/>
      <c r="EA339" s="1274"/>
      <c r="EB339" s="1273"/>
      <c r="EC339" s="1273"/>
      <c r="ED339" s="1273"/>
      <c r="EE339" s="1273"/>
      <c r="EF339" s="1273"/>
      <c r="EG339" s="1273"/>
      <c r="EH339" s="1273"/>
      <c r="EI339" s="1273"/>
      <c r="EJ339" s="1273"/>
      <c r="EK339" s="1273"/>
      <c r="EL339" s="1273"/>
      <c r="EM339" s="1313"/>
    </row>
    <row r="340" spans="1:143" s="1271" customFormat="1">
      <c r="B340" s="1272"/>
      <c r="C340" s="1272"/>
      <c r="D340" s="1273"/>
      <c r="E340" s="1273"/>
      <c r="F340" s="1273"/>
      <c r="G340" s="1273"/>
      <c r="H340" s="1273"/>
      <c r="I340" s="1273"/>
      <c r="J340" s="1273"/>
      <c r="K340" s="1273"/>
      <c r="L340" s="1273"/>
      <c r="M340" s="1273"/>
      <c r="N340" s="1273"/>
      <c r="O340" s="1273"/>
      <c r="P340" s="1273"/>
      <c r="Q340" s="1273"/>
      <c r="R340" s="1273"/>
      <c r="S340" s="1273"/>
      <c r="T340" s="1273"/>
      <c r="U340" s="1273"/>
      <c r="V340" s="1273"/>
      <c r="W340" s="1274"/>
      <c r="X340" s="1274"/>
      <c r="Y340" s="1274"/>
      <c r="Z340" s="1274"/>
      <c r="AA340" s="1274"/>
      <c r="AB340" s="1274"/>
      <c r="AC340" s="1274"/>
      <c r="AD340" s="1274"/>
      <c r="AE340" s="1274"/>
      <c r="AF340" s="1274"/>
      <c r="AG340" s="1274"/>
      <c r="AH340" s="1274"/>
      <c r="AI340" s="1274"/>
      <c r="AJ340" s="1274"/>
      <c r="AK340" s="1274"/>
      <c r="AL340" s="1274"/>
      <c r="AM340" s="1274"/>
      <c r="AN340" s="1274"/>
      <c r="AO340" s="1274"/>
      <c r="AP340" s="1274"/>
      <c r="AQ340" s="1274"/>
      <c r="AR340" s="1274"/>
      <c r="AS340" s="1274"/>
      <c r="AT340" s="1274"/>
      <c r="AU340" s="1274"/>
      <c r="AV340" s="1274"/>
      <c r="AW340" s="1274"/>
      <c r="AX340" s="1274"/>
      <c r="AY340" s="1274"/>
      <c r="AZ340" s="1274"/>
      <c r="BA340" s="1274"/>
      <c r="BB340" s="1274"/>
      <c r="BC340" s="1274"/>
      <c r="BD340" s="1274"/>
      <c r="BE340" s="1274"/>
      <c r="BF340" s="1274"/>
      <c r="BG340" s="1274"/>
      <c r="BH340" s="1274"/>
      <c r="BI340" s="1274"/>
      <c r="BJ340" s="1274"/>
      <c r="BK340" s="1274"/>
      <c r="BL340" s="1274"/>
      <c r="BM340" s="1274"/>
      <c r="BN340" s="1274"/>
      <c r="BO340" s="1274"/>
      <c r="BP340" s="1274"/>
      <c r="BQ340" s="1274"/>
      <c r="BR340" s="1274"/>
      <c r="BS340" s="1274"/>
      <c r="BT340" s="1274"/>
      <c r="BU340" s="1274"/>
      <c r="BV340" s="1274"/>
      <c r="BW340" s="1274"/>
      <c r="BX340" s="1274"/>
      <c r="BY340" s="1274"/>
      <c r="BZ340" s="1274"/>
      <c r="CA340" s="1274"/>
      <c r="CB340" s="1274"/>
      <c r="CC340" s="1274"/>
      <c r="CD340" s="1274"/>
      <c r="CE340" s="1274"/>
      <c r="CF340" s="1274"/>
      <c r="CG340" s="1274"/>
      <c r="CH340" s="1269"/>
      <c r="CI340" s="1274"/>
      <c r="CJ340" s="1274"/>
      <c r="CK340" s="1274"/>
      <c r="CL340" s="1274"/>
      <c r="CM340" s="1274"/>
      <c r="CN340" s="1274"/>
      <c r="CO340" s="1274"/>
      <c r="CP340" s="1274"/>
      <c r="CQ340" s="1274"/>
      <c r="CR340" s="1274"/>
      <c r="CS340" s="1274"/>
      <c r="CT340" s="1274"/>
      <c r="CU340" s="1274"/>
      <c r="CV340" s="1274"/>
      <c r="CW340" s="1274"/>
      <c r="CX340" s="1274"/>
      <c r="CY340" s="1274"/>
      <c r="CZ340" s="1274"/>
      <c r="DA340" s="1274"/>
      <c r="DB340" s="1274"/>
      <c r="DC340" s="1274"/>
      <c r="DD340" s="1274"/>
      <c r="DE340" s="1274"/>
      <c r="DF340" s="1274"/>
      <c r="DG340" s="1274"/>
      <c r="DH340" s="1274"/>
      <c r="DI340" s="1274"/>
      <c r="DJ340" s="1274"/>
      <c r="DK340" s="1274"/>
      <c r="DL340" s="1274"/>
      <c r="DM340" s="1274"/>
      <c r="DN340" s="1274"/>
      <c r="DO340" s="1274"/>
      <c r="DP340" s="1274"/>
      <c r="DQ340" s="1274"/>
      <c r="DR340" s="1274"/>
      <c r="DS340" s="1274"/>
      <c r="DT340" s="1274"/>
      <c r="DU340" s="1274"/>
      <c r="DV340" s="1274"/>
      <c r="DW340" s="1274"/>
      <c r="DX340" s="1274"/>
      <c r="DY340" s="1274"/>
      <c r="DZ340" s="1274"/>
      <c r="EA340" s="1274"/>
      <c r="EB340" s="1273"/>
      <c r="EC340" s="1273"/>
      <c r="ED340" s="1273"/>
      <c r="EE340" s="1273"/>
      <c r="EF340" s="1273"/>
      <c r="EG340" s="1273"/>
      <c r="EH340" s="1273"/>
      <c r="EI340" s="1273"/>
      <c r="EJ340" s="1273"/>
      <c r="EK340" s="1273"/>
      <c r="EL340" s="1273"/>
      <c r="EM340" s="1313"/>
    </row>
    <row r="341" spans="1:143" s="1271" customFormat="1">
      <c r="B341" s="1272"/>
      <c r="C341" s="1272"/>
      <c r="D341" s="1273"/>
      <c r="E341" s="1273"/>
      <c r="F341" s="1273"/>
      <c r="G341" s="1273"/>
      <c r="H341" s="1273"/>
      <c r="I341" s="1273"/>
      <c r="J341" s="1273"/>
      <c r="K341" s="1273"/>
      <c r="L341" s="1273"/>
      <c r="M341" s="1273"/>
      <c r="N341" s="1273"/>
      <c r="O341" s="1273"/>
      <c r="P341" s="1273"/>
      <c r="Q341" s="1273"/>
      <c r="R341" s="1273"/>
      <c r="S341" s="1273"/>
      <c r="T341" s="1273"/>
      <c r="U341" s="1273"/>
      <c r="V341" s="1273"/>
      <c r="W341" s="1274"/>
      <c r="X341" s="1274"/>
      <c r="Y341" s="1274"/>
      <c r="Z341" s="1274"/>
      <c r="AA341" s="1274"/>
      <c r="AB341" s="1274"/>
      <c r="AC341" s="1274"/>
      <c r="AD341" s="1274"/>
      <c r="AE341" s="1274"/>
      <c r="AF341" s="1274"/>
      <c r="AG341" s="1274"/>
      <c r="AH341" s="1274"/>
      <c r="AI341" s="1274"/>
      <c r="AJ341" s="1274"/>
      <c r="AK341" s="1274"/>
      <c r="AL341" s="1274"/>
      <c r="AM341" s="1274"/>
      <c r="AN341" s="1274"/>
      <c r="AO341" s="1274"/>
      <c r="AP341" s="1274"/>
      <c r="AQ341" s="1274"/>
      <c r="AR341" s="1274"/>
      <c r="AS341" s="1274"/>
      <c r="AT341" s="1274"/>
      <c r="AU341" s="1274"/>
      <c r="AV341" s="1274"/>
      <c r="AW341" s="1274"/>
      <c r="AX341" s="1274"/>
      <c r="AY341" s="1274"/>
      <c r="AZ341" s="1274"/>
      <c r="BA341" s="1274"/>
      <c r="BB341" s="1274"/>
      <c r="BC341" s="1274"/>
      <c r="BD341" s="1274"/>
      <c r="BE341" s="1274"/>
      <c r="BF341" s="1274"/>
      <c r="BG341" s="1274"/>
      <c r="BH341" s="1274"/>
      <c r="BI341" s="1274"/>
      <c r="BJ341" s="1274"/>
      <c r="BK341" s="1274"/>
      <c r="BL341" s="1274"/>
      <c r="BM341" s="1274"/>
      <c r="BN341" s="1274"/>
      <c r="BO341" s="1274"/>
      <c r="BP341" s="1274"/>
      <c r="BQ341" s="1274"/>
      <c r="BR341" s="1274"/>
      <c r="BS341" s="1274"/>
      <c r="BT341" s="1274"/>
      <c r="BU341" s="1274"/>
      <c r="BV341" s="1274"/>
      <c r="BW341" s="1274"/>
      <c r="BX341" s="1274"/>
      <c r="BY341" s="1274"/>
      <c r="BZ341" s="1274"/>
      <c r="CA341" s="1274"/>
      <c r="CB341" s="1274"/>
      <c r="CC341" s="1274"/>
      <c r="CD341" s="1274"/>
      <c r="CE341" s="1274"/>
      <c r="CF341" s="1274"/>
      <c r="CG341" s="1274"/>
      <c r="CH341" s="1269"/>
      <c r="CI341" s="1274"/>
      <c r="CJ341" s="1274"/>
      <c r="CK341" s="1274"/>
      <c r="CL341" s="1274"/>
      <c r="CM341" s="1274"/>
      <c r="CN341" s="1274"/>
      <c r="CO341" s="1274"/>
      <c r="CP341" s="1274"/>
      <c r="CQ341" s="1274"/>
      <c r="CR341" s="1274"/>
      <c r="CS341" s="1274"/>
      <c r="CT341" s="1274"/>
      <c r="CU341" s="1274"/>
      <c r="CV341" s="1274"/>
      <c r="CW341" s="1274"/>
      <c r="CX341" s="1274"/>
      <c r="CY341" s="1274"/>
      <c r="CZ341" s="1274"/>
      <c r="DA341" s="1274"/>
      <c r="DB341" s="1274"/>
      <c r="DC341" s="1274"/>
      <c r="DD341" s="1274"/>
      <c r="DE341" s="1274"/>
      <c r="DF341" s="1274"/>
      <c r="DG341" s="1274"/>
      <c r="DH341" s="1274"/>
      <c r="DI341" s="1274"/>
      <c r="DJ341" s="1274"/>
      <c r="DK341" s="1274"/>
      <c r="DL341" s="1274"/>
      <c r="DM341" s="1274"/>
      <c r="DN341" s="1274"/>
      <c r="DO341" s="1274"/>
      <c r="DP341" s="1274"/>
      <c r="DQ341" s="1274"/>
      <c r="DR341" s="1274"/>
      <c r="DS341" s="1274"/>
      <c r="DT341" s="1274"/>
      <c r="DU341" s="1274"/>
      <c r="DV341" s="1274"/>
      <c r="DW341" s="1274"/>
      <c r="DX341" s="1274"/>
      <c r="DY341" s="1274"/>
      <c r="DZ341" s="1274"/>
      <c r="EA341" s="1274"/>
      <c r="EB341" s="1273"/>
      <c r="EC341" s="1273"/>
      <c r="ED341" s="1273"/>
      <c r="EE341" s="1273"/>
      <c r="EF341" s="1273"/>
      <c r="EG341" s="1273"/>
      <c r="EH341" s="1273"/>
      <c r="EI341" s="1273"/>
      <c r="EJ341" s="1273"/>
      <c r="EK341" s="1273"/>
      <c r="EL341" s="1273"/>
      <c r="EM341" s="1313"/>
    </row>
    <row r="342" spans="1:143" s="1271" customFormat="1">
      <c r="A342" s="1283"/>
      <c r="B342" s="1272"/>
      <c r="C342" s="1272"/>
      <c r="D342" s="1273"/>
      <c r="E342" s="1273"/>
      <c r="F342" s="1273"/>
      <c r="G342" s="1273"/>
      <c r="H342" s="1273"/>
      <c r="I342" s="1273"/>
      <c r="J342" s="1273"/>
      <c r="K342" s="1273"/>
      <c r="L342" s="1273"/>
      <c r="M342" s="1273"/>
      <c r="N342" s="1273"/>
      <c r="O342" s="1273"/>
      <c r="P342" s="1273"/>
      <c r="Q342" s="1273"/>
      <c r="R342" s="1273"/>
      <c r="S342" s="1273"/>
      <c r="T342" s="1273"/>
      <c r="U342" s="1273"/>
      <c r="V342" s="1273"/>
      <c r="W342" s="1274"/>
      <c r="X342" s="1274"/>
      <c r="Y342" s="1274"/>
      <c r="Z342" s="1274"/>
      <c r="AA342" s="1274"/>
      <c r="AB342" s="1274"/>
      <c r="AC342" s="1274"/>
      <c r="AD342" s="1274"/>
      <c r="AE342" s="1274"/>
      <c r="AF342" s="1274"/>
      <c r="AG342" s="1274"/>
      <c r="AH342" s="1274"/>
      <c r="AI342" s="1274"/>
      <c r="AJ342" s="1274"/>
      <c r="AK342" s="1274"/>
      <c r="AL342" s="1274"/>
      <c r="AM342" s="1274"/>
      <c r="AN342" s="1274"/>
      <c r="AO342" s="1274"/>
      <c r="AP342" s="1274"/>
      <c r="AQ342" s="1274"/>
      <c r="AR342" s="1274"/>
      <c r="AS342" s="1274"/>
      <c r="AT342" s="1274"/>
      <c r="AU342" s="1274"/>
      <c r="AV342" s="1274"/>
      <c r="AW342" s="1274"/>
      <c r="AX342" s="1274"/>
      <c r="AY342" s="1274"/>
      <c r="AZ342" s="1274"/>
      <c r="BA342" s="1274"/>
      <c r="BB342" s="1274"/>
      <c r="BC342" s="1274"/>
      <c r="BD342" s="1274"/>
      <c r="BE342" s="1274"/>
      <c r="BF342" s="1274"/>
      <c r="BG342" s="1274"/>
      <c r="BH342" s="1274"/>
      <c r="BI342" s="1274"/>
      <c r="BJ342" s="1274"/>
      <c r="BK342" s="1274"/>
      <c r="BL342" s="1274"/>
      <c r="BM342" s="1274"/>
      <c r="BN342" s="1274"/>
      <c r="BO342" s="1274"/>
      <c r="BP342" s="1274"/>
      <c r="BQ342" s="1274"/>
      <c r="BR342" s="1274"/>
      <c r="BS342" s="1274"/>
      <c r="BT342" s="1274"/>
      <c r="BU342" s="1274"/>
      <c r="BV342" s="1274"/>
      <c r="BW342" s="1274"/>
      <c r="BX342" s="1274"/>
      <c r="BY342" s="1274"/>
      <c r="BZ342" s="1274"/>
      <c r="CA342" s="1274"/>
      <c r="CB342" s="1274"/>
      <c r="CC342" s="1274"/>
      <c r="CD342" s="1274"/>
      <c r="CE342" s="1274"/>
      <c r="CF342" s="1274"/>
      <c r="CG342" s="1274"/>
      <c r="CH342" s="1269"/>
      <c r="CI342" s="1274"/>
      <c r="CJ342" s="1274"/>
      <c r="CK342" s="1274"/>
      <c r="CL342" s="1274"/>
      <c r="CM342" s="1274"/>
      <c r="CN342" s="1274"/>
      <c r="CO342" s="1274"/>
      <c r="CP342" s="1274"/>
      <c r="CQ342" s="1274"/>
      <c r="CR342" s="1274"/>
      <c r="CS342" s="1274"/>
      <c r="CT342" s="1274"/>
      <c r="CU342" s="1274"/>
      <c r="CV342" s="1274"/>
      <c r="CW342" s="1274"/>
      <c r="CX342" s="1274"/>
      <c r="CY342" s="1274"/>
      <c r="CZ342" s="1274"/>
      <c r="DA342" s="1274"/>
      <c r="DB342" s="1274"/>
      <c r="DC342" s="1274"/>
      <c r="DD342" s="1274"/>
      <c r="DE342" s="1274"/>
      <c r="DF342" s="1274"/>
      <c r="DG342" s="1274"/>
      <c r="DH342" s="1274"/>
      <c r="DI342" s="1274"/>
      <c r="DJ342" s="1274"/>
      <c r="DK342" s="1274"/>
      <c r="DL342" s="1274"/>
      <c r="DM342" s="1274"/>
      <c r="DN342" s="1274"/>
      <c r="DO342" s="1274"/>
      <c r="DP342" s="1274"/>
      <c r="DQ342" s="1274"/>
      <c r="DR342" s="1274"/>
      <c r="DS342" s="1274"/>
      <c r="DT342" s="1274"/>
      <c r="DU342" s="1274"/>
      <c r="DV342" s="1274"/>
      <c r="DW342" s="1274"/>
      <c r="DX342" s="1274"/>
      <c r="DY342" s="1274"/>
      <c r="DZ342" s="1274"/>
      <c r="EA342" s="1274"/>
      <c r="EB342" s="1273"/>
      <c r="EC342" s="1273"/>
      <c r="ED342" s="1273"/>
      <c r="EE342" s="1273"/>
      <c r="EF342" s="1273"/>
      <c r="EG342" s="1273"/>
      <c r="EH342" s="1273"/>
      <c r="EI342" s="1273"/>
      <c r="EJ342" s="1273"/>
      <c r="EK342" s="1273"/>
      <c r="EL342" s="1273"/>
      <c r="EM342" s="1313"/>
    </row>
    <row r="343" spans="1:143" s="1271" customFormat="1">
      <c r="B343" s="1263"/>
      <c r="C343" s="1264"/>
      <c r="D343" s="1265"/>
      <c r="E343" s="1265"/>
      <c r="F343" s="1285"/>
      <c r="G343" s="1264"/>
      <c r="H343" s="1264"/>
      <c r="I343" s="1285"/>
      <c r="J343" s="1285"/>
      <c r="K343" s="1285"/>
      <c r="L343" s="1285"/>
      <c r="M343" s="1285"/>
      <c r="N343" s="1285"/>
      <c r="O343" s="1285"/>
      <c r="P343" s="1285"/>
      <c r="Q343" s="1285"/>
      <c r="R343" s="1285"/>
      <c r="S343" s="1285"/>
      <c r="T343" s="1285"/>
      <c r="U343" s="1285"/>
      <c r="V343" s="1285"/>
      <c r="W343" s="1286"/>
      <c r="X343" s="1286"/>
      <c r="Y343" s="1286"/>
      <c r="Z343" s="1286"/>
      <c r="AA343" s="1286"/>
      <c r="AB343" s="1286"/>
      <c r="AC343" s="1286"/>
      <c r="AD343" s="1286"/>
      <c r="AE343" s="1286"/>
      <c r="AF343" s="1286"/>
      <c r="AG343" s="1286"/>
      <c r="AH343" s="1286"/>
      <c r="AI343" s="1286"/>
      <c r="AJ343" s="1286"/>
      <c r="AK343" s="1286"/>
      <c r="AL343" s="1286"/>
      <c r="AM343" s="1286"/>
      <c r="AN343" s="1286"/>
      <c r="AO343" s="1286"/>
      <c r="AP343" s="1286"/>
      <c r="AQ343" s="1286"/>
      <c r="AR343" s="1286"/>
      <c r="AS343" s="1286"/>
      <c r="AT343" s="1286"/>
      <c r="AU343" s="1286"/>
      <c r="AV343" s="1286"/>
      <c r="AW343" s="1286"/>
      <c r="AX343" s="1286"/>
      <c r="AY343" s="1286"/>
      <c r="AZ343" s="1286"/>
      <c r="BA343" s="1286"/>
      <c r="BB343" s="1286"/>
      <c r="BC343" s="1286"/>
      <c r="BD343" s="1286"/>
      <c r="BE343" s="1286"/>
      <c r="BF343" s="1286"/>
      <c r="BG343" s="1286"/>
      <c r="BH343" s="1286"/>
      <c r="BI343" s="1286"/>
      <c r="BJ343" s="1286"/>
      <c r="BK343" s="1286"/>
      <c r="BL343" s="1286"/>
      <c r="BM343" s="1286"/>
      <c r="BN343" s="1286"/>
      <c r="BO343" s="1286"/>
      <c r="BP343" s="1286"/>
      <c r="BQ343" s="1286"/>
      <c r="BR343" s="1286"/>
      <c r="BS343" s="1286"/>
      <c r="BT343" s="1286"/>
      <c r="BU343" s="1286"/>
      <c r="BV343" s="1286"/>
      <c r="BW343" s="1286"/>
      <c r="BX343" s="1286"/>
      <c r="BY343" s="1286"/>
      <c r="BZ343" s="1286"/>
      <c r="CA343" s="1286"/>
      <c r="CB343" s="1286"/>
      <c r="CC343" s="1286"/>
      <c r="CD343" s="1286"/>
      <c r="CE343" s="1286"/>
      <c r="CF343" s="1286"/>
      <c r="CG343" s="1286"/>
      <c r="CH343" s="1269"/>
      <c r="CI343" s="1286"/>
      <c r="CJ343" s="1286"/>
      <c r="CK343" s="1286"/>
      <c r="CL343" s="1286"/>
      <c r="CM343" s="1286"/>
      <c r="CN343" s="1286"/>
      <c r="CO343" s="1286"/>
      <c r="CP343" s="1286"/>
      <c r="CQ343" s="1286"/>
      <c r="CR343" s="1286"/>
      <c r="CS343" s="1286"/>
      <c r="CT343" s="1286"/>
      <c r="CU343" s="1286"/>
      <c r="CV343" s="1286"/>
      <c r="CW343" s="1286"/>
      <c r="CX343" s="1286"/>
      <c r="CY343" s="1286"/>
      <c r="CZ343" s="1286"/>
      <c r="DA343" s="1286"/>
      <c r="DB343" s="1286"/>
      <c r="DC343" s="1286"/>
      <c r="DD343" s="1286"/>
      <c r="DE343" s="1286"/>
      <c r="DF343" s="1286"/>
      <c r="DG343" s="1286"/>
      <c r="DH343" s="1286"/>
      <c r="DI343" s="1286"/>
      <c r="DJ343" s="1286"/>
      <c r="DK343" s="1286"/>
      <c r="DL343" s="1286"/>
      <c r="DM343" s="1286"/>
      <c r="DN343" s="1286"/>
      <c r="DO343" s="1286"/>
      <c r="DP343" s="1286"/>
      <c r="DQ343" s="1286"/>
      <c r="DR343" s="1286"/>
      <c r="DS343" s="1286"/>
      <c r="DT343" s="1286"/>
      <c r="DU343" s="1286"/>
      <c r="DV343" s="1286"/>
      <c r="DW343" s="1286"/>
      <c r="DX343" s="1286"/>
      <c r="DY343" s="1286"/>
      <c r="DZ343" s="1286"/>
      <c r="EA343" s="1286"/>
      <c r="EB343" s="1206"/>
      <c r="EC343" s="1206"/>
      <c r="ED343" s="1206"/>
      <c r="EE343" s="1206"/>
      <c r="EF343" s="1206"/>
      <c r="EG343" s="1206"/>
      <c r="EH343" s="1206"/>
      <c r="EI343" s="1206"/>
      <c r="EJ343" s="1206"/>
      <c r="EK343" s="1206"/>
      <c r="EL343" s="1206"/>
      <c r="EM343" s="1313"/>
    </row>
    <row r="344" spans="1:143" s="1271" customFormat="1">
      <c r="B344" s="1263"/>
      <c r="C344" s="1264"/>
      <c r="D344" s="1265"/>
      <c r="E344" s="1265"/>
      <c r="F344" s="1285"/>
      <c r="G344" s="1264"/>
      <c r="H344" s="1264"/>
      <c r="I344" s="1285"/>
      <c r="J344" s="1285"/>
      <c r="K344" s="1285"/>
      <c r="L344" s="1285"/>
      <c r="M344" s="1285"/>
      <c r="N344" s="1285"/>
      <c r="O344" s="1285"/>
      <c r="P344" s="1285"/>
      <c r="Q344" s="1285"/>
      <c r="R344" s="1285"/>
      <c r="S344" s="1285"/>
      <c r="T344" s="1285"/>
      <c r="U344" s="1285"/>
      <c r="V344" s="1285"/>
      <c r="W344" s="1286"/>
      <c r="X344" s="1286"/>
      <c r="Y344" s="1286"/>
      <c r="Z344" s="1286"/>
      <c r="AA344" s="1286"/>
      <c r="AB344" s="1286"/>
      <c r="AC344" s="1286"/>
      <c r="AD344" s="1286"/>
      <c r="AE344" s="1286"/>
      <c r="AF344" s="1286"/>
      <c r="AG344" s="1286"/>
      <c r="AH344" s="1286"/>
      <c r="AI344" s="1286"/>
      <c r="AJ344" s="1286"/>
      <c r="AK344" s="1286"/>
      <c r="AL344" s="1286"/>
      <c r="AM344" s="1286"/>
      <c r="AN344" s="1286"/>
      <c r="AO344" s="1286"/>
      <c r="AP344" s="1286"/>
      <c r="AQ344" s="1286"/>
      <c r="AR344" s="1286"/>
      <c r="AS344" s="1286"/>
      <c r="AT344" s="1286"/>
      <c r="AU344" s="1286"/>
      <c r="AV344" s="1286"/>
      <c r="AW344" s="1286"/>
      <c r="AX344" s="1286"/>
      <c r="AY344" s="1286"/>
      <c r="AZ344" s="1286"/>
      <c r="BA344" s="1286"/>
      <c r="BB344" s="1286"/>
      <c r="BC344" s="1286"/>
      <c r="BD344" s="1286"/>
      <c r="BE344" s="1286"/>
      <c r="BF344" s="1286"/>
      <c r="BG344" s="1286"/>
      <c r="BH344" s="1286"/>
      <c r="BI344" s="1286"/>
      <c r="BJ344" s="1286"/>
      <c r="BK344" s="1286"/>
      <c r="BL344" s="1286"/>
      <c r="BM344" s="1286"/>
      <c r="BN344" s="1286"/>
      <c r="BO344" s="1286"/>
      <c r="BP344" s="1286"/>
      <c r="BQ344" s="1286"/>
      <c r="BR344" s="1286"/>
      <c r="BS344" s="1286"/>
      <c r="BT344" s="1286"/>
      <c r="BU344" s="1286"/>
      <c r="BV344" s="1286"/>
      <c r="BW344" s="1286"/>
      <c r="BX344" s="1286"/>
      <c r="BY344" s="1286"/>
      <c r="BZ344" s="1286"/>
      <c r="CA344" s="1286"/>
      <c r="CB344" s="1286"/>
      <c r="CC344" s="1286"/>
      <c r="CD344" s="1286"/>
      <c r="CE344" s="1286"/>
      <c r="CF344" s="1286"/>
      <c r="CG344" s="1286"/>
      <c r="CH344" s="1269"/>
      <c r="CI344" s="1286"/>
      <c r="CJ344" s="1286"/>
      <c r="CK344" s="1286"/>
      <c r="CL344" s="1286"/>
      <c r="CM344" s="1286"/>
      <c r="CN344" s="1286"/>
      <c r="CO344" s="1286"/>
      <c r="CP344" s="1286"/>
      <c r="CQ344" s="1286"/>
      <c r="CR344" s="1286"/>
      <c r="CS344" s="1286"/>
      <c r="CT344" s="1286"/>
      <c r="CU344" s="1286"/>
      <c r="CV344" s="1286"/>
      <c r="CW344" s="1286"/>
      <c r="CX344" s="1286"/>
      <c r="CY344" s="1286"/>
      <c r="CZ344" s="1286"/>
      <c r="DA344" s="1286"/>
      <c r="DB344" s="1286"/>
      <c r="DC344" s="1286"/>
      <c r="DD344" s="1286"/>
      <c r="DE344" s="1286"/>
      <c r="DF344" s="1286"/>
      <c r="DG344" s="1286"/>
      <c r="DH344" s="1286"/>
      <c r="DI344" s="1286"/>
      <c r="DJ344" s="1286"/>
      <c r="DK344" s="1286"/>
      <c r="DL344" s="1286"/>
      <c r="DM344" s="1286"/>
      <c r="DN344" s="1286"/>
      <c r="DO344" s="1286"/>
      <c r="DP344" s="1286"/>
      <c r="DQ344" s="1286"/>
      <c r="DR344" s="1286"/>
      <c r="DS344" s="1286"/>
      <c r="DT344" s="1286"/>
      <c r="DU344" s="1286"/>
      <c r="DV344" s="1286"/>
      <c r="DW344" s="1286"/>
      <c r="DX344" s="1286"/>
      <c r="DY344" s="1286"/>
      <c r="DZ344" s="1286"/>
      <c r="EA344" s="1286"/>
      <c r="EB344" s="1206"/>
      <c r="EC344" s="1206"/>
      <c r="ED344" s="1206"/>
      <c r="EE344" s="1206"/>
      <c r="EF344" s="1206"/>
      <c r="EG344" s="1206"/>
      <c r="EH344" s="1206"/>
      <c r="EI344" s="1206"/>
      <c r="EJ344" s="1206"/>
      <c r="EK344" s="1206"/>
      <c r="EL344" s="1206"/>
      <c r="EM344" s="1313"/>
    </row>
    <row r="345" spans="1:143" s="1271" customFormat="1">
      <c r="B345" s="1263"/>
      <c r="C345" s="1264"/>
      <c r="D345" s="1265"/>
      <c r="E345" s="1265"/>
      <c r="F345" s="1264"/>
      <c r="G345" s="1264"/>
      <c r="H345" s="1264"/>
      <c r="I345" s="1264"/>
      <c r="J345" s="1264"/>
      <c r="K345" s="1264"/>
      <c r="L345" s="1264"/>
      <c r="M345" s="1264"/>
      <c r="N345" s="1264"/>
      <c r="O345" s="1264"/>
      <c r="P345" s="1264"/>
      <c r="Q345" s="1264"/>
      <c r="R345" s="1264"/>
      <c r="S345" s="1264"/>
      <c r="T345" s="1264"/>
      <c r="U345" s="1264"/>
      <c r="V345" s="1264"/>
      <c r="W345" s="1287"/>
      <c r="X345" s="1287"/>
      <c r="Y345" s="1287"/>
      <c r="Z345" s="1287"/>
      <c r="AA345" s="1287"/>
      <c r="AB345" s="1287"/>
      <c r="AC345" s="1287"/>
      <c r="AD345" s="1287"/>
      <c r="AE345" s="1287"/>
      <c r="AF345" s="1287"/>
      <c r="AG345" s="1287"/>
      <c r="AH345" s="1287"/>
      <c r="AI345" s="1287"/>
      <c r="AJ345" s="1287"/>
      <c r="AK345" s="1287"/>
      <c r="AL345" s="1287"/>
      <c r="AM345" s="1287"/>
      <c r="AN345" s="1287"/>
      <c r="AO345" s="1287"/>
      <c r="AP345" s="1287"/>
      <c r="AQ345" s="1287"/>
      <c r="AR345" s="1287"/>
      <c r="AS345" s="1287"/>
      <c r="AT345" s="1287"/>
      <c r="AU345" s="1287"/>
      <c r="AV345" s="1287"/>
      <c r="AW345" s="1287"/>
      <c r="AX345" s="1287"/>
      <c r="AY345" s="1287"/>
      <c r="AZ345" s="1287"/>
      <c r="BA345" s="1287"/>
      <c r="BB345" s="1287"/>
      <c r="BC345" s="1287"/>
      <c r="BD345" s="1287"/>
      <c r="BE345" s="1287"/>
      <c r="BF345" s="1287"/>
      <c r="BG345" s="1287"/>
      <c r="BH345" s="1287"/>
      <c r="BI345" s="1287"/>
      <c r="BJ345" s="1287"/>
      <c r="BK345" s="1287"/>
      <c r="BL345" s="1287"/>
      <c r="BM345" s="1287"/>
      <c r="BN345" s="1287"/>
      <c r="BO345" s="1287"/>
      <c r="BP345" s="1287"/>
      <c r="BQ345" s="1287"/>
      <c r="BR345" s="1287"/>
      <c r="BS345" s="1287"/>
      <c r="BT345" s="1287"/>
      <c r="BU345" s="1287"/>
      <c r="BV345" s="1287"/>
      <c r="BW345" s="1287"/>
      <c r="BX345" s="1287"/>
      <c r="BY345" s="1287"/>
      <c r="BZ345" s="1287"/>
      <c r="CA345" s="1287"/>
      <c r="CB345" s="1287"/>
      <c r="CC345" s="1287"/>
      <c r="CD345" s="1287"/>
      <c r="CE345" s="1287"/>
      <c r="CF345" s="1287"/>
      <c r="CG345" s="1287"/>
      <c r="CH345" s="1269"/>
      <c r="CI345" s="1287"/>
      <c r="CJ345" s="1287"/>
      <c r="CK345" s="1287"/>
      <c r="CL345" s="1287"/>
      <c r="CM345" s="1287"/>
      <c r="CN345" s="1287"/>
      <c r="CO345" s="1287"/>
      <c r="CP345" s="1287"/>
      <c r="CQ345" s="1287"/>
      <c r="CR345" s="1287"/>
      <c r="CS345" s="1287"/>
      <c r="CT345" s="1287"/>
      <c r="CU345" s="1287"/>
      <c r="CV345" s="1287"/>
      <c r="CW345" s="1287"/>
      <c r="CX345" s="1287"/>
      <c r="CY345" s="1287"/>
      <c r="CZ345" s="1287"/>
      <c r="DA345" s="1287"/>
      <c r="DB345" s="1287"/>
      <c r="DC345" s="1287"/>
      <c r="DD345" s="1287"/>
      <c r="DE345" s="1287"/>
      <c r="DF345" s="1287"/>
      <c r="DG345" s="1287"/>
      <c r="DH345" s="1287"/>
      <c r="DI345" s="1287"/>
      <c r="DJ345" s="1287"/>
      <c r="DK345" s="1287"/>
      <c r="DL345" s="1287"/>
      <c r="DM345" s="1287"/>
      <c r="DN345" s="1287"/>
      <c r="DO345" s="1287"/>
      <c r="DP345" s="1287"/>
      <c r="DQ345" s="1287"/>
      <c r="DR345" s="1287"/>
      <c r="DS345" s="1287"/>
      <c r="DT345" s="1287"/>
      <c r="DU345" s="1287"/>
      <c r="DV345" s="1287"/>
      <c r="DW345" s="1287"/>
      <c r="DX345" s="1287"/>
      <c r="DY345" s="1287"/>
      <c r="DZ345" s="1287"/>
      <c r="EA345" s="1287"/>
      <c r="EB345" s="1288"/>
      <c r="EC345" s="1288"/>
      <c r="ED345" s="1288"/>
      <c r="EE345" s="1288"/>
      <c r="EF345" s="1288"/>
      <c r="EG345" s="1288"/>
      <c r="EH345" s="1288"/>
      <c r="EI345" s="1288"/>
      <c r="EJ345" s="1288"/>
      <c r="EK345" s="1288"/>
      <c r="EL345" s="1288"/>
      <c r="EM345" s="1313"/>
    </row>
    <row r="346" spans="1:143" s="1271" customFormat="1">
      <c r="B346" s="1263"/>
      <c r="C346" s="1264"/>
      <c r="D346" s="1265"/>
      <c r="E346" s="1265"/>
      <c r="F346" s="1264"/>
      <c r="G346" s="1264"/>
      <c r="H346" s="1264"/>
      <c r="I346" s="1264"/>
      <c r="J346" s="1264"/>
      <c r="K346" s="1264"/>
      <c r="L346" s="1264"/>
      <c r="M346" s="1264"/>
      <c r="N346" s="1264"/>
      <c r="O346" s="1264"/>
      <c r="P346" s="1264"/>
      <c r="Q346" s="1264"/>
      <c r="R346" s="1264"/>
      <c r="S346" s="1264"/>
      <c r="T346" s="1264"/>
      <c r="U346" s="1264"/>
      <c r="V346" s="1264"/>
      <c r="W346" s="1287"/>
      <c r="X346" s="1287"/>
      <c r="Y346" s="1287"/>
      <c r="Z346" s="1287"/>
      <c r="AA346" s="1287"/>
      <c r="AB346" s="1287"/>
      <c r="AC346" s="1287"/>
      <c r="AD346" s="1287"/>
      <c r="AE346" s="1287"/>
      <c r="AF346" s="1287"/>
      <c r="AG346" s="1287"/>
      <c r="AH346" s="1287"/>
      <c r="AI346" s="1287"/>
      <c r="AJ346" s="1287"/>
      <c r="AK346" s="1287"/>
      <c r="AL346" s="1287"/>
      <c r="AM346" s="1287"/>
      <c r="AN346" s="1287"/>
      <c r="AO346" s="1287"/>
      <c r="AP346" s="1287"/>
      <c r="AQ346" s="1287"/>
      <c r="AR346" s="1287"/>
      <c r="AS346" s="1287"/>
      <c r="AT346" s="1287"/>
      <c r="AU346" s="1287"/>
      <c r="AV346" s="1287"/>
      <c r="AW346" s="1287"/>
      <c r="AX346" s="1287"/>
      <c r="AY346" s="1287"/>
      <c r="AZ346" s="1287"/>
      <c r="BA346" s="1287"/>
      <c r="BB346" s="1287"/>
      <c r="BC346" s="1287"/>
      <c r="BD346" s="1287"/>
      <c r="BE346" s="1287"/>
      <c r="BF346" s="1287"/>
      <c r="BG346" s="1287"/>
      <c r="BH346" s="1287"/>
      <c r="BI346" s="1287"/>
      <c r="BJ346" s="1287"/>
      <c r="BK346" s="1287"/>
      <c r="BL346" s="1287"/>
      <c r="BM346" s="1287"/>
      <c r="BN346" s="1287"/>
      <c r="BO346" s="1287"/>
      <c r="BP346" s="1287"/>
      <c r="BQ346" s="1287"/>
      <c r="BR346" s="1287"/>
      <c r="BS346" s="1287"/>
      <c r="BT346" s="1287"/>
      <c r="BU346" s="1287"/>
      <c r="BV346" s="1287"/>
      <c r="BW346" s="1287"/>
      <c r="BX346" s="1287"/>
      <c r="BY346" s="1287"/>
      <c r="BZ346" s="1287"/>
      <c r="CA346" s="1287"/>
      <c r="CB346" s="1287"/>
      <c r="CC346" s="1287"/>
      <c r="CD346" s="1287"/>
      <c r="CE346" s="1287"/>
      <c r="CF346" s="1287"/>
      <c r="CG346" s="1287"/>
      <c r="CH346" s="1269"/>
      <c r="CI346" s="1287"/>
      <c r="CJ346" s="1287"/>
      <c r="CK346" s="1287"/>
      <c r="CL346" s="1287"/>
      <c r="CM346" s="1287"/>
      <c r="CN346" s="1287"/>
      <c r="CO346" s="1287"/>
      <c r="CP346" s="1287"/>
      <c r="CQ346" s="1287"/>
      <c r="CR346" s="1287"/>
      <c r="CS346" s="1287"/>
      <c r="CT346" s="1287"/>
      <c r="CU346" s="1287"/>
      <c r="CV346" s="1287"/>
      <c r="CW346" s="1287"/>
      <c r="CX346" s="1287"/>
      <c r="CY346" s="1287"/>
      <c r="CZ346" s="1287"/>
      <c r="DA346" s="1287"/>
      <c r="DB346" s="1287"/>
      <c r="DC346" s="1287"/>
      <c r="DD346" s="1287"/>
      <c r="DE346" s="1287"/>
      <c r="DF346" s="1287"/>
      <c r="DG346" s="1287"/>
      <c r="DH346" s="1287"/>
      <c r="DI346" s="1287"/>
      <c r="DJ346" s="1287"/>
      <c r="DK346" s="1287"/>
      <c r="DL346" s="1287"/>
      <c r="DM346" s="1287"/>
      <c r="DN346" s="1287"/>
      <c r="DO346" s="1287"/>
      <c r="DP346" s="1287"/>
      <c r="DQ346" s="1287"/>
      <c r="DR346" s="1287"/>
      <c r="DS346" s="1287"/>
      <c r="DT346" s="1287"/>
      <c r="DU346" s="1287"/>
      <c r="DV346" s="1287"/>
      <c r="DW346" s="1287"/>
      <c r="DX346" s="1287"/>
      <c r="DY346" s="1287"/>
      <c r="DZ346" s="1287"/>
      <c r="EA346" s="1287"/>
      <c r="EB346" s="1288"/>
      <c r="EC346" s="1288"/>
      <c r="ED346" s="1288"/>
      <c r="EE346" s="1288"/>
      <c r="EF346" s="1288"/>
      <c r="EG346" s="1288"/>
      <c r="EH346" s="1288"/>
      <c r="EI346" s="1288"/>
      <c r="EJ346" s="1288"/>
      <c r="EK346" s="1288"/>
      <c r="EL346" s="1288"/>
      <c r="EM346" s="1313"/>
    </row>
    <row r="347" spans="1:143" s="1271" customFormat="1">
      <c r="B347" s="1263"/>
      <c r="C347" s="1264"/>
      <c r="D347" s="1265"/>
      <c r="E347" s="1265"/>
      <c r="F347" s="1264"/>
      <c r="G347" s="1264"/>
      <c r="H347" s="1264"/>
      <c r="I347" s="1264"/>
      <c r="J347" s="1264"/>
      <c r="K347" s="1264"/>
      <c r="L347" s="1264"/>
      <c r="M347" s="1264"/>
      <c r="N347" s="1264"/>
      <c r="O347" s="1264"/>
      <c r="P347" s="1264"/>
      <c r="Q347" s="1264"/>
      <c r="R347" s="1264"/>
      <c r="S347" s="1264"/>
      <c r="T347" s="1264"/>
      <c r="U347" s="1264"/>
      <c r="V347" s="1264"/>
      <c r="W347" s="1287"/>
      <c r="X347" s="1287"/>
      <c r="Y347" s="1287"/>
      <c r="Z347" s="1287"/>
      <c r="AA347" s="1287"/>
      <c r="AB347" s="1287"/>
      <c r="AC347" s="1287"/>
      <c r="AD347" s="1287"/>
      <c r="AE347" s="1287"/>
      <c r="AF347" s="1287"/>
      <c r="AG347" s="1287"/>
      <c r="AH347" s="1287"/>
      <c r="AI347" s="1287"/>
      <c r="AJ347" s="1287"/>
      <c r="AK347" s="1287"/>
      <c r="AL347" s="1287"/>
      <c r="AM347" s="1287"/>
      <c r="AN347" s="1287"/>
      <c r="AO347" s="1287"/>
      <c r="AP347" s="1287"/>
      <c r="AQ347" s="1287"/>
      <c r="AR347" s="1287"/>
      <c r="AS347" s="1287"/>
      <c r="AT347" s="1287"/>
      <c r="AU347" s="1287"/>
      <c r="AV347" s="1287"/>
      <c r="AW347" s="1287"/>
      <c r="AX347" s="1287"/>
      <c r="AY347" s="1287"/>
      <c r="AZ347" s="1287"/>
      <c r="BA347" s="1287"/>
      <c r="BB347" s="1287"/>
      <c r="BC347" s="1287"/>
      <c r="BD347" s="1287"/>
      <c r="BE347" s="1287"/>
      <c r="BF347" s="1287"/>
      <c r="BG347" s="1287"/>
      <c r="BH347" s="1287"/>
      <c r="BI347" s="1287"/>
      <c r="BJ347" s="1287"/>
      <c r="BK347" s="1287"/>
      <c r="BL347" s="1287"/>
      <c r="BM347" s="1287"/>
      <c r="BN347" s="1287"/>
      <c r="BO347" s="1287"/>
      <c r="BP347" s="1287"/>
      <c r="BQ347" s="1287"/>
      <c r="BR347" s="1287"/>
      <c r="BS347" s="1287"/>
      <c r="BT347" s="1287"/>
      <c r="BU347" s="1287"/>
      <c r="BV347" s="1287"/>
      <c r="BW347" s="1287"/>
      <c r="BX347" s="1287"/>
      <c r="BY347" s="1287"/>
      <c r="BZ347" s="1287"/>
      <c r="CA347" s="1287"/>
      <c r="CB347" s="1287"/>
      <c r="CC347" s="1287"/>
      <c r="CD347" s="1287"/>
      <c r="CE347" s="1287"/>
      <c r="CF347" s="1287"/>
      <c r="CG347" s="1287"/>
      <c r="CH347" s="1269"/>
      <c r="CI347" s="1287"/>
      <c r="CJ347" s="1287"/>
      <c r="CK347" s="1287"/>
      <c r="CL347" s="1287"/>
      <c r="CM347" s="1287"/>
      <c r="CN347" s="1287"/>
      <c r="CO347" s="1287"/>
      <c r="CP347" s="1287"/>
      <c r="CQ347" s="1287"/>
      <c r="CR347" s="1287"/>
      <c r="CS347" s="1287"/>
      <c r="CT347" s="1287"/>
      <c r="CU347" s="1287"/>
      <c r="CV347" s="1287"/>
      <c r="CW347" s="1287"/>
      <c r="CX347" s="1287"/>
      <c r="CY347" s="1287"/>
      <c r="CZ347" s="1287"/>
      <c r="DA347" s="1287"/>
      <c r="DB347" s="1287"/>
      <c r="DC347" s="1287"/>
      <c r="DD347" s="1287"/>
      <c r="DE347" s="1287"/>
      <c r="DF347" s="1287"/>
      <c r="DG347" s="1287"/>
      <c r="DH347" s="1287"/>
      <c r="DI347" s="1287"/>
      <c r="DJ347" s="1287"/>
      <c r="DK347" s="1287"/>
      <c r="DL347" s="1287"/>
      <c r="DM347" s="1287"/>
      <c r="DN347" s="1287"/>
      <c r="DO347" s="1287"/>
      <c r="DP347" s="1287"/>
      <c r="DQ347" s="1287"/>
      <c r="DR347" s="1287"/>
      <c r="DS347" s="1287"/>
      <c r="DT347" s="1287"/>
      <c r="DU347" s="1287"/>
      <c r="DV347" s="1287"/>
      <c r="DW347" s="1287"/>
      <c r="DX347" s="1287"/>
      <c r="DY347" s="1287"/>
      <c r="DZ347" s="1287"/>
      <c r="EA347" s="1287"/>
      <c r="EB347" s="1288"/>
      <c r="EC347" s="1288"/>
      <c r="ED347" s="1288"/>
      <c r="EE347" s="1288"/>
      <c r="EF347" s="1288"/>
      <c r="EG347" s="1288"/>
      <c r="EH347" s="1288"/>
      <c r="EI347" s="1288"/>
      <c r="EJ347" s="1288"/>
      <c r="EK347" s="1288"/>
      <c r="EL347" s="1288"/>
      <c r="EM347" s="1313"/>
    </row>
    <row r="348" spans="1:143" s="1271" customFormat="1">
      <c r="B348" s="1263"/>
      <c r="C348" s="1264"/>
      <c r="D348" s="1265"/>
      <c r="E348" s="1265"/>
      <c r="F348" s="1264"/>
      <c r="G348" s="1264"/>
      <c r="H348" s="1264"/>
      <c r="I348" s="1264"/>
      <c r="J348" s="1264"/>
      <c r="K348" s="1264"/>
      <c r="L348" s="1264"/>
      <c r="M348" s="1264"/>
      <c r="N348" s="1264"/>
      <c r="O348" s="1264"/>
      <c r="P348" s="1264"/>
      <c r="Q348" s="1264"/>
      <c r="R348" s="1264"/>
      <c r="S348" s="1264"/>
      <c r="T348" s="1264"/>
      <c r="U348" s="1264"/>
      <c r="V348" s="1264"/>
      <c r="W348" s="1287"/>
      <c r="X348" s="1287"/>
      <c r="Y348" s="1287"/>
      <c r="Z348" s="1287"/>
      <c r="AA348" s="1287"/>
      <c r="AB348" s="1287"/>
      <c r="AC348" s="1287"/>
      <c r="AD348" s="1287"/>
      <c r="AE348" s="1287"/>
      <c r="AF348" s="1287"/>
      <c r="AG348" s="1287"/>
      <c r="AH348" s="1287"/>
      <c r="AI348" s="1287"/>
      <c r="AJ348" s="1287"/>
      <c r="AK348" s="1287"/>
      <c r="AL348" s="1287"/>
      <c r="AM348" s="1287"/>
      <c r="AN348" s="1287"/>
      <c r="AO348" s="1287"/>
      <c r="AP348" s="1287"/>
      <c r="AQ348" s="1287"/>
      <c r="AR348" s="1287"/>
      <c r="AS348" s="1287"/>
      <c r="AT348" s="1287"/>
      <c r="AU348" s="1287"/>
      <c r="AV348" s="1287"/>
      <c r="AW348" s="1287"/>
      <c r="AX348" s="1287"/>
      <c r="AY348" s="1287"/>
      <c r="AZ348" s="1287"/>
      <c r="BA348" s="1287"/>
      <c r="BB348" s="1287"/>
      <c r="BC348" s="1287"/>
      <c r="BD348" s="1287"/>
      <c r="BE348" s="1287"/>
      <c r="BF348" s="1287"/>
      <c r="BG348" s="1287"/>
      <c r="BH348" s="1287"/>
      <c r="BI348" s="1287"/>
      <c r="BJ348" s="1287"/>
      <c r="BK348" s="1287"/>
      <c r="BL348" s="1287"/>
      <c r="BM348" s="1287"/>
      <c r="BN348" s="1287"/>
      <c r="BO348" s="1287"/>
      <c r="BP348" s="1287"/>
      <c r="BQ348" s="1287"/>
      <c r="BR348" s="1287"/>
      <c r="BS348" s="1287"/>
      <c r="BT348" s="1287"/>
      <c r="BU348" s="1287"/>
      <c r="BV348" s="1287"/>
      <c r="BW348" s="1287"/>
      <c r="BX348" s="1287"/>
      <c r="BY348" s="1287"/>
      <c r="BZ348" s="1287"/>
      <c r="CA348" s="1287"/>
      <c r="CB348" s="1287"/>
      <c r="CC348" s="1287"/>
      <c r="CD348" s="1287"/>
      <c r="CE348" s="1287"/>
      <c r="CF348" s="1287"/>
      <c r="CG348" s="1287"/>
      <c r="CH348" s="1269"/>
      <c r="CI348" s="1287"/>
      <c r="CJ348" s="1287"/>
      <c r="CK348" s="1287"/>
      <c r="CL348" s="1287"/>
      <c r="CM348" s="1287"/>
      <c r="CN348" s="1287"/>
      <c r="CO348" s="1287"/>
      <c r="CP348" s="1287"/>
      <c r="CQ348" s="1287"/>
      <c r="CR348" s="1287"/>
      <c r="CS348" s="1287"/>
      <c r="CT348" s="1287"/>
      <c r="CU348" s="1287"/>
      <c r="CV348" s="1287"/>
      <c r="CW348" s="1287"/>
      <c r="CX348" s="1287"/>
      <c r="CY348" s="1287"/>
      <c r="CZ348" s="1287"/>
      <c r="DA348" s="1287"/>
      <c r="DB348" s="1287"/>
      <c r="DC348" s="1287"/>
      <c r="DD348" s="1287"/>
      <c r="DE348" s="1287"/>
      <c r="DF348" s="1287"/>
      <c r="DG348" s="1287"/>
      <c r="DH348" s="1287"/>
      <c r="DI348" s="1287"/>
      <c r="DJ348" s="1287"/>
      <c r="DK348" s="1287"/>
      <c r="DL348" s="1287"/>
      <c r="DM348" s="1287"/>
      <c r="DN348" s="1287"/>
      <c r="DO348" s="1287"/>
      <c r="DP348" s="1287"/>
      <c r="DQ348" s="1287"/>
      <c r="DR348" s="1287"/>
      <c r="DS348" s="1287"/>
      <c r="DT348" s="1287"/>
      <c r="DU348" s="1287"/>
      <c r="DV348" s="1287"/>
      <c r="DW348" s="1287"/>
      <c r="DX348" s="1287"/>
      <c r="DY348" s="1287"/>
      <c r="DZ348" s="1287"/>
      <c r="EA348" s="1287"/>
      <c r="EB348" s="1288"/>
      <c r="EC348" s="1288"/>
      <c r="ED348" s="1288"/>
      <c r="EE348" s="1288"/>
      <c r="EF348" s="1288"/>
      <c r="EG348" s="1288"/>
      <c r="EH348" s="1288"/>
      <c r="EI348" s="1288"/>
      <c r="EJ348" s="1288"/>
      <c r="EK348" s="1288"/>
      <c r="EL348" s="1288"/>
      <c r="EM348" s="1313"/>
    </row>
    <row r="349" spans="1:143" s="1271" customFormat="1">
      <c r="B349" s="1263"/>
      <c r="C349" s="1264"/>
      <c r="D349" s="1265"/>
      <c r="E349" s="1265"/>
      <c r="F349" s="1264"/>
      <c r="G349" s="1264"/>
      <c r="H349" s="1264"/>
      <c r="I349" s="1264"/>
      <c r="J349" s="1264"/>
      <c r="K349" s="1264"/>
      <c r="L349" s="1264"/>
      <c r="M349" s="1264"/>
      <c r="N349" s="1264"/>
      <c r="O349" s="1264"/>
      <c r="P349" s="1264"/>
      <c r="Q349" s="1264"/>
      <c r="R349" s="1264"/>
      <c r="S349" s="1264"/>
      <c r="T349" s="1264"/>
      <c r="U349" s="1264"/>
      <c r="V349" s="1264"/>
      <c r="W349" s="1287"/>
      <c r="X349" s="1287"/>
      <c r="Y349" s="1287"/>
      <c r="Z349" s="1287"/>
      <c r="AA349" s="1287"/>
      <c r="AB349" s="1287"/>
      <c r="AC349" s="1287"/>
      <c r="AD349" s="1287"/>
      <c r="AE349" s="1287"/>
      <c r="AF349" s="1287"/>
      <c r="AG349" s="1287"/>
      <c r="AH349" s="1287"/>
      <c r="AI349" s="1287"/>
      <c r="AJ349" s="1287"/>
      <c r="AK349" s="1287"/>
      <c r="AL349" s="1287"/>
      <c r="AM349" s="1287"/>
      <c r="AN349" s="1287"/>
      <c r="AO349" s="1287"/>
      <c r="AP349" s="1287"/>
      <c r="AQ349" s="1287"/>
      <c r="AR349" s="1287"/>
      <c r="AS349" s="1287"/>
      <c r="AT349" s="1287"/>
      <c r="AU349" s="1287"/>
      <c r="AV349" s="1287"/>
      <c r="AW349" s="1287"/>
      <c r="AX349" s="1287"/>
      <c r="AY349" s="1287"/>
      <c r="AZ349" s="1287"/>
      <c r="BA349" s="1287"/>
      <c r="BB349" s="1287"/>
      <c r="BC349" s="1287"/>
      <c r="BD349" s="1287"/>
      <c r="BE349" s="1287"/>
      <c r="BF349" s="1287"/>
      <c r="BG349" s="1287"/>
      <c r="BH349" s="1287"/>
      <c r="BI349" s="1287"/>
      <c r="BJ349" s="1287"/>
      <c r="BK349" s="1287"/>
      <c r="BL349" s="1287"/>
      <c r="BM349" s="1287"/>
      <c r="BN349" s="1287"/>
      <c r="BO349" s="1287"/>
      <c r="BP349" s="1287"/>
      <c r="BQ349" s="1287"/>
      <c r="BR349" s="1287"/>
      <c r="BS349" s="1287"/>
      <c r="BT349" s="1287"/>
      <c r="BU349" s="1287"/>
      <c r="BV349" s="1287"/>
      <c r="BW349" s="1287"/>
      <c r="BX349" s="1287"/>
      <c r="BY349" s="1287"/>
      <c r="BZ349" s="1287"/>
      <c r="CA349" s="1287"/>
      <c r="CB349" s="1287"/>
      <c r="CC349" s="1287"/>
      <c r="CD349" s="1287"/>
      <c r="CE349" s="1287"/>
      <c r="CF349" s="1287"/>
      <c r="CG349" s="1287"/>
      <c r="CH349" s="1269"/>
      <c r="CI349" s="1287"/>
      <c r="CJ349" s="1287"/>
      <c r="CK349" s="1287"/>
      <c r="CL349" s="1287"/>
      <c r="CM349" s="1287"/>
      <c r="CN349" s="1287"/>
      <c r="CO349" s="1287"/>
      <c r="CP349" s="1287"/>
      <c r="CQ349" s="1287"/>
      <c r="CR349" s="1287"/>
      <c r="CS349" s="1287"/>
      <c r="CT349" s="1287"/>
      <c r="CU349" s="1287"/>
      <c r="CV349" s="1287"/>
      <c r="CW349" s="1287"/>
      <c r="CX349" s="1287"/>
      <c r="CY349" s="1287"/>
      <c r="CZ349" s="1287"/>
      <c r="DA349" s="1287"/>
      <c r="DB349" s="1287"/>
      <c r="DC349" s="1287"/>
      <c r="DD349" s="1287"/>
      <c r="DE349" s="1287"/>
      <c r="DF349" s="1287"/>
      <c r="DG349" s="1287"/>
      <c r="DH349" s="1287"/>
      <c r="DI349" s="1287"/>
      <c r="DJ349" s="1287"/>
      <c r="DK349" s="1287"/>
      <c r="DL349" s="1287"/>
      <c r="DM349" s="1287"/>
      <c r="DN349" s="1287"/>
      <c r="DO349" s="1287"/>
      <c r="DP349" s="1287"/>
      <c r="DQ349" s="1287"/>
      <c r="DR349" s="1287"/>
      <c r="DS349" s="1287"/>
      <c r="DT349" s="1287"/>
      <c r="DU349" s="1287"/>
      <c r="DV349" s="1287"/>
      <c r="DW349" s="1287"/>
      <c r="DX349" s="1287"/>
      <c r="DY349" s="1287"/>
      <c r="DZ349" s="1287"/>
      <c r="EA349" s="1287"/>
      <c r="EB349" s="1288"/>
      <c r="EC349" s="1288"/>
      <c r="ED349" s="1288"/>
      <c r="EE349" s="1288"/>
      <c r="EF349" s="1288"/>
      <c r="EG349" s="1288"/>
      <c r="EH349" s="1288"/>
      <c r="EI349" s="1288"/>
      <c r="EJ349" s="1288"/>
      <c r="EK349" s="1288"/>
      <c r="EL349" s="1288"/>
      <c r="EM349" s="1313"/>
    </row>
    <row r="350" spans="1:143" s="1271" customFormat="1">
      <c r="B350" s="1263"/>
      <c r="C350" s="1264"/>
      <c r="D350" s="1265"/>
      <c r="E350" s="1265"/>
      <c r="F350" s="1264"/>
      <c r="G350" s="1264"/>
      <c r="H350" s="1264"/>
      <c r="I350" s="1264"/>
      <c r="J350" s="1264"/>
      <c r="K350" s="1264"/>
      <c r="L350" s="1264"/>
      <c r="M350" s="1264"/>
      <c r="N350" s="1264"/>
      <c r="O350" s="1264"/>
      <c r="P350" s="1264"/>
      <c r="Q350" s="1264"/>
      <c r="R350" s="1264"/>
      <c r="S350" s="1264"/>
      <c r="T350" s="1264"/>
      <c r="U350" s="1264"/>
      <c r="V350" s="1264"/>
      <c r="W350" s="1287"/>
      <c r="X350" s="1287"/>
      <c r="Y350" s="1287"/>
      <c r="Z350" s="1287"/>
      <c r="AA350" s="1287"/>
      <c r="AB350" s="1287"/>
      <c r="AC350" s="1287"/>
      <c r="AD350" s="1287"/>
      <c r="AE350" s="1287"/>
      <c r="AF350" s="1287"/>
      <c r="AG350" s="1287"/>
      <c r="AH350" s="1287"/>
      <c r="AI350" s="1287"/>
      <c r="AJ350" s="1287"/>
      <c r="AK350" s="1287"/>
      <c r="AL350" s="1287"/>
      <c r="AM350" s="1287"/>
      <c r="AN350" s="1287"/>
      <c r="AO350" s="1287"/>
      <c r="AP350" s="1287"/>
      <c r="AQ350" s="1287"/>
      <c r="AR350" s="1287"/>
      <c r="AS350" s="1287"/>
      <c r="AT350" s="1287"/>
      <c r="AU350" s="1287"/>
      <c r="AV350" s="1287"/>
      <c r="AW350" s="1287"/>
      <c r="AX350" s="1287"/>
      <c r="AY350" s="1287"/>
      <c r="AZ350" s="1287"/>
      <c r="BA350" s="1287"/>
      <c r="BB350" s="1287"/>
      <c r="BC350" s="1287"/>
      <c r="BD350" s="1287"/>
      <c r="BE350" s="1287"/>
      <c r="BF350" s="1287"/>
      <c r="BG350" s="1287"/>
      <c r="BH350" s="1287"/>
      <c r="BI350" s="1287"/>
      <c r="BJ350" s="1287"/>
      <c r="BK350" s="1287"/>
      <c r="BL350" s="1287"/>
      <c r="BM350" s="1287"/>
      <c r="BN350" s="1287"/>
      <c r="BO350" s="1287"/>
      <c r="BP350" s="1287"/>
      <c r="BQ350" s="1287"/>
      <c r="BR350" s="1287"/>
      <c r="BS350" s="1287"/>
      <c r="BT350" s="1287"/>
      <c r="BU350" s="1287"/>
      <c r="BV350" s="1287"/>
      <c r="BW350" s="1287"/>
      <c r="BX350" s="1287"/>
      <c r="BY350" s="1287"/>
      <c r="BZ350" s="1287"/>
      <c r="CA350" s="1287"/>
      <c r="CB350" s="1287"/>
      <c r="CC350" s="1287"/>
      <c r="CD350" s="1287"/>
      <c r="CE350" s="1287"/>
      <c r="CF350" s="1287"/>
      <c r="CG350" s="1287"/>
      <c r="CH350" s="1269"/>
      <c r="CI350" s="1287"/>
      <c r="CJ350" s="1287"/>
      <c r="CK350" s="1287"/>
      <c r="CL350" s="1287"/>
      <c r="CM350" s="1287"/>
      <c r="CN350" s="1287"/>
      <c r="CO350" s="1287"/>
      <c r="CP350" s="1287"/>
      <c r="CQ350" s="1287"/>
      <c r="CR350" s="1287"/>
      <c r="CS350" s="1287"/>
      <c r="CT350" s="1287"/>
      <c r="CU350" s="1287"/>
      <c r="CV350" s="1287"/>
      <c r="CW350" s="1287"/>
      <c r="CX350" s="1287"/>
      <c r="CY350" s="1287"/>
      <c r="CZ350" s="1287"/>
      <c r="DA350" s="1287"/>
      <c r="DB350" s="1287"/>
      <c r="DC350" s="1287"/>
      <c r="DD350" s="1287"/>
      <c r="DE350" s="1287"/>
      <c r="DF350" s="1287"/>
      <c r="DG350" s="1287"/>
      <c r="DH350" s="1287"/>
      <c r="DI350" s="1287"/>
      <c r="DJ350" s="1287"/>
      <c r="DK350" s="1287"/>
      <c r="DL350" s="1287"/>
      <c r="DM350" s="1287"/>
      <c r="DN350" s="1287"/>
      <c r="DO350" s="1287"/>
      <c r="DP350" s="1287"/>
      <c r="DQ350" s="1287"/>
      <c r="DR350" s="1287"/>
      <c r="DS350" s="1287"/>
      <c r="DT350" s="1287"/>
      <c r="DU350" s="1287"/>
      <c r="DV350" s="1287"/>
      <c r="DW350" s="1287"/>
      <c r="DX350" s="1287"/>
      <c r="DY350" s="1287"/>
      <c r="DZ350" s="1287"/>
      <c r="EA350" s="1287"/>
      <c r="EB350" s="1288"/>
      <c r="EC350" s="1288"/>
      <c r="ED350" s="1288"/>
      <c r="EE350" s="1288"/>
      <c r="EF350" s="1288"/>
      <c r="EG350" s="1288"/>
      <c r="EH350" s="1288"/>
      <c r="EI350" s="1288"/>
      <c r="EJ350" s="1288"/>
      <c r="EK350" s="1288"/>
      <c r="EL350" s="1288"/>
      <c r="EM350" s="1313"/>
    </row>
    <row r="351" spans="1:143" s="1271" customFormat="1">
      <c r="B351" s="1263"/>
      <c r="C351" s="1264"/>
      <c r="D351" s="1265"/>
      <c r="E351" s="1265"/>
      <c r="F351" s="1264"/>
      <c r="G351" s="1264"/>
      <c r="H351" s="1264"/>
      <c r="I351" s="1264"/>
      <c r="J351" s="1264"/>
      <c r="K351" s="1264"/>
      <c r="L351" s="1264"/>
      <c r="M351" s="1264"/>
      <c r="N351" s="1264"/>
      <c r="O351" s="1264"/>
      <c r="P351" s="1264"/>
      <c r="Q351" s="1264"/>
      <c r="R351" s="1264"/>
      <c r="S351" s="1264"/>
      <c r="T351" s="1264"/>
      <c r="U351" s="1264"/>
      <c r="V351" s="1264"/>
      <c r="W351" s="1287"/>
      <c r="X351" s="1287"/>
      <c r="Y351" s="1287"/>
      <c r="Z351" s="1287"/>
      <c r="AA351" s="1287"/>
      <c r="AB351" s="1287"/>
      <c r="AC351" s="1287"/>
      <c r="AD351" s="1287"/>
      <c r="AE351" s="1287"/>
      <c r="AF351" s="1287"/>
      <c r="AG351" s="1287"/>
      <c r="AH351" s="1287"/>
      <c r="AI351" s="1287"/>
      <c r="AJ351" s="1287"/>
      <c r="AK351" s="1287"/>
      <c r="AL351" s="1287"/>
      <c r="AM351" s="1287"/>
      <c r="AN351" s="1287"/>
      <c r="AO351" s="1287"/>
      <c r="AP351" s="1287"/>
      <c r="AQ351" s="1287"/>
      <c r="AR351" s="1287"/>
      <c r="AS351" s="1287"/>
      <c r="AT351" s="1287"/>
      <c r="AU351" s="1287"/>
      <c r="AV351" s="1287"/>
      <c r="AW351" s="1287"/>
      <c r="AX351" s="1287"/>
      <c r="AY351" s="1287"/>
      <c r="AZ351" s="1287"/>
      <c r="BA351" s="1287"/>
      <c r="BB351" s="1287"/>
      <c r="BC351" s="1287"/>
      <c r="BD351" s="1287"/>
      <c r="BE351" s="1287"/>
      <c r="BF351" s="1287"/>
      <c r="BG351" s="1287"/>
      <c r="BH351" s="1287"/>
      <c r="BI351" s="1287"/>
      <c r="BJ351" s="1287"/>
      <c r="BK351" s="1287"/>
      <c r="BL351" s="1287"/>
      <c r="BM351" s="1287"/>
      <c r="BN351" s="1287"/>
      <c r="BO351" s="1287"/>
      <c r="BP351" s="1287"/>
      <c r="BQ351" s="1287"/>
      <c r="BR351" s="1287"/>
      <c r="BS351" s="1287"/>
      <c r="BT351" s="1287"/>
      <c r="BU351" s="1287"/>
      <c r="BV351" s="1287"/>
      <c r="BW351" s="1287"/>
      <c r="BX351" s="1287"/>
      <c r="BY351" s="1287"/>
      <c r="BZ351" s="1287"/>
      <c r="CA351" s="1287"/>
      <c r="CB351" s="1287"/>
      <c r="CC351" s="1287"/>
      <c r="CD351" s="1287"/>
      <c r="CE351" s="1287"/>
      <c r="CF351" s="1287"/>
      <c r="CG351" s="1287"/>
      <c r="CH351" s="1269"/>
      <c r="CI351" s="1287"/>
      <c r="CJ351" s="1287"/>
      <c r="CK351" s="1287"/>
      <c r="CL351" s="1287"/>
      <c r="CM351" s="1287"/>
      <c r="CN351" s="1287"/>
      <c r="CO351" s="1287"/>
      <c r="CP351" s="1287"/>
      <c r="CQ351" s="1287"/>
      <c r="CR351" s="1287"/>
      <c r="CS351" s="1287"/>
      <c r="CT351" s="1287"/>
      <c r="CU351" s="1287"/>
      <c r="CV351" s="1287"/>
      <c r="CW351" s="1287"/>
      <c r="CX351" s="1287"/>
      <c r="CY351" s="1287"/>
      <c r="CZ351" s="1287"/>
      <c r="DA351" s="1287"/>
      <c r="DB351" s="1287"/>
      <c r="DC351" s="1287"/>
      <c r="DD351" s="1287"/>
      <c r="DE351" s="1287"/>
      <c r="DF351" s="1287"/>
      <c r="DG351" s="1287"/>
      <c r="DH351" s="1287"/>
      <c r="DI351" s="1287"/>
      <c r="DJ351" s="1287"/>
      <c r="DK351" s="1287"/>
      <c r="DL351" s="1287"/>
      <c r="DM351" s="1287"/>
      <c r="DN351" s="1287"/>
      <c r="DO351" s="1287"/>
      <c r="DP351" s="1287"/>
      <c r="DQ351" s="1287"/>
      <c r="DR351" s="1287"/>
      <c r="DS351" s="1287"/>
      <c r="DT351" s="1287"/>
      <c r="DU351" s="1287"/>
      <c r="DV351" s="1287"/>
      <c r="DW351" s="1287"/>
      <c r="DX351" s="1287"/>
      <c r="DY351" s="1287"/>
      <c r="DZ351" s="1287"/>
      <c r="EA351" s="1287"/>
      <c r="EB351" s="1288"/>
      <c r="EC351" s="1288"/>
      <c r="ED351" s="1288"/>
      <c r="EE351" s="1288"/>
      <c r="EF351" s="1288"/>
      <c r="EG351" s="1288"/>
      <c r="EH351" s="1288"/>
      <c r="EI351" s="1288"/>
      <c r="EJ351" s="1288"/>
      <c r="EK351" s="1288"/>
      <c r="EL351" s="1288"/>
      <c r="EM351" s="1313"/>
    </row>
    <row r="352" spans="1:143" s="1271" customFormat="1">
      <c r="B352" s="1263"/>
      <c r="C352" s="1264"/>
      <c r="D352" s="1265"/>
      <c r="E352" s="1265"/>
      <c r="F352" s="1264"/>
      <c r="G352" s="1264"/>
      <c r="H352" s="1264"/>
      <c r="I352" s="1264"/>
      <c r="J352" s="1264"/>
      <c r="K352" s="1264"/>
      <c r="L352" s="1264"/>
      <c r="M352" s="1264"/>
      <c r="N352" s="1264"/>
      <c r="O352" s="1264"/>
      <c r="P352" s="1264"/>
      <c r="Q352" s="1264"/>
      <c r="R352" s="1264"/>
      <c r="S352" s="1264"/>
      <c r="T352" s="1264"/>
      <c r="U352" s="1264"/>
      <c r="V352" s="1264"/>
      <c r="W352" s="1287"/>
      <c r="X352" s="1287"/>
      <c r="Y352" s="1287"/>
      <c r="Z352" s="1287"/>
      <c r="AA352" s="1287"/>
      <c r="AB352" s="1287"/>
      <c r="AC352" s="1287"/>
      <c r="AD352" s="1287"/>
      <c r="AE352" s="1287"/>
      <c r="AF352" s="1287"/>
      <c r="AG352" s="1287"/>
      <c r="AH352" s="1287"/>
      <c r="AI352" s="1287"/>
      <c r="AJ352" s="1287"/>
      <c r="AK352" s="1287"/>
      <c r="AL352" s="1287"/>
      <c r="AM352" s="1287"/>
      <c r="AN352" s="1287"/>
      <c r="AO352" s="1287"/>
      <c r="AP352" s="1287"/>
      <c r="AQ352" s="1287"/>
      <c r="AR352" s="1287"/>
      <c r="AS352" s="1287"/>
      <c r="AT352" s="1287"/>
      <c r="AU352" s="1287"/>
      <c r="AV352" s="1287"/>
      <c r="AW352" s="1287"/>
      <c r="AX352" s="1287"/>
      <c r="AY352" s="1287"/>
      <c r="AZ352" s="1287"/>
      <c r="BA352" s="1287"/>
      <c r="BB352" s="1287"/>
      <c r="BC352" s="1287"/>
      <c r="BD352" s="1287"/>
      <c r="BE352" s="1287"/>
      <c r="BF352" s="1287"/>
      <c r="BG352" s="1287"/>
      <c r="BH352" s="1287"/>
      <c r="BI352" s="1287"/>
      <c r="BJ352" s="1287"/>
      <c r="BK352" s="1287"/>
      <c r="BL352" s="1287"/>
      <c r="BM352" s="1287"/>
      <c r="BN352" s="1287"/>
      <c r="BO352" s="1287"/>
      <c r="BP352" s="1287"/>
      <c r="BQ352" s="1287"/>
      <c r="BR352" s="1287"/>
      <c r="BS352" s="1287"/>
      <c r="BT352" s="1287"/>
      <c r="BU352" s="1287"/>
      <c r="BV352" s="1287"/>
      <c r="BW352" s="1287"/>
      <c r="BX352" s="1287"/>
      <c r="BY352" s="1287"/>
      <c r="BZ352" s="1287"/>
      <c r="CA352" s="1287"/>
      <c r="CB352" s="1287"/>
      <c r="CC352" s="1287"/>
      <c r="CD352" s="1287"/>
      <c r="CE352" s="1287"/>
      <c r="CF352" s="1287"/>
      <c r="CG352" s="1287"/>
      <c r="CH352" s="1269"/>
      <c r="CI352" s="1287"/>
      <c r="CJ352" s="1287"/>
      <c r="CK352" s="1287"/>
      <c r="CL352" s="1287"/>
      <c r="CM352" s="1287"/>
      <c r="CN352" s="1287"/>
      <c r="CO352" s="1287"/>
      <c r="CP352" s="1287"/>
      <c r="CQ352" s="1287"/>
      <c r="CR352" s="1287"/>
      <c r="CS352" s="1287"/>
      <c r="CT352" s="1287"/>
      <c r="CU352" s="1287"/>
      <c r="CV352" s="1287"/>
      <c r="CW352" s="1287"/>
      <c r="CX352" s="1287"/>
      <c r="CY352" s="1287"/>
      <c r="CZ352" s="1287"/>
      <c r="DA352" s="1287"/>
      <c r="DB352" s="1287"/>
      <c r="DC352" s="1287"/>
      <c r="DD352" s="1287"/>
      <c r="DE352" s="1287"/>
      <c r="DF352" s="1287"/>
      <c r="DG352" s="1287"/>
      <c r="DH352" s="1287"/>
      <c r="DI352" s="1287"/>
      <c r="DJ352" s="1287"/>
      <c r="DK352" s="1287"/>
      <c r="DL352" s="1287"/>
      <c r="DM352" s="1287"/>
      <c r="DN352" s="1287"/>
      <c r="DO352" s="1287"/>
      <c r="DP352" s="1287"/>
      <c r="DQ352" s="1287"/>
      <c r="DR352" s="1287"/>
      <c r="DS352" s="1287"/>
      <c r="DT352" s="1287"/>
      <c r="DU352" s="1287"/>
      <c r="DV352" s="1287"/>
      <c r="DW352" s="1287"/>
      <c r="DX352" s="1287"/>
      <c r="DY352" s="1287"/>
      <c r="DZ352" s="1287"/>
      <c r="EA352" s="1287"/>
      <c r="EB352" s="1288"/>
      <c r="EC352" s="1288"/>
      <c r="ED352" s="1288"/>
      <c r="EE352" s="1288"/>
      <c r="EF352" s="1288"/>
      <c r="EG352" s="1288"/>
      <c r="EH352" s="1288"/>
      <c r="EI352" s="1288"/>
      <c r="EJ352" s="1288"/>
      <c r="EK352" s="1288"/>
      <c r="EL352" s="1288"/>
      <c r="EM352" s="1313"/>
    </row>
    <row r="353" spans="2:143" s="1271" customFormat="1">
      <c r="B353" s="1263"/>
      <c r="C353" s="1264"/>
      <c r="D353" s="1265"/>
      <c r="E353" s="1265"/>
      <c r="F353" s="1264"/>
      <c r="G353" s="1264"/>
      <c r="H353" s="1264"/>
      <c r="I353" s="1264"/>
      <c r="J353" s="1264"/>
      <c r="K353" s="1264"/>
      <c r="L353" s="1264"/>
      <c r="M353" s="1264"/>
      <c r="N353" s="1264"/>
      <c r="O353" s="1264"/>
      <c r="P353" s="1264"/>
      <c r="Q353" s="1264"/>
      <c r="R353" s="1264"/>
      <c r="S353" s="1264"/>
      <c r="T353" s="1264"/>
      <c r="U353" s="1264"/>
      <c r="V353" s="1264"/>
      <c r="W353" s="1287"/>
      <c r="X353" s="1287"/>
      <c r="Y353" s="1287"/>
      <c r="Z353" s="1287"/>
      <c r="AA353" s="1287"/>
      <c r="AB353" s="1287"/>
      <c r="AC353" s="1287"/>
      <c r="AD353" s="1287"/>
      <c r="AE353" s="1287"/>
      <c r="AF353" s="1287"/>
      <c r="AG353" s="1287"/>
      <c r="AH353" s="1287"/>
      <c r="AI353" s="1287"/>
      <c r="AJ353" s="1287"/>
      <c r="AK353" s="1287"/>
      <c r="AL353" s="1287"/>
      <c r="AM353" s="1287"/>
      <c r="AN353" s="1287"/>
      <c r="AO353" s="1287"/>
      <c r="AP353" s="1287"/>
      <c r="AQ353" s="1287"/>
      <c r="AR353" s="1287"/>
      <c r="AS353" s="1287"/>
      <c r="AT353" s="1287"/>
      <c r="AU353" s="1287"/>
      <c r="AV353" s="1287"/>
      <c r="AW353" s="1287"/>
      <c r="AX353" s="1287"/>
      <c r="AY353" s="1287"/>
      <c r="AZ353" s="1287"/>
      <c r="BA353" s="1287"/>
      <c r="BB353" s="1287"/>
      <c r="BC353" s="1287"/>
      <c r="BD353" s="1287"/>
      <c r="BE353" s="1287"/>
      <c r="BF353" s="1287"/>
      <c r="BG353" s="1287"/>
      <c r="BH353" s="1287"/>
      <c r="BI353" s="1287"/>
      <c r="BJ353" s="1287"/>
      <c r="BK353" s="1287"/>
      <c r="BL353" s="1287"/>
      <c r="BM353" s="1287"/>
      <c r="BN353" s="1287"/>
      <c r="BO353" s="1287"/>
      <c r="BP353" s="1287"/>
      <c r="BQ353" s="1287"/>
      <c r="BR353" s="1287"/>
      <c r="BS353" s="1287"/>
      <c r="BT353" s="1287"/>
      <c r="BU353" s="1287"/>
      <c r="BV353" s="1287"/>
      <c r="BW353" s="1287"/>
      <c r="BX353" s="1287"/>
      <c r="BY353" s="1287"/>
      <c r="BZ353" s="1287"/>
      <c r="CA353" s="1287"/>
      <c r="CB353" s="1287"/>
      <c r="CC353" s="1287"/>
      <c r="CD353" s="1287"/>
      <c r="CE353" s="1287"/>
      <c r="CF353" s="1287"/>
      <c r="CG353" s="1287"/>
      <c r="CH353" s="1269"/>
      <c r="CI353" s="1287"/>
      <c r="CJ353" s="1287"/>
      <c r="CK353" s="1287"/>
      <c r="CL353" s="1287"/>
      <c r="CM353" s="1287"/>
      <c r="CN353" s="1287"/>
      <c r="CO353" s="1287"/>
      <c r="CP353" s="1287"/>
      <c r="CQ353" s="1287"/>
      <c r="CR353" s="1287"/>
      <c r="CS353" s="1287"/>
      <c r="CT353" s="1287"/>
      <c r="CU353" s="1287"/>
      <c r="CV353" s="1287"/>
      <c r="CW353" s="1287"/>
      <c r="CX353" s="1287"/>
      <c r="CY353" s="1287"/>
      <c r="CZ353" s="1287"/>
      <c r="DA353" s="1287"/>
      <c r="DB353" s="1287"/>
      <c r="DC353" s="1287"/>
      <c r="DD353" s="1287"/>
      <c r="DE353" s="1287"/>
      <c r="DF353" s="1287"/>
      <c r="DG353" s="1287"/>
      <c r="DH353" s="1287"/>
      <c r="DI353" s="1287"/>
      <c r="DJ353" s="1287"/>
      <c r="DK353" s="1287"/>
      <c r="DL353" s="1287"/>
      <c r="DM353" s="1287"/>
      <c r="DN353" s="1287"/>
      <c r="DO353" s="1287"/>
      <c r="DP353" s="1287"/>
      <c r="DQ353" s="1287"/>
      <c r="DR353" s="1287"/>
      <c r="DS353" s="1287"/>
      <c r="DT353" s="1287"/>
      <c r="DU353" s="1287"/>
      <c r="DV353" s="1287"/>
      <c r="DW353" s="1287"/>
      <c r="DX353" s="1287"/>
      <c r="DY353" s="1287"/>
      <c r="DZ353" s="1287"/>
      <c r="EA353" s="1287"/>
      <c r="EB353" s="1288"/>
      <c r="EC353" s="1288"/>
      <c r="ED353" s="1288"/>
      <c r="EE353" s="1288"/>
      <c r="EF353" s="1288"/>
      <c r="EG353" s="1288"/>
      <c r="EH353" s="1288"/>
      <c r="EI353" s="1288"/>
      <c r="EJ353" s="1288"/>
      <c r="EK353" s="1288"/>
      <c r="EL353" s="1288"/>
      <c r="EM353" s="1313"/>
    </row>
    <row r="354" spans="2:143" s="1271" customFormat="1">
      <c r="B354" s="1263"/>
      <c r="C354" s="1264"/>
      <c r="D354" s="1265"/>
      <c r="E354" s="1265"/>
      <c r="F354" s="1264"/>
      <c r="G354" s="1264"/>
      <c r="H354" s="1264"/>
      <c r="I354" s="1264"/>
      <c r="J354" s="1264"/>
      <c r="K354" s="1264"/>
      <c r="L354" s="1264"/>
      <c r="M354" s="1264"/>
      <c r="N354" s="1264"/>
      <c r="O354" s="1264"/>
      <c r="P354" s="1264"/>
      <c r="Q354" s="1264"/>
      <c r="R354" s="1264"/>
      <c r="S354" s="1264"/>
      <c r="T354" s="1264"/>
      <c r="U354" s="1264"/>
      <c r="V354" s="1264"/>
      <c r="W354" s="1287"/>
      <c r="X354" s="1287"/>
      <c r="Y354" s="1287"/>
      <c r="Z354" s="1287"/>
      <c r="AA354" s="1287"/>
      <c r="AB354" s="1287"/>
      <c r="AC354" s="1287"/>
      <c r="AD354" s="1287"/>
      <c r="AE354" s="1287"/>
      <c r="AF354" s="1287"/>
      <c r="AG354" s="1287"/>
      <c r="AH354" s="1287"/>
      <c r="AI354" s="1287"/>
      <c r="AJ354" s="1287"/>
      <c r="AK354" s="1287"/>
      <c r="AL354" s="1287"/>
      <c r="AM354" s="1287"/>
      <c r="AN354" s="1287"/>
      <c r="AO354" s="1287"/>
      <c r="AP354" s="1287"/>
      <c r="AQ354" s="1287"/>
      <c r="AR354" s="1287"/>
      <c r="AS354" s="1287"/>
      <c r="AT354" s="1287"/>
      <c r="AU354" s="1287"/>
      <c r="AV354" s="1287"/>
      <c r="AW354" s="1287"/>
      <c r="AX354" s="1287"/>
      <c r="AY354" s="1287"/>
      <c r="AZ354" s="1287"/>
      <c r="BA354" s="1287"/>
      <c r="BB354" s="1287"/>
      <c r="BC354" s="1287"/>
      <c r="BD354" s="1287"/>
      <c r="BE354" s="1287"/>
      <c r="BF354" s="1287"/>
      <c r="BG354" s="1287"/>
      <c r="BH354" s="1287"/>
      <c r="BI354" s="1287"/>
      <c r="BJ354" s="1287"/>
      <c r="BK354" s="1287"/>
      <c r="BL354" s="1287"/>
      <c r="BM354" s="1287"/>
      <c r="BN354" s="1287"/>
      <c r="BO354" s="1287"/>
      <c r="BP354" s="1287"/>
      <c r="BQ354" s="1287"/>
      <c r="BR354" s="1287"/>
      <c r="BS354" s="1287"/>
      <c r="BT354" s="1287"/>
      <c r="BU354" s="1287"/>
      <c r="BV354" s="1287"/>
      <c r="BW354" s="1287"/>
      <c r="BX354" s="1287"/>
      <c r="BY354" s="1287"/>
      <c r="BZ354" s="1287"/>
      <c r="CA354" s="1287"/>
      <c r="CB354" s="1287"/>
      <c r="CC354" s="1287"/>
      <c r="CD354" s="1287"/>
      <c r="CE354" s="1287"/>
      <c r="CF354" s="1287"/>
      <c r="CG354" s="1287"/>
      <c r="CH354" s="1269"/>
      <c r="CI354" s="1287"/>
      <c r="CJ354" s="1287"/>
      <c r="CK354" s="1287"/>
      <c r="CL354" s="1287"/>
      <c r="CM354" s="1287"/>
      <c r="CN354" s="1287"/>
      <c r="CO354" s="1287"/>
      <c r="CP354" s="1287"/>
      <c r="CQ354" s="1287"/>
      <c r="CR354" s="1287"/>
      <c r="CS354" s="1287"/>
      <c r="CT354" s="1287"/>
      <c r="CU354" s="1287"/>
      <c r="CV354" s="1287"/>
      <c r="CW354" s="1287"/>
      <c r="CX354" s="1287"/>
      <c r="CY354" s="1287"/>
      <c r="CZ354" s="1287"/>
      <c r="DA354" s="1287"/>
      <c r="DB354" s="1287"/>
      <c r="DC354" s="1287"/>
      <c r="DD354" s="1287"/>
      <c r="DE354" s="1287"/>
      <c r="DF354" s="1287"/>
      <c r="DG354" s="1287"/>
      <c r="DH354" s="1287"/>
      <c r="DI354" s="1287"/>
      <c r="DJ354" s="1287"/>
      <c r="DK354" s="1287"/>
      <c r="DL354" s="1287"/>
      <c r="DM354" s="1287"/>
      <c r="DN354" s="1287"/>
      <c r="DO354" s="1287"/>
      <c r="DP354" s="1287"/>
      <c r="DQ354" s="1287"/>
      <c r="DR354" s="1287"/>
      <c r="DS354" s="1287"/>
      <c r="DT354" s="1287"/>
      <c r="DU354" s="1287"/>
      <c r="DV354" s="1287"/>
      <c r="DW354" s="1287"/>
      <c r="DX354" s="1287"/>
      <c r="DY354" s="1287"/>
      <c r="DZ354" s="1287"/>
      <c r="EA354" s="1287"/>
      <c r="EB354" s="1288"/>
      <c r="EC354" s="1288"/>
      <c r="ED354" s="1288"/>
      <c r="EE354" s="1288"/>
      <c r="EF354" s="1288"/>
      <c r="EG354" s="1288"/>
      <c r="EH354" s="1288"/>
      <c r="EI354" s="1288"/>
      <c r="EJ354" s="1288"/>
      <c r="EK354" s="1288"/>
      <c r="EL354" s="1288"/>
      <c r="EM354" s="1313"/>
    </row>
    <row r="355" spans="2:143" s="1271" customFormat="1">
      <c r="B355" s="1263"/>
      <c r="C355" s="1264"/>
      <c r="D355" s="1265"/>
      <c r="E355" s="1265"/>
      <c r="F355" s="1264"/>
      <c r="G355" s="1264"/>
      <c r="H355" s="1264"/>
      <c r="I355" s="1264"/>
      <c r="J355" s="1264"/>
      <c r="K355" s="1264"/>
      <c r="L355" s="1264"/>
      <c r="M355" s="1264"/>
      <c r="N355" s="1264"/>
      <c r="O355" s="1264"/>
      <c r="P355" s="1264"/>
      <c r="Q355" s="1264"/>
      <c r="R355" s="1264"/>
      <c r="S355" s="1264"/>
      <c r="T355" s="1264"/>
      <c r="U355" s="1264"/>
      <c r="V355" s="1264"/>
      <c r="W355" s="1287"/>
      <c r="X355" s="1287"/>
      <c r="Y355" s="1287"/>
      <c r="Z355" s="1287"/>
      <c r="AA355" s="1287"/>
      <c r="AB355" s="1287"/>
      <c r="AC355" s="1287"/>
      <c r="AD355" s="1287"/>
      <c r="AE355" s="1287"/>
      <c r="AF355" s="1287"/>
      <c r="AG355" s="1287"/>
      <c r="AH355" s="1287"/>
      <c r="AI355" s="1287"/>
      <c r="AJ355" s="1287"/>
      <c r="AK355" s="1287"/>
      <c r="AL355" s="1287"/>
      <c r="AM355" s="1287"/>
      <c r="AN355" s="1287"/>
      <c r="AO355" s="1287"/>
      <c r="AP355" s="1287"/>
      <c r="AQ355" s="1287"/>
      <c r="AR355" s="1287"/>
      <c r="AS355" s="1287"/>
      <c r="AT355" s="1287"/>
      <c r="AU355" s="1287"/>
      <c r="AV355" s="1287"/>
      <c r="AW355" s="1287"/>
      <c r="AX355" s="1287"/>
      <c r="AY355" s="1287"/>
      <c r="AZ355" s="1287"/>
      <c r="BA355" s="1287"/>
      <c r="BB355" s="1287"/>
      <c r="BC355" s="1287"/>
      <c r="BD355" s="1287"/>
      <c r="BE355" s="1287"/>
      <c r="BF355" s="1287"/>
      <c r="BG355" s="1287"/>
      <c r="BH355" s="1287"/>
      <c r="BI355" s="1287"/>
      <c r="BJ355" s="1287"/>
      <c r="BK355" s="1287"/>
      <c r="BL355" s="1287"/>
      <c r="BM355" s="1287"/>
      <c r="BN355" s="1287"/>
      <c r="BO355" s="1287"/>
      <c r="BP355" s="1287"/>
      <c r="BQ355" s="1287"/>
      <c r="BR355" s="1287"/>
      <c r="BS355" s="1287"/>
      <c r="BT355" s="1287"/>
      <c r="BU355" s="1287"/>
      <c r="BV355" s="1287"/>
      <c r="BW355" s="1287"/>
      <c r="BX355" s="1287"/>
      <c r="BY355" s="1287"/>
      <c r="BZ355" s="1287"/>
      <c r="CA355" s="1287"/>
      <c r="CB355" s="1287"/>
      <c r="CC355" s="1287"/>
      <c r="CD355" s="1287"/>
      <c r="CE355" s="1287"/>
      <c r="CF355" s="1287"/>
      <c r="CG355" s="1287"/>
      <c r="CH355" s="1269"/>
      <c r="CI355" s="1287"/>
      <c r="CJ355" s="1287"/>
      <c r="CK355" s="1287"/>
      <c r="CL355" s="1287"/>
      <c r="CM355" s="1287"/>
      <c r="CN355" s="1287"/>
      <c r="CO355" s="1287"/>
      <c r="CP355" s="1287"/>
      <c r="CQ355" s="1287"/>
      <c r="CR355" s="1287"/>
      <c r="CS355" s="1287"/>
      <c r="CT355" s="1287"/>
      <c r="CU355" s="1287"/>
      <c r="CV355" s="1287"/>
      <c r="CW355" s="1287"/>
      <c r="CX355" s="1287"/>
      <c r="CY355" s="1287"/>
      <c r="CZ355" s="1287"/>
      <c r="DA355" s="1287"/>
      <c r="DB355" s="1287"/>
      <c r="DC355" s="1287"/>
      <c r="DD355" s="1287"/>
      <c r="DE355" s="1287"/>
      <c r="DF355" s="1287"/>
      <c r="DG355" s="1287"/>
      <c r="DH355" s="1287"/>
      <c r="DI355" s="1287"/>
      <c r="DJ355" s="1287"/>
      <c r="DK355" s="1287"/>
      <c r="DL355" s="1287"/>
      <c r="DM355" s="1287"/>
      <c r="DN355" s="1287"/>
      <c r="DO355" s="1287"/>
      <c r="DP355" s="1287"/>
      <c r="DQ355" s="1287"/>
      <c r="DR355" s="1287"/>
      <c r="DS355" s="1287"/>
      <c r="DT355" s="1287"/>
      <c r="DU355" s="1287"/>
      <c r="DV355" s="1287"/>
      <c r="DW355" s="1287"/>
      <c r="DX355" s="1287"/>
      <c r="DY355" s="1287"/>
      <c r="DZ355" s="1287"/>
      <c r="EA355" s="1287"/>
      <c r="EB355" s="1288"/>
      <c r="EC355" s="1288"/>
      <c r="ED355" s="1288"/>
      <c r="EE355" s="1288"/>
      <c r="EF355" s="1288"/>
      <c r="EG355" s="1288"/>
      <c r="EH355" s="1288"/>
      <c r="EI355" s="1288"/>
      <c r="EJ355" s="1288"/>
      <c r="EK355" s="1288"/>
      <c r="EL355" s="1288"/>
      <c r="EM355" s="1313"/>
    </row>
    <row r="356" spans="2:143" s="1271" customFormat="1">
      <c r="B356" s="1263"/>
      <c r="C356" s="1264"/>
      <c r="D356" s="1265"/>
      <c r="E356" s="1265"/>
      <c r="F356" s="1285"/>
      <c r="G356" s="1264"/>
      <c r="H356" s="1264"/>
      <c r="I356" s="1285"/>
      <c r="J356" s="1285"/>
      <c r="K356" s="1285"/>
      <c r="L356" s="1285"/>
      <c r="M356" s="1285"/>
      <c r="N356" s="1285"/>
      <c r="O356" s="1285"/>
      <c r="P356" s="1285"/>
      <c r="Q356" s="1285"/>
      <c r="R356" s="1285"/>
      <c r="S356" s="1285"/>
      <c r="T356" s="1285"/>
      <c r="U356" s="1285"/>
      <c r="V356" s="1285"/>
      <c r="W356" s="1286"/>
      <c r="X356" s="1286"/>
      <c r="Y356" s="1286"/>
      <c r="Z356" s="1286"/>
      <c r="AA356" s="1286"/>
      <c r="AB356" s="1286"/>
      <c r="AC356" s="1286"/>
      <c r="AD356" s="1286"/>
      <c r="AE356" s="1286"/>
      <c r="AF356" s="1286"/>
      <c r="AG356" s="1286"/>
      <c r="AH356" s="1286"/>
      <c r="AI356" s="1286"/>
      <c r="AJ356" s="1286"/>
      <c r="AK356" s="1286"/>
      <c r="AL356" s="1286"/>
      <c r="AM356" s="1286"/>
      <c r="AN356" s="1286"/>
      <c r="AO356" s="1286"/>
      <c r="AP356" s="1286"/>
      <c r="AQ356" s="1286"/>
      <c r="AR356" s="1286"/>
      <c r="AS356" s="1286"/>
      <c r="AT356" s="1286"/>
      <c r="AU356" s="1286"/>
      <c r="AV356" s="1286"/>
      <c r="AW356" s="1286"/>
      <c r="AX356" s="1286"/>
      <c r="AY356" s="1286"/>
      <c r="AZ356" s="1286"/>
      <c r="BA356" s="1286"/>
      <c r="BB356" s="1286"/>
      <c r="BC356" s="1286"/>
      <c r="BD356" s="1286"/>
      <c r="BE356" s="1286"/>
      <c r="BF356" s="1286"/>
      <c r="BG356" s="1286"/>
      <c r="BH356" s="1286"/>
      <c r="BI356" s="1286"/>
      <c r="BJ356" s="1286"/>
      <c r="BK356" s="1286"/>
      <c r="BL356" s="1286"/>
      <c r="BM356" s="1286"/>
      <c r="BN356" s="1286"/>
      <c r="BO356" s="1286"/>
      <c r="BP356" s="1286"/>
      <c r="BQ356" s="1286"/>
      <c r="BR356" s="1286"/>
      <c r="BS356" s="1286"/>
      <c r="BT356" s="1286"/>
      <c r="BU356" s="1286"/>
      <c r="BV356" s="1286"/>
      <c r="BW356" s="1286"/>
      <c r="BX356" s="1286"/>
      <c r="BY356" s="1286"/>
      <c r="BZ356" s="1286"/>
      <c r="CA356" s="1286"/>
      <c r="CB356" s="1286"/>
      <c r="CC356" s="1286"/>
      <c r="CD356" s="1286"/>
      <c r="CE356" s="1286"/>
      <c r="CF356" s="1286"/>
      <c r="CG356" s="1286"/>
      <c r="CH356" s="1269"/>
      <c r="CI356" s="1286"/>
      <c r="CJ356" s="1286"/>
      <c r="CK356" s="1286"/>
      <c r="CL356" s="1286"/>
      <c r="CM356" s="1286"/>
      <c r="CN356" s="1286"/>
      <c r="CO356" s="1286"/>
      <c r="CP356" s="1286"/>
      <c r="CQ356" s="1286"/>
      <c r="CR356" s="1286"/>
      <c r="CS356" s="1286"/>
      <c r="CT356" s="1286"/>
      <c r="CU356" s="1286"/>
      <c r="CV356" s="1286"/>
      <c r="CW356" s="1286"/>
      <c r="CX356" s="1286"/>
      <c r="CY356" s="1286"/>
      <c r="CZ356" s="1286"/>
      <c r="DA356" s="1286"/>
      <c r="DB356" s="1286"/>
      <c r="DC356" s="1286"/>
      <c r="DD356" s="1286"/>
      <c r="DE356" s="1286"/>
      <c r="DF356" s="1286"/>
      <c r="DG356" s="1286"/>
      <c r="DH356" s="1286"/>
      <c r="DI356" s="1286"/>
      <c r="DJ356" s="1286"/>
      <c r="DK356" s="1286"/>
      <c r="DL356" s="1286"/>
      <c r="DM356" s="1286"/>
      <c r="DN356" s="1286"/>
      <c r="DO356" s="1286"/>
      <c r="DP356" s="1286"/>
      <c r="DQ356" s="1286"/>
      <c r="DR356" s="1286"/>
      <c r="DS356" s="1286"/>
      <c r="DT356" s="1286"/>
      <c r="DU356" s="1286"/>
      <c r="DV356" s="1286"/>
      <c r="DW356" s="1286"/>
      <c r="DX356" s="1286"/>
      <c r="DY356" s="1286"/>
      <c r="DZ356" s="1286"/>
      <c r="EA356" s="1286"/>
      <c r="EB356" s="1206"/>
      <c r="EC356" s="1206"/>
      <c r="ED356" s="1206"/>
      <c r="EE356" s="1206"/>
      <c r="EF356" s="1206"/>
      <c r="EG356" s="1206"/>
      <c r="EH356" s="1206"/>
      <c r="EI356" s="1206"/>
      <c r="EJ356" s="1206"/>
      <c r="EK356" s="1206"/>
      <c r="EL356" s="1206"/>
      <c r="EM356" s="1313"/>
    </row>
    <row r="357" spans="2:143" s="1271" customFormat="1">
      <c r="B357" s="1263"/>
      <c r="C357" s="1264"/>
      <c r="D357" s="1265"/>
      <c r="E357" s="1265"/>
      <c r="F357" s="1285"/>
      <c r="G357" s="1264"/>
      <c r="H357" s="1264"/>
      <c r="I357" s="1285"/>
      <c r="J357" s="1285"/>
      <c r="K357" s="1285"/>
      <c r="L357" s="1285"/>
      <c r="M357" s="1285"/>
      <c r="N357" s="1285"/>
      <c r="O357" s="1285"/>
      <c r="P357" s="1285"/>
      <c r="Q357" s="1285"/>
      <c r="R357" s="1285"/>
      <c r="S357" s="1285"/>
      <c r="T357" s="1285"/>
      <c r="U357" s="1285"/>
      <c r="V357" s="1285"/>
      <c r="W357" s="1286"/>
      <c r="X357" s="1286"/>
      <c r="Y357" s="1286"/>
      <c r="Z357" s="1286"/>
      <c r="AA357" s="1286"/>
      <c r="AB357" s="1286"/>
      <c r="AC357" s="1286"/>
      <c r="AD357" s="1286"/>
      <c r="AE357" s="1286"/>
      <c r="AF357" s="1286"/>
      <c r="AG357" s="1286"/>
      <c r="AH357" s="1286"/>
      <c r="AI357" s="1286"/>
      <c r="AJ357" s="1286"/>
      <c r="AK357" s="1286"/>
      <c r="AL357" s="1286"/>
      <c r="AM357" s="1286"/>
      <c r="AN357" s="1286"/>
      <c r="AO357" s="1286"/>
      <c r="AP357" s="1286"/>
      <c r="AQ357" s="1286"/>
      <c r="AR357" s="1286"/>
      <c r="AS357" s="1286"/>
      <c r="AT357" s="1286"/>
      <c r="AU357" s="1286"/>
      <c r="AV357" s="1286"/>
      <c r="AW357" s="1286"/>
      <c r="AX357" s="1286"/>
      <c r="AY357" s="1286"/>
      <c r="AZ357" s="1286"/>
      <c r="BA357" s="1286"/>
      <c r="BB357" s="1286"/>
      <c r="BC357" s="1286"/>
      <c r="BD357" s="1286"/>
      <c r="BE357" s="1286"/>
      <c r="BF357" s="1286"/>
      <c r="BG357" s="1286"/>
      <c r="BH357" s="1286"/>
      <c r="BI357" s="1286"/>
      <c r="BJ357" s="1286"/>
      <c r="BK357" s="1286"/>
      <c r="BL357" s="1286"/>
      <c r="BM357" s="1286"/>
      <c r="BN357" s="1286"/>
      <c r="BO357" s="1286"/>
      <c r="BP357" s="1286"/>
      <c r="BQ357" s="1286"/>
      <c r="BR357" s="1286"/>
      <c r="BS357" s="1286"/>
      <c r="BT357" s="1286"/>
      <c r="BU357" s="1286"/>
      <c r="BV357" s="1286"/>
      <c r="BW357" s="1286"/>
      <c r="BX357" s="1286"/>
      <c r="BY357" s="1286"/>
      <c r="BZ357" s="1286"/>
      <c r="CA357" s="1286"/>
      <c r="CB357" s="1286"/>
      <c r="CC357" s="1286"/>
      <c r="CD357" s="1286"/>
      <c r="CE357" s="1286"/>
      <c r="CF357" s="1286"/>
      <c r="CG357" s="1286"/>
      <c r="CH357" s="1269"/>
      <c r="CI357" s="1286"/>
      <c r="CJ357" s="1286"/>
      <c r="CK357" s="1286"/>
      <c r="CL357" s="1286"/>
      <c r="CM357" s="1286"/>
      <c r="CN357" s="1286"/>
      <c r="CO357" s="1286"/>
      <c r="CP357" s="1286"/>
      <c r="CQ357" s="1286"/>
      <c r="CR357" s="1286"/>
      <c r="CS357" s="1286"/>
      <c r="CT357" s="1286"/>
      <c r="CU357" s="1286"/>
      <c r="CV357" s="1286"/>
      <c r="CW357" s="1286"/>
      <c r="CX357" s="1286"/>
      <c r="CY357" s="1286"/>
      <c r="CZ357" s="1286"/>
      <c r="DA357" s="1286"/>
      <c r="DB357" s="1286"/>
      <c r="DC357" s="1286"/>
      <c r="DD357" s="1286"/>
      <c r="DE357" s="1286"/>
      <c r="DF357" s="1286"/>
      <c r="DG357" s="1286"/>
      <c r="DH357" s="1286"/>
      <c r="DI357" s="1286"/>
      <c r="DJ357" s="1286"/>
      <c r="DK357" s="1286"/>
      <c r="DL357" s="1286"/>
      <c r="DM357" s="1286"/>
      <c r="DN357" s="1286"/>
      <c r="DO357" s="1286"/>
      <c r="DP357" s="1286"/>
      <c r="DQ357" s="1286"/>
      <c r="DR357" s="1286"/>
      <c r="DS357" s="1286"/>
      <c r="DT357" s="1286"/>
      <c r="DU357" s="1286"/>
      <c r="DV357" s="1286"/>
      <c r="DW357" s="1286"/>
      <c r="DX357" s="1286"/>
      <c r="DY357" s="1286"/>
      <c r="DZ357" s="1286"/>
      <c r="EA357" s="1286"/>
      <c r="EB357" s="1206"/>
      <c r="EC357" s="1206"/>
      <c r="ED357" s="1206"/>
      <c r="EE357" s="1206"/>
      <c r="EF357" s="1206"/>
      <c r="EG357" s="1206"/>
      <c r="EH357" s="1206"/>
      <c r="EI357" s="1206"/>
      <c r="EJ357" s="1206"/>
      <c r="EK357" s="1206"/>
      <c r="EL357" s="1206"/>
      <c r="EM357" s="1313"/>
    </row>
    <row r="358" spans="2:143" s="1271" customFormat="1">
      <c r="B358" s="1263"/>
      <c r="C358" s="1264"/>
      <c r="D358" s="1265"/>
      <c r="E358" s="1265"/>
      <c r="F358" s="1285"/>
      <c r="G358" s="1264"/>
      <c r="H358" s="1264"/>
      <c r="I358" s="1285"/>
      <c r="J358" s="1285"/>
      <c r="K358" s="1285"/>
      <c r="L358" s="1285"/>
      <c r="M358" s="1285"/>
      <c r="N358" s="1285"/>
      <c r="O358" s="1285"/>
      <c r="P358" s="1285"/>
      <c r="Q358" s="1285"/>
      <c r="R358" s="1285"/>
      <c r="S358" s="1285"/>
      <c r="T358" s="1285"/>
      <c r="U358" s="1285"/>
      <c r="V358" s="1285"/>
      <c r="W358" s="1286"/>
      <c r="X358" s="1286"/>
      <c r="Y358" s="1286"/>
      <c r="Z358" s="1286"/>
      <c r="AA358" s="1286"/>
      <c r="AB358" s="1286"/>
      <c r="AC358" s="1286"/>
      <c r="AD358" s="1286"/>
      <c r="AE358" s="1286"/>
      <c r="AF358" s="1286"/>
      <c r="AG358" s="1286"/>
      <c r="AH358" s="1286"/>
      <c r="AI358" s="1286"/>
      <c r="AJ358" s="1286"/>
      <c r="AK358" s="1286"/>
      <c r="AL358" s="1286"/>
      <c r="AM358" s="1286"/>
      <c r="AN358" s="1286"/>
      <c r="AO358" s="1286"/>
      <c r="AP358" s="1286"/>
      <c r="AQ358" s="1286"/>
      <c r="AR358" s="1286"/>
      <c r="AS358" s="1286"/>
      <c r="AT358" s="1286"/>
      <c r="AU358" s="1286"/>
      <c r="AV358" s="1286"/>
      <c r="AW358" s="1286"/>
      <c r="AX358" s="1286"/>
      <c r="AY358" s="1286"/>
      <c r="AZ358" s="1286"/>
      <c r="BA358" s="1286"/>
      <c r="BB358" s="1286"/>
      <c r="BC358" s="1286"/>
      <c r="BD358" s="1286"/>
      <c r="BE358" s="1286"/>
      <c r="BF358" s="1286"/>
      <c r="BG358" s="1286"/>
      <c r="BH358" s="1286"/>
      <c r="BI358" s="1286"/>
      <c r="BJ358" s="1286"/>
      <c r="BK358" s="1286"/>
      <c r="BL358" s="1286"/>
      <c r="BM358" s="1286"/>
      <c r="BN358" s="1286"/>
      <c r="BO358" s="1286"/>
      <c r="BP358" s="1286"/>
      <c r="BQ358" s="1286"/>
      <c r="BR358" s="1286"/>
      <c r="BS358" s="1286"/>
      <c r="BT358" s="1286"/>
      <c r="BU358" s="1286"/>
      <c r="BV358" s="1286"/>
      <c r="BW358" s="1286"/>
      <c r="BX358" s="1286"/>
      <c r="BY358" s="1286"/>
      <c r="BZ358" s="1286"/>
      <c r="CA358" s="1286"/>
      <c r="CB358" s="1286"/>
      <c r="CC358" s="1286"/>
      <c r="CD358" s="1286"/>
      <c r="CE358" s="1286"/>
      <c r="CF358" s="1286"/>
      <c r="CG358" s="1286"/>
      <c r="CH358" s="1269"/>
      <c r="CI358" s="1286"/>
      <c r="CJ358" s="1286"/>
      <c r="CK358" s="1286"/>
      <c r="CL358" s="1286"/>
      <c r="CM358" s="1286"/>
      <c r="CN358" s="1286"/>
      <c r="CO358" s="1286"/>
      <c r="CP358" s="1286"/>
      <c r="CQ358" s="1286"/>
      <c r="CR358" s="1286"/>
      <c r="CS358" s="1286"/>
      <c r="CT358" s="1286"/>
      <c r="CU358" s="1286"/>
      <c r="CV358" s="1286"/>
      <c r="CW358" s="1286"/>
      <c r="CX358" s="1286"/>
      <c r="CY358" s="1286"/>
      <c r="CZ358" s="1286"/>
      <c r="DA358" s="1286"/>
      <c r="DB358" s="1286"/>
      <c r="DC358" s="1286"/>
      <c r="DD358" s="1286"/>
      <c r="DE358" s="1286"/>
      <c r="DF358" s="1286"/>
      <c r="DG358" s="1286"/>
      <c r="DH358" s="1286"/>
      <c r="DI358" s="1286"/>
      <c r="DJ358" s="1286"/>
      <c r="DK358" s="1286"/>
      <c r="DL358" s="1286"/>
      <c r="DM358" s="1286"/>
      <c r="DN358" s="1286"/>
      <c r="DO358" s="1286"/>
      <c r="DP358" s="1286"/>
      <c r="DQ358" s="1286"/>
      <c r="DR358" s="1286"/>
      <c r="DS358" s="1286"/>
      <c r="DT358" s="1286"/>
      <c r="DU358" s="1286"/>
      <c r="DV358" s="1286"/>
      <c r="DW358" s="1286"/>
      <c r="DX358" s="1286"/>
      <c r="DY358" s="1286"/>
      <c r="DZ358" s="1286"/>
      <c r="EA358" s="1286"/>
      <c r="EB358" s="1206"/>
      <c r="EC358" s="1206"/>
      <c r="ED358" s="1206"/>
      <c r="EE358" s="1206"/>
      <c r="EF358" s="1206"/>
      <c r="EG358" s="1206"/>
      <c r="EH358" s="1206"/>
      <c r="EI358" s="1206"/>
      <c r="EJ358" s="1206"/>
      <c r="EK358" s="1206"/>
      <c r="EL358" s="1206"/>
      <c r="EM358" s="1313"/>
    </row>
    <row r="359" spans="2:143" s="1271" customFormat="1">
      <c r="B359" s="1263"/>
      <c r="C359" s="1264"/>
      <c r="D359" s="1265"/>
      <c r="E359" s="1265"/>
      <c r="F359" s="1285"/>
      <c r="G359" s="1264"/>
      <c r="H359" s="1264"/>
      <c r="I359" s="1285"/>
      <c r="J359" s="1285"/>
      <c r="K359" s="1285"/>
      <c r="L359" s="1285"/>
      <c r="M359" s="1285"/>
      <c r="N359" s="1285"/>
      <c r="O359" s="1285"/>
      <c r="P359" s="1285"/>
      <c r="Q359" s="1285"/>
      <c r="R359" s="1285"/>
      <c r="S359" s="1285"/>
      <c r="T359" s="1285"/>
      <c r="U359" s="1285"/>
      <c r="V359" s="1285"/>
      <c r="W359" s="1286"/>
      <c r="X359" s="1286"/>
      <c r="Y359" s="1286"/>
      <c r="Z359" s="1286"/>
      <c r="AA359" s="1286"/>
      <c r="AB359" s="1286"/>
      <c r="AC359" s="1286"/>
      <c r="AD359" s="1286"/>
      <c r="AE359" s="1286"/>
      <c r="AF359" s="1286"/>
      <c r="AG359" s="1286"/>
      <c r="AH359" s="1286"/>
      <c r="AI359" s="1286"/>
      <c r="AJ359" s="1286"/>
      <c r="AK359" s="1286"/>
      <c r="AL359" s="1286"/>
      <c r="AM359" s="1286"/>
      <c r="AN359" s="1286"/>
      <c r="AO359" s="1286"/>
      <c r="AP359" s="1286"/>
      <c r="AQ359" s="1286"/>
      <c r="AR359" s="1286"/>
      <c r="AS359" s="1286"/>
      <c r="AT359" s="1286"/>
      <c r="AU359" s="1286"/>
      <c r="AV359" s="1286"/>
      <c r="AW359" s="1286"/>
      <c r="AX359" s="1286"/>
      <c r="AY359" s="1286"/>
      <c r="AZ359" s="1286"/>
      <c r="BA359" s="1286"/>
      <c r="BB359" s="1286"/>
      <c r="BC359" s="1286"/>
      <c r="BD359" s="1286"/>
      <c r="BE359" s="1286"/>
      <c r="BF359" s="1286"/>
      <c r="BG359" s="1286"/>
      <c r="BH359" s="1286"/>
      <c r="BI359" s="1286"/>
      <c r="BJ359" s="1286"/>
      <c r="BK359" s="1286"/>
      <c r="BL359" s="1286"/>
      <c r="BM359" s="1286"/>
      <c r="BN359" s="1286"/>
      <c r="BO359" s="1286"/>
      <c r="BP359" s="1286"/>
      <c r="BQ359" s="1286"/>
      <c r="BR359" s="1286"/>
      <c r="BS359" s="1286"/>
      <c r="BT359" s="1286"/>
      <c r="BU359" s="1286"/>
      <c r="BV359" s="1286"/>
      <c r="BW359" s="1286"/>
      <c r="BX359" s="1286"/>
      <c r="BY359" s="1286"/>
      <c r="BZ359" s="1286"/>
      <c r="CA359" s="1286"/>
      <c r="CB359" s="1286"/>
      <c r="CC359" s="1286"/>
      <c r="CD359" s="1286"/>
      <c r="CE359" s="1286"/>
      <c r="CF359" s="1286"/>
      <c r="CG359" s="1286"/>
      <c r="CH359" s="1269"/>
      <c r="CI359" s="1286"/>
      <c r="CJ359" s="1286"/>
      <c r="CK359" s="1286"/>
      <c r="CL359" s="1286"/>
      <c r="CM359" s="1286"/>
      <c r="CN359" s="1286"/>
      <c r="CO359" s="1286"/>
      <c r="CP359" s="1286"/>
      <c r="CQ359" s="1286"/>
      <c r="CR359" s="1286"/>
      <c r="CS359" s="1286"/>
      <c r="CT359" s="1286"/>
      <c r="CU359" s="1286"/>
      <c r="CV359" s="1286"/>
      <c r="CW359" s="1286"/>
      <c r="CX359" s="1286"/>
      <c r="CY359" s="1286"/>
      <c r="CZ359" s="1286"/>
      <c r="DA359" s="1286"/>
      <c r="DB359" s="1286"/>
      <c r="DC359" s="1286"/>
      <c r="DD359" s="1286"/>
      <c r="DE359" s="1286"/>
      <c r="DF359" s="1286"/>
      <c r="DG359" s="1286"/>
      <c r="DH359" s="1286"/>
      <c r="DI359" s="1286"/>
      <c r="DJ359" s="1286"/>
      <c r="DK359" s="1286"/>
      <c r="DL359" s="1286"/>
      <c r="DM359" s="1286"/>
      <c r="DN359" s="1286"/>
      <c r="DO359" s="1286"/>
      <c r="DP359" s="1286"/>
      <c r="DQ359" s="1286"/>
      <c r="DR359" s="1286"/>
      <c r="DS359" s="1286"/>
      <c r="DT359" s="1286"/>
      <c r="DU359" s="1286"/>
      <c r="DV359" s="1286"/>
      <c r="DW359" s="1286"/>
      <c r="DX359" s="1286"/>
      <c r="DY359" s="1286"/>
      <c r="DZ359" s="1286"/>
      <c r="EA359" s="1286"/>
      <c r="EB359" s="1206"/>
      <c r="EC359" s="1206"/>
      <c r="ED359" s="1206"/>
      <c r="EE359" s="1206"/>
      <c r="EF359" s="1206"/>
      <c r="EG359" s="1206"/>
      <c r="EH359" s="1206"/>
      <c r="EI359" s="1206"/>
      <c r="EJ359" s="1206"/>
      <c r="EK359" s="1206"/>
      <c r="EL359" s="1206"/>
      <c r="EM359" s="1313"/>
    </row>
    <row r="360" spans="2:143" s="1271" customFormat="1">
      <c r="B360" s="1263"/>
      <c r="C360" s="1264"/>
      <c r="D360" s="1265"/>
      <c r="E360" s="1265"/>
      <c r="F360" s="1285"/>
      <c r="G360" s="1264"/>
      <c r="H360" s="1264"/>
      <c r="I360" s="1285"/>
      <c r="J360" s="1285"/>
      <c r="K360" s="1285"/>
      <c r="L360" s="1285"/>
      <c r="M360" s="1285"/>
      <c r="N360" s="1285"/>
      <c r="O360" s="1285"/>
      <c r="P360" s="1285"/>
      <c r="Q360" s="1285"/>
      <c r="R360" s="1285"/>
      <c r="S360" s="1285"/>
      <c r="T360" s="1285"/>
      <c r="U360" s="1285"/>
      <c r="V360" s="1285"/>
      <c r="W360" s="1286"/>
      <c r="X360" s="1286"/>
      <c r="Y360" s="1286"/>
      <c r="Z360" s="1286"/>
      <c r="AA360" s="1286"/>
      <c r="AB360" s="1286"/>
      <c r="AC360" s="1286"/>
      <c r="AD360" s="1286"/>
      <c r="AE360" s="1286"/>
      <c r="AF360" s="1286"/>
      <c r="AG360" s="1286"/>
      <c r="AH360" s="1286"/>
      <c r="AI360" s="1286"/>
      <c r="AJ360" s="1286"/>
      <c r="AK360" s="1286"/>
      <c r="AL360" s="1286"/>
      <c r="AM360" s="1286"/>
      <c r="AN360" s="1286"/>
      <c r="AO360" s="1286"/>
      <c r="AP360" s="1286"/>
      <c r="AQ360" s="1286"/>
      <c r="AR360" s="1286"/>
      <c r="AS360" s="1286"/>
      <c r="AT360" s="1286"/>
      <c r="AU360" s="1286"/>
      <c r="AV360" s="1286"/>
      <c r="AW360" s="1286"/>
      <c r="AX360" s="1286"/>
      <c r="AY360" s="1286"/>
      <c r="AZ360" s="1286"/>
      <c r="BA360" s="1286"/>
      <c r="BB360" s="1286"/>
      <c r="BC360" s="1286"/>
      <c r="BD360" s="1286"/>
      <c r="BE360" s="1286"/>
      <c r="BF360" s="1286"/>
      <c r="BG360" s="1286"/>
      <c r="BH360" s="1286"/>
      <c r="BI360" s="1286"/>
      <c r="BJ360" s="1286"/>
      <c r="BK360" s="1286"/>
      <c r="BL360" s="1286"/>
      <c r="BM360" s="1286"/>
      <c r="BN360" s="1286"/>
      <c r="BO360" s="1286"/>
      <c r="BP360" s="1286"/>
      <c r="BQ360" s="1286"/>
      <c r="BR360" s="1286"/>
      <c r="BS360" s="1286"/>
      <c r="BT360" s="1286"/>
      <c r="BU360" s="1286"/>
      <c r="BV360" s="1286"/>
      <c r="BW360" s="1286"/>
      <c r="BX360" s="1286"/>
      <c r="BY360" s="1286"/>
      <c r="BZ360" s="1286"/>
      <c r="CA360" s="1286"/>
      <c r="CB360" s="1286"/>
      <c r="CC360" s="1286"/>
      <c r="CD360" s="1286"/>
      <c r="CE360" s="1286"/>
      <c r="CF360" s="1286"/>
      <c r="CG360" s="1286"/>
      <c r="CH360" s="1269"/>
      <c r="CI360" s="1286"/>
      <c r="CJ360" s="1286"/>
      <c r="CK360" s="1286"/>
      <c r="CL360" s="1286"/>
      <c r="CM360" s="1286"/>
      <c r="CN360" s="1286"/>
      <c r="CO360" s="1286"/>
      <c r="CP360" s="1286"/>
      <c r="CQ360" s="1286"/>
      <c r="CR360" s="1286"/>
      <c r="CS360" s="1286"/>
      <c r="CT360" s="1286"/>
      <c r="CU360" s="1286"/>
      <c r="CV360" s="1286"/>
      <c r="CW360" s="1286"/>
      <c r="CX360" s="1286"/>
      <c r="CY360" s="1286"/>
      <c r="CZ360" s="1286"/>
      <c r="DA360" s="1286"/>
      <c r="DB360" s="1286"/>
      <c r="DC360" s="1286"/>
      <c r="DD360" s="1286"/>
      <c r="DE360" s="1286"/>
      <c r="DF360" s="1286"/>
      <c r="DG360" s="1286"/>
      <c r="DH360" s="1286"/>
      <c r="DI360" s="1286"/>
      <c r="DJ360" s="1286"/>
      <c r="DK360" s="1286"/>
      <c r="DL360" s="1286"/>
      <c r="DM360" s="1286"/>
      <c r="DN360" s="1286"/>
      <c r="DO360" s="1286"/>
      <c r="DP360" s="1286"/>
      <c r="DQ360" s="1286"/>
      <c r="DR360" s="1286"/>
      <c r="DS360" s="1286"/>
      <c r="DT360" s="1286"/>
      <c r="DU360" s="1286"/>
      <c r="DV360" s="1286"/>
      <c r="DW360" s="1286"/>
      <c r="DX360" s="1286"/>
      <c r="DY360" s="1286"/>
      <c r="DZ360" s="1286"/>
      <c r="EA360" s="1286"/>
      <c r="EB360" s="1206"/>
      <c r="EC360" s="1206"/>
      <c r="ED360" s="1206"/>
      <c r="EE360" s="1206"/>
      <c r="EF360" s="1206"/>
      <c r="EG360" s="1206"/>
      <c r="EH360" s="1206"/>
      <c r="EI360" s="1206"/>
      <c r="EJ360" s="1206"/>
      <c r="EK360" s="1206"/>
      <c r="EL360" s="1206"/>
      <c r="EM360" s="1313"/>
    </row>
    <row r="361" spans="2:143" s="1271" customFormat="1">
      <c r="B361" s="1263"/>
      <c r="C361" s="1264"/>
      <c r="D361" s="1265"/>
      <c r="E361" s="1265"/>
      <c r="F361" s="1285"/>
      <c r="G361" s="1264"/>
      <c r="H361" s="1264"/>
      <c r="I361" s="1285"/>
      <c r="J361" s="1285"/>
      <c r="K361" s="1285"/>
      <c r="L361" s="1285"/>
      <c r="M361" s="1285"/>
      <c r="N361" s="1285"/>
      <c r="O361" s="1285"/>
      <c r="P361" s="1285"/>
      <c r="Q361" s="1285"/>
      <c r="R361" s="1285"/>
      <c r="S361" s="1285"/>
      <c r="T361" s="1285"/>
      <c r="U361" s="1285"/>
      <c r="V361" s="1285"/>
      <c r="W361" s="1286"/>
      <c r="X361" s="1286"/>
      <c r="Y361" s="1286"/>
      <c r="Z361" s="1286"/>
      <c r="AA361" s="1286"/>
      <c r="AB361" s="1286"/>
      <c r="AC361" s="1286"/>
      <c r="AD361" s="1286"/>
      <c r="AE361" s="1286"/>
      <c r="AF361" s="1286"/>
      <c r="AG361" s="1286"/>
      <c r="AH361" s="1286"/>
      <c r="AI361" s="1286"/>
      <c r="AJ361" s="1286"/>
      <c r="AK361" s="1286"/>
      <c r="AL361" s="1286"/>
      <c r="AM361" s="1286"/>
      <c r="AN361" s="1286"/>
      <c r="AO361" s="1286"/>
      <c r="AP361" s="1286"/>
      <c r="AQ361" s="1286"/>
      <c r="AR361" s="1286"/>
      <c r="AS361" s="1286"/>
      <c r="AT361" s="1286"/>
      <c r="AU361" s="1286"/>
      <c r="AV361" s="1286"/>
      <c r="AW361" s="1286"/>
      <c r="AX361" s="1286"/>
      <c r="AY361" s="1286"/>
      <c r="AZ361" s="1286"/>
      <c r="BA361" s="1286"/>
      <c r="BB361" s="1286"/>
      <c r="BC361" s="1286"/>
      <c r="BD361" s="1286"/>
      <c r="BE361" s="1286"/>
      <c r="BF361" s="1286"/>
      <c r="BG361" s="1286"/>
      <c r="BH361" s="1286"/>
      <c r="BI361" s="1286"/>
      <c r="BJ361" s="1286"/>
      <c r="BK361" s="1286"/>
      <c r="BL361" s="1286"/>
      <c r="BM361" s="1286"/>
      <c r="BN361" s="1286"/>
      <c r="BO361" s="1286"/>
      <c r="BP361" s="1286"/>
      <c r="BQ361" s="1286"/>
      <c r="BR361" s="1286"/>
      <c r="BS361" s="1286"/>
      <c r="BT361" s="1286"/>
      <c r="BU361" s="1286"/>
      <c r="BV361" s="1286"/>
      <c r="BW361" s="1286"/>
      <c r="BX361" s="1286"/>
      <c r="BY361" s="1286"/>
      <c r="BZ361" s="1286"/>
      <c r="CA361" s="1286"/>
      <c r="CB361" s="1286"/>
      <c r="CC361" s="1286"/>
      <c r="CD361" s="1286"/>
      <c r="CE361" s="1286"/>
      <c r="CF361" s="1286"/>
      <c r="CG361" s="1286"/>
      <c r="CH361" s="1269"/>
      <c r="CI361" s="1286"/>
      <c r="CJ361" s="1286"/>
      <c r="CK361" s="1286"/>
      <c r="CL361" s="1286"/>
      <c r="CM361" s="1286"/>
      <c r="CN361" s="1286"/>
      <c r="CO361" s="1286"/>
      <c r="CP361" s="1286"/>
      <c r="CQ361" s="1286"/>
      <c r="CR361" s="1286"/>
      <c r="CS361" s="1286"/>
      <c r="CT361" s="1286"/>
      <c r="CU361" s="1286"/>
      <c r="CV361" s="1286"/>
      <c r="CW361" s="1286"/>
      <c r="CX361" s="1286"/>
      <c r="CY361" s="1286"/>
      <c r="CZ361" s="1286"/>
      <c r="DA361" s="1286"/>
      <c r="DB361" s="1286"/>
      <c r="DC361" s="1286"/>
      <c r="DD361" s="1286"/>
      <c r="DE361" s="1286"/>
      <c r="DF361" s="1286"/>
      <c r="DG361" s="1286"/>
      <c r="DH361" s="1286"/>
      <c r="DI361" s="1286"/>
      <c r="DJ361" s="1286"/>
      <c r="DK361" s="1286"/>
      <c r="DL361" s="1286"/>
      <c r="DM361" s="1286"/>
      <c r="DN361" s="1286"/>
      <c r="DO361" s="1286"/>
      <c r="DP361" s="1286"/>
      <c r="DQ361" s="1286"/>
      <c r="DR361" s="1286"/>
      <c r="DS361" s="1286"/>
      <c r="DT361" s="1286"/>
      <c r="DU361" s="1286"/>
      <c r="DV361" s="1286"/>
      <c r="DW361" s="1286"/>
      <c r="DX361" s="1286"/>
      <c r="DY361" s="1286"/>
      <c r="DZ361" s="1286"/>
      <c r="EA361" s="1286"/>
      <c r="EB361" s="1206"/>
      <c r="EC361" s="1206"/>
      <c r="ED361" s="1206"/>
      <c r="EE361" s="1206"/>
      <c r="EF361" s="1206"/>
      <c r="EG361" s="1206"/>
      <c r="EH361" s="1206"/>
      <c r="EI361" s="1206"/>
      <c r="EJ361" s="1206"/>
      <c r="EK361" s="1206"/>
      <c r="EL361" s="1206"/>
      <c r="EM361" s="1313"/>
    </row>
    <row r="362" spans="2:143" s="1271" customFormat="1">
      <c r="B362" s="1263"/>
      <c r="C362" s="1264"/>
      <c r="D362" s="1265"/>
      <c r="E362" s="1265"/>
      <c r="F362" s="1285"/>
      <c r="G362" s="1264"/>
      <c r="H362" s="1264"/>
      <c r="I362" s="1285"/>
      <c r="J362" s="1285"/>
      <c r="K362" s="1285"/>
      <c r="L362" s="1285"/>
      <c r="M362" s="1285"/>
      <c r="N362" s="1285"/>
      <c r="O362" s="1285"/>
      <c r="P362" s="1285"/>
      <c r="Q362" s="1285"/>
      <c r="R362" s="1285"/>
      <c r="S362" s="1285"/>
      <c r="T362" s="1285"/>
      <c r="U362" s="1285"/>
      <c r="V362" s="1285"/>
      <c r="W362" s="1286"/>
      <c r="X362" s="1286"/>
      <c r="Y362" s="1286"/>
      <c r="Z362" s="1286"/>
      <c r="AA362" s="1286"/>
      <c r="AB362" s="1286"/>
      <c r="AC362" s="1286"/>
      <c r="AD362" s="1286"/>
      <c r="AE362" s="1286"/>
      <c r="AF362" s="1286"/>
      <c r="AG362" s="1286"/>
      <c r="AH362" s="1286"/>
      <c r="AI362" s="1286"/>
      <c r="AJ362" s="1286"/>
      <c r="AK362" s="1286"/>
      <c r="AL362" s="1286"/>
      <c r="AM362" s="1286"/>
      <c r="AN362" s="1286"/>
      <c r="AO362" s="1286"/>
      <c r="AP362" s="1286"/>
      <c r="AQ362" s="1286"/>
      <c r="AR362" s="1286"/>
      <c r="AS362" s="1286"/>
      <c r="AT362" s="1286"/>
      <c r="AU362" s="1286"/>
      <c r="AV362" s="1286"/>
      <c r="AW362" s="1286"/>
      <c r="AX362" s="1286"/>
      <c r="AY362" s="1286"/>
      <c r="AZ362" s="1286"/>
      <c r="BA362" s="1286"/>
      <c r="BB362" s="1286"/>
      <c r="BC362" s="1286"/>
      <c r="BD362" s="1286"/>
      <c r="BE362" s="1286"/>
      <c r="BF362" s="1286"/>
      <c r="BG362" s="1286"/>
      <c r="BH362" s="1286"/>
      <c r="BI362" s="1286"/>
      <c r="BJ362" s="1286"/>
      <c r="BK362" s="1286"/>
      <c r="BL362" s="1286"/>
      <c r="BM362" s="1286"/>
      <c r="BN362" s="1286"/>
      <c r="BO362" s="1286"/>
      <c r="BP362" s="1286"/>
      <c r="BQ362" s="1286"/>
      <c r="BR362" s="1286"/>
      <c r="BS362" s="1286"/>
      <c r="BT362" s="1286"/>
      <c r="BU362" s="1286"/>
      <c r="BV362" s="1286"/>
      <c r="BW362" s="1286"/>
      <c r="BX362" s="1286"/>
      <c r="BY362" s="1286"/>
      <c r="BZ362" s="1286"/>
      <c r="CA362" s="1286"/>
      <c r="CB362" s="1286"/>
      <c r="CC362" s="1286"/>
      <c r="CD362" s="1286"/>
      <c r="CE362" s="1286"/>
      <c r="CF362" s="1286"/>
      <c r="CG362" s="1286"/>
      <c r="CH362" s="1269"/>
      <c r="CI362" s="1286"/>
      <c r="CJ362" s="1286"/>
      <c r="CK362" s="1286"/>
      <c r="CL362" s="1286"/>
      <c r="CM362" s="1286"/>
      <c r="CN362" s="1286"/>
      <c r="CO362" s="1286"/>
      <c r="CP362" s="1286"/>
      <c r="CQ362" s="1286"/>
      <c r="CR362" s="1286"/>
      <c r="CS362" s="1286"/>
      <c r="CT362" s="1286"/>
      <c r="CU362" s="1286"/>
      <c r="CV362" s="1286"/>
      <c r="CW362" s="1286"/>
      <c r="CX362" s="1286"/>
      <c r="CY362" s="1286"/>
      <c r="CZ362" s="1286"/>
      <c r="DA362" s="1286"/>
      <c r="DB362" s="1286"/>
      <c r="DC362" s="1286"/>
      <c r="DD362" s="1286"/>
      <c r="DE362" s="1286"/>
      <c r="DF362" s="1286"/>
      <c r="DG362" s="1286"/>
      <c r="DH362" s="1286"/>
      <c r="DI362" s="1286"/>
      <c r="DJ362" s="1286"/>
      <c r="DK362" s="1286"/>
      <c r="DL362" s="1286"/>
      <c r="DM362" s="1286"/>
      <c r="DN362" s="1286"/>
      <c r="DO362" s="1286"/>
      <c r="DP362" s="1286"/>
      <c r="DQ362" s="1286"/>
      <c r="DR362" s="1286"/>
      <c r="DS362" s="1286"/>
      <c r="DT362" s="1286"/>
      <c r="DU362" s="1286"/>
      <c r="DV362" s="1286"/>
      <c r="DW362" s="1286"/>
      <c r="DX362" s="1286"/>
      <c r="DY362" s="1286"/>
      <c r="DZ362" s="1286"/>
      <c r="EA362" s="1286"/>
      <c r="EB362" s="1206"/>
      <c r="EC362" s="1206"/>
      <c r="ED362" s="1206"/>
      <c r="EE362" s="1206"/>
      <c r="EF362" s="1206"/>
      <c r="EG362" s="1206"/>
      <c r="EH362" s="1206"/>
      <c r="EI362" s="1206"/>
      <c r="EJ362" s="1206"/>
      <c r="EK362" s="1206"/>
      <c r="EL362" s="1206"/>
      <c r="EM362" s="1313"/>
    </row>
    <row r="363" spans="2:143" s="1271" customFormat="1">
      <c r="B363" s="1263"/>
      <c r="C363" s="1264"/>
      <c r="D363" s="1265"/>
      <c r="E363" s="1265"/>
      <c r="F363" s="1285"/>
      <c r="G363" s="1264"/>
      <c r="H363" s="1264"/>
      <c r="I363" s="1285"/>
      <c r="J363" s="1285"/>
      <c r="K363" s="1285"/>
      <c r="L363" s="1285"/>
      <c r="M363" s="1285"/>
      <c r="N363" s="1285"/>
      <c r="O363" s="1285"/>
      <c r="P363" s="1285"/>
      <c r="Q363" s="1285"/>
      <c r="R363" s="1285"/>
      <c r="S363" s="1285"/>
      <c r="T363" s="1285"/>
      <c r="U363" s="1285"/>
      <c r="V363" s="1285"/>
      <c r="W363" s="1286"/>
      <c r="X363" s="1286"/>
      <c r="Y363" s="1286"/>
      <c r="Z363" s="1286"/>
      <c r="AA363" s="1286"/>
      <c r="AB363" s="1286"/>
      <c r="AC363" s="1286"/>
      <c r="AD363" s="1286"/>
      <c r="AE363" s="1286"/>
      <c r="AF363" s="1286"/>
      <c r="AG363" s="1286"/>
      <c r="AH363" s="1286"/>
      <c r="AI363" s="1286"/>
      <c r="AJ363" s="1286"/>
      <c r="AK363" s="1286"/>
      <c r="AL363" s="1286"/>
      <c r="AM363" s="1286"/>
      <c r="AN363" s="1286"/>
      <c r="AO363" s="1286"/>
      <c r="AP363" s="1286"/>
      <c r="AQ363" s="1286"/>
      <c r="AR363" s="1286"/>
      <c r="AS363" s="1286"/>
      <c r="AT363" s="1286"/>
      <c r="AU363" s="1286"/>
      <c r="AV363" s="1286"/>
      <c r="AW363" s="1286"/>
      <c r="AX363" s="1286"/>
      <c r="AY363" s="1286"/>
      <c r="AZ363" s="1286"/>
      <c r="BA363" s="1286"/>
      <c r="BB363" s="1286"/>
      <c r="BC363" s="1286"/>
      <c r="BD363" s="1286"/>
      <c r="BE363" s="1286"/>
      <c r="BF363" s="1286"/>
      <c r="BG363" s="1286"/>
      <c r="BH363" s="1286"/>
      <c r="BI363" s="1286"/>
      <c r="BJ363" s="1286"/>
      <c r="BK363" s="1286"/>
      <c r="BL363" s="1286"/>
      <c r="BM363" s="1286"/>
      <c r="BN363" s="1286"/>
      <c r="BO363" s="1286"/>
      <c r="BP363" s="1286"/>
      <c r="BQ363" s="1286"/>
      <c r="BR363" s="1286"/>
      <c r="BS363" s="1286"/>
      <c r="BT363" s="1286"/>
      <c r="BU363" s="1286"/>
      <c r="BV363" s="1286"/>
      <c r="BW363" s="1286"/>
      <c r="BX363" s="1286"/>
      <c r="BY363" s="1286"/>
      <c r="BZ363" s="1286"/>
      <c r="CA363" s="1286"/>
      <c r="CB363" s="1286"/>
      <c r="CC363" s="1286"/>
      <c r="CD363" s="1286"/>
      <c r="CE363" s="1286"/>
      <c r="CF363" s="1286"/>
      <c r="CG363" s="1286"/>
      <c r="CH363" s="1269"/>
      <c r="CI363" s="1286"/>
      <c r="CJ363" s="1286"/>
      <c r="CK363" s="1286"/>
      <c r="CL363" s="1286"/>
      <c r="CM363" s="1286"/>
      <c r="CN363" s="1286"/>
      <c r="CO363" s="1286"/>
      <c r="CP363" s="1286"/>
      <c r="CQ363" s="1286"/>
      <c r="CR363" s="1286"/>
      <c r="CS363" s="1286"/>
      <c r="CT363" s="1286"/>
      <c r="CU363" s="1286"/>
      <c r="CV363" s="1286"/>
      <c r="CW363" s="1286"/>
      <c r="CX363" s="1286"/>
      <c r="CY363" s="1286"/>
      <c r="CZ363" s="1286"/>
      <c r="DA363" s="1286"/>
      <c r="DB363" s="1286"/>
      <c r="DC363" s="1286"/>
      <c r="DD363" s="1286"/>
      <c r="DE363" s="1286"/>
      <c r="DF363" s="1286"/>
      <c r="DG363" s="1286"/>
      <c r="DH363" s="1286"/>
      <c r="DI363" s="1286"/>
      <c r="DJ363" s="1286"/>
      <c r="DK363" s="1286"/>
      <c r="DL363" s="1286"/>
      <c r="DM363" s="1286"/>
      <c r="DN363" s="1286"/>
      <c r="DO363" s="1286"/>
      <c r="DP363" s="1286"/>
      <c r="DQ363" s="1286"/>
      <c r="DR363" s="1286"/>
      <c r="DS363" s="1286"/>
      <c r="DT363" s="1286"/>
      <c r="DU363" s="1286"/>
      <c r="DV363" s="1286"/>
      <c r="DW363" s="1286"/>
      <c r="DX363" s="1286"/>
      <c r="DY363" s="1286"/>
      <c r="DZ363" s="1286"/>
      <c r="EA363" s="1286"/>
      <c r="EB363" s="1206"/>
      <c r="EC363" s="1206"/>
      <c r="ED363" s="1206"/>
      <c r="EE363" s="1206"/>
      <c r="EF363" s="1206"/>
      <c r="EG363" s="1206"/>
      <c r="EH363" s="1206"/>
      <c r="EI363" s="1206"/>
      <c r="EJ363" s="1206"/>
      <c r="EK363" s="1206"/>
      <c r="EL363" s="1206"/>
      <c r="EM363" s="1313"/>
    </row>
    <row r="364" spans="2:143" s="1271" customFormat="1">
      <c r="B364" s="1263"/>
      <c r="C364" s="1264"/>
      <c r="D364" s="1265"/>
      <c r="E364" s="1265"/>
      <c r="F364" s="1285"/>
      <c r="G364" s="1264"/>
      <c r="H364" s="1264"/>
      <c r="I364" s="1285"/>
      <c r="J364" s="1285"/>
      <c r="K364" s="1285"/>
      <c r="L364" s="1285"/>
      <c r="M364" s="1285"/>
      <c r="N364" s="1285"/>
      <c r="O364" s="1285"/>
      <c r="P364" s="1285"/>
      <c r="Q364" s="1285"/>
      <c r="R364" s="1285"/>
      <c r="S364" s="1285"/>
      <c r="T364" s="1285"/>
      <c r="U364" s="1285"/>
      <c r="V364" s="1285"/>
      <c r="W364" s="1286"/>
      <c r="X364" s="1286"/>
      <c r="Y364" s="1286"/>
      <c r="Z364" s="1286"/>
      <c r="AA364" s="1286"/>
      <c r="AB364" s="1286"/>
      <c r="AC364" s="1286"/>
      <c r="AD364" s="1286"/>
      <c r="AE364" s="1286"/>
      <c r="AF364" s="1286"/>
      <c r="AG364" s="1286"/>
      <c r="AH364" s="1286"/>
      <c r="AI364" s="1286"/>
      <c r="AJ364" s="1286"/>
      <c r="AK364" s="1286"/>
      <c r="AL364" s="1286"/>
      <c r="AM364" s="1286"/>
      <c r="AN364" s="1286"/>
      <c r="AO364" s="1286"/>
      <c r="AP364" s="1286"/>
      <c r="AQ364" s="1286"/>
      <c r="AR364" s="1286"/>
      <c r="AS364" s="1286"/>
      <c r="AT364" s="1286"/>
      <c r="AU364" s="1286"/>
      <c r="AV364" s="1286"/>
      <c r="AW364" s="1286"/>
      <c r="AX364" s="1286"/>
      <c r="AY364" s="1286"/>
      <c r="AZ364" s="1286"/>
      <c r="BA364" s="1286"/>
      <c r="BB364" s="1286"/>
      <c r="BC364" s="1286"/>
      <c r="BD364" s="1286"/>
      <c r="BE364" s="1286"/>
      <c r="BF364" s="1286"/>
      <c r="BG364" s="1286"/>
      <c r="BH364" s="1286"/>
      <c r="BI364" s="1286"/>
      <c r="BJ364" s="1286"/>
      <c r="BK364" s="1286"/>
      <c r="BL364" s="1286"/>
      <c r="BM364" s="1286"/>
      <c r="BN364" s="1286"/>
      <c r="BO364" s="1286"/>
      <c r="BP364" s="1286"/>
      <c r="BQ364" s="1286"/>
      <c r="BR364" s="1286"/>
      <c r="BS364" s="1286"/>
      <c r="BT364" s="1286"/>
      <c r="BU364" s="1286"/>
      <c r="BV364" s="1286"/>
      <c r="BW364" s="1286"/>
      <c r="BX364" s="1286"/>
      <c r="BY364" s="1286"/>
      <c r="BZ364" s="1286"/>
      <c r="CA364" s="1286"/>
      <c r="CB364" s="1286"/>
      <c r="CC364" s="1286"/>
      <c r="CD364" s="1286"/>
      <c r="CE364" s="1286"/>
      <c r="CF364" s="1286"/>
      <c r="CG364" s="1286"/>
      <c r="CH364" s="1269"/>
      <c r="CI364" s="1286"/>
      <c r="CJ364" s="1286"/>
      <c r="CK364" s="1286"/>
      <c r="CL364" s="1286"/>
      <c r="CM364" s="1286"/>
      <c r="CN364" s="1286"/>
      <c r="CO364" s="1286"/>
      <c r="CP364" s="1286"/>
      <c r="CQ364" s="1286"/>
      <c r="CR364" s="1286"/>
      <c r="CS364" s="1286"/>
      <c r="CT364" s="1286"/>
      <c r="CU364" s="1286"/>
      <c r="CV364" s="1286"/>
      <c r="CW364" s="1286"/>
      <c r="CX364" s="1286"/>
      <c r="CY364" s="1286"/>
      <c r="CZ364" s="1286"/>
      <c r="DA364" s="1286"/>
      <c r="DB364" s="1286"/>
      <c r="DC364" s="1286"/>
      <c r="DD364" s="1286"/>
      <c r="DE364" s="1286"/>
      <c r="DF364" s="1286"/>
      <c r="DG364" s="1286"/>
      <c r="DH364" s="1286"/>
      <c r="DI364" s="1286"/>
      <c r="DJ364" s="1286"/>
      <c r="DK364" s="1286"/>
      <c r="DL364" s="1286"/>
      <c r="DM364" s="1286"/>
      <c r="DN364" s="1286"/>
      <c r="DO364" s="1286"/>
      <c r="DP364" s="1286"/>
      <c r="DQ364" s="1286"/>
      <c r="DR364" s="1286"/>
      <c r="DS364" s="1286"/>
      <c r="DT364" s="1286"/>
      <c r="DU364" s="1286"/>
      <c r="DV364" s="1286"/>
      <c r="DW364" s="1286"/>
      <c r="DX364" s="1286"/>
      <c r="DY364" s="1286"/>
      <c r="DZ364" s="1286"/>
      <c r="EA364" s="1286"/>
      <c r="EB364" s="1206"/>
      <c r="EC364" s="1206"/>
      <c r="ED364" s="1206"/>
      <c r="EE364" s="1206"/>
      <c r="EF364" s="1206"/>
      <c r="EG364" s="1206"/>
      <c r="EH364" s="1206"/>
      <c r="EI364" s="1206"/>
      <c r="EJ364" s="1206"/>
      <c r="EK364" s="1206"/>
      <c r="EL364" s="1206"/>
      <c r="EM364" s="1313"/>
    </row>
    <row r="365" spans="2:143" s="1271" customFormat="1">
      <c r="B365" s="1263"/>
      <c r="C365" s="1264"/>
      <c r="D365" s="1265"/>
      <c r="E365" s="1265"/>
      <c r="F365" s="1285"/>
      <c r="G365" s="1264"/>
      <c r="H365" s="1264"/>
      <c r="I365" s="1285"/>
      <c r="J365" s="1285"/>
      <c r="K365" s="1285"/>
      <c r="L365" s="1285"/>
      <c r="M365" s="1285"/>
      <c r="N365" s="1285"/>
      <c r="O365" s="1285"/>
      <c r="P365" s="1285"/>
      <c r="Q365" s="1285"/>
      <c r="R365" s="1285"/>
      <c r="S365" s="1285"/>
      <c r="T365" s="1285"/>
      <c r="U365" s="1285"/>
      <c r="V365" s="1285"/>
      <c r="W365" s="1286"/>
      <c r="X365" s="1286"/>
      <c r="Y365" s="1286"/>
      <c r="Z365" s="1286"/>
      <c r="AA365" s="1286"/>
      <c r="AB365" s="1286"/>
      <c r="AC365" s="1286"/>
      <c r="AD365" s="1286"/>
      <c r="AE365" s="1286"/>
      <c r="AF365" s="1286"/>
      <c r="AG365" s="1286"/>
      <c r="AH365" s="1286"/>
      <c r="AI365" s="1286"/>
      <c r="AJ365" s="1286"/>
      <c r="AK365" s="1286"/>
      <c r="AL365" s="1286"/>
      <c r="AM365" s="1286"/>
      <c r="AN365" s="1286"/>
      <c r="AO365" s="1286"/>
      <c r="AP365" s="1286"/>
      <c r="AQ365" s="1286"/>
      <c r="AR365" s="1286"/>
      <c r="AS365" s="1286"/>
      <c r="AT365" s="1286"/>
      <c r="AU365" s="1286"/>
      <c r="AV365" s="1286"/>
      <c r="AW365" s="1286"/>
      <c r="AX365" s="1286"/>
      <c r="AY365" s="1286"/>
      <c r="AZ365" s="1286"/>
      <c r="BA365" s="1286"/>
      <c r="BB365" s="1286"/>
      <c r="BC365" s="1286"/>
      <c r="BD365" s="1286"/>
      <c r="BE365" s="1286"/>
      <c r="BF365" s="1286"/>
      <c r="BG365" s="1286"/>
      <c r="BH365" s="1286"/>
      <c r="BI365" s="1286"/>
      <c r="BJ365" s="1286"/>
      <c r="BK365" s="1286"/>
      <c r="BL365" s="1286"/>
      <c r="BM365" s="1286"/>
      <c r="BN365" s="1286"/>
      <c r="BO365" s="1286"/>
      <c r="BP365" s="1286"/>
      <c r="BQ365" s="1286"/>
      <c r="BR365" s="1286"/>
      <c r="BS365" s="1286"/>
      <c r="BT365" s="1286"/>
      <c r="BU365" s="1286"/>
      <c r="BV365" s="1286"/>
      <c r="BW365" s="1286"/>
      <c r="BX365" s="1286"/>
      <c r="BY365" s="1286"/>
      <c r="BZ365" s="1286"/>
      <c r="CA365" s="1286"/>
      <c r="CB365" s="1286"/>
      <c r="CC365" s="1286"/>
      <c r="CD365" s="1286"/>
      <c r="CE365" s="1286"/>
      <c r="CF365" s="1286"/>
      <c r="CG365" s="1286"/>
      <c r="CH365" s="1269"/>
      <c r="CI365" s="1286"/>
      <c r="CJ365" s="1286"/>
      <c r="CK365" s="1286"/>
      <c r="CL365" s="1286"/>
      <c r="CM365" s="1286"/>
      <c r="CN365" s="1286"/>
      <c r="CO365" s="1286"/>
      <c r="CP365" s="1286"/>
      <c r="CQ365" s="1286"/>
      <c r="CR365" s="1286"/>
      <c r="CS365" s="1286"/>
      <c r="CT365" s="1286"/>
      <c r="CU365" s="1286"/>
      <c r="CV365" s="1286"/>
      <c r="CW365" s="1286"/>
      <c r="CX365" s="1286"/>
      <c r="CY365" s="1286"/>
      <c r="CZ365" s="1286"/>
      <c r="DA365" s="1286"/>
      <c r="DB365" s="1286"/>
      <c r="DC365" s="1286"/>
      <c r="DD365" s="1286"/>
      <c r="DE365" s="1286"/>
      <c r="DF365" s="1286"/>
      <c r="DG365" s="1286"/>
      <c r="DH365" s="1286"/>
      <c r="DI365" s="1286"/>
      <c r="DJ365" s="1286"/>
      <c r="DK365" s="1286"/>
      <c r="DL365" s="1286"/>
      <c r="DM365" s="1286"/>
      <c r="DN365" s="1286"/>
      <c r="DO365" s="1286"/>
      <c r="DP365" s="1286"/>
      <c r="DQ365" s="1286"/>
      <c r="DR365" s="1286"/>
      <c r="DS365" s="1286"/>
      <c r="DT365" s="1286"/>
      <c r="DU365" s="1286"/>
      <c r="DV365" s="1286"/>
      <c r="DW365" s="1286"/>
      <c r="DX365" s="1286"/>
      <c r="DY365" s="1286"/>
      <c r="DZ365" s="1286"/>
      <c r="EA365" s="1286"/>
      <c r="EB365" s="1206"/>
      <c r="EC365" s="1206"/>
      <c r="ED365" s="1206"/>
      <c r="EE365" s="1206"/>
      <c r="EF365" s="1206"/>
      <c r="EG365" s="1206"/>
      <c r="EH365" s="1206"/>
      <c r="EI365" s="1206"/>
      <c r="EJ365" s="1206"/>
      <c r="EK365" s="1206"/>
      <c r="EL365" s="1206"/>
      <c r="EM365" s="1313"/>
    </row>
    <row r="366" spans="2:143" s="1271" customFormat="1">
      <c r="B366" s="1263"/>
      <c r="C366" s="1264"/>
      <c r="D366" s="1265"/>
      <c r="E366" s="1265"/>
      <c r="F366" s="1285"/>
      <c r="G366" s="1264"/>
      <c r="H366" s="1264"/>
      <c r="I366" s="1285"/>
      <c r="J366" s="1285"/>
      <c r="K366" s="1285"/>
      <c r="L366" s="1285"/>
      <c r="M366" s="1285"/>
      <c r="N366" s="1285"/>
      <c r="O366" s="1285"/>
      <c r="P366" s="1285"/>
      <c r="Q366" s="1285"/>
      <c r="R366" s="1285"/>
      <c r="S366" s="1285"/>
      <c r="T366" s="1285"/>
      <c r="U366" s="1285"/>
      <c r="V366" s="1285"/>
      <c r="W366" s="1286"/>
      <c r="X366" s="1286"/>
      <c r="Y366" s="1286"/>
      <c r="Z366" s="1286"/>
      <c r="AA366" s="1286"/>
      <c r="AB366" s="1286"/>
      <c r="AC366" s="1286"/>
      <c r="AD366" s="1286"/>
      <c r="AE366" s="1286"/>
      <c r="AF366" s="1286"/>
      <c r="AG366" s="1286"/>
      <c r="AH366" s="1286"/>
      <c r="AI366" s="1286"/>
      <c r="AJ366" s="1286"/>
      <c r="AK366" s="1286"/>
      <c r="AL366" s="1286"/>
      <c r="AM366" s="1286"/>
      <c r="AN366" s="1286"/>
      <c r="AO366" s="1286"/>
      <c r="AP366" s="1286"/>
      <c r="AQ366" s="1286"/>
      <c r="AR366" s="1286"/>
      <c r="AS366" s="1286"/>
      <c r="AT366" s="1286"/>
      <c r="AU366" s="1286"/>
      <c r="AV366" s="1286"/>
      <c r="AW366" s="1286"/>
      <c r="AX366" s="1286"/>
      <c r="AY366" s="1286"/>
      <c r="AZ366" s="1286"/>
      <c r="BA366" s="1286"/>
      <c r="BB366" s="1286"/>
      <c r="BC366" s="1286"/>
      <c r="BD366" s="1286"/>
      <c r="BE366" s="1286"/>
      <c r="BF366" s="1286"/>
      <c r="BG366" s="1286"/>
      <c r="BH366" s="1286"/>
      <c r="BI366" s="1286"/>
      <c r="BJ366" s="1286"/>
      <c r="BK366" s="1286"/>
      <c r="BL366" s="1286"/>
      <c r="BM366" s="1286"/>
      <c r="BN366" s="1286"/>
      <c r="BO366" s="1286"/>
      <c r="BP366" s="1286"/>
      <c r="BQ366" s="1286"/>
      <c r="BR366" s="1286"/>
      <c r="BS366" s="1286"/>
      <c r="BT366" s="1286"/>
      <c r="BU366" s="1286"/>
      <c r="BV366" s="1286"/>
      <c r="BW366" s="1286"/>
      <c r="BX366" s="1286"/>
      <c r="BY366" s="1286"/>
      <c r="BZ366" s="1286"/>
      <c r="CA366" s="1286"/>
      <c r="CB366" s="1286"/>
      <c r="CC366" s="1286"/>
      <c r="CD366" s="1286"/>
      <c r="CE366" s="1286"/>
      <c r="CF366" s="1286"/>
      <c r="CG366" s="1286"/>
      <c r="CH366" s="1269"/>
      <c r="CI366" s="1286"/>
      <c r="CJ366" s="1286"/>
      <c r="CK366" s="1286"/>
      <c r="CL366" s="1286"/>
      <c r="CM366" s="1286"/>
      <c r="CN366" s="1286"/>
      <c r="CO366" s="1286"/>
      <c r="CP366" s="1286"/>
      <c r="CQ366" s="1286"/>
      <c r="CR366" s="1286"/>
      <c r="CS366" s="1286"/>
      <c r="CT366" s="1286"/>
      <c r="CU366" s="1286"/>
      <c r="CV366" s="1286"/>
      <c r="CW366" s="1286"/>
      <c r="CX366" s="1286"/>
      <c r="CY366" s="1286"/>
      <c r="CZ366" s="1286"/>
      <c r="DA366" s="1286"/>
      <c r="DB366" s="1286"/>
      <c r="DC366" s="1286"/>
      <c r="DD366" s="1286"/>
      <c r="DE366" s="1286"/>
      <c r="DF366" s="1286"/>
      <c r="DG366" s="1286"/>
      <c r="DH366" s="1286"/>
      <c r="DI366" s="1286"/>
      <c r="DJ366" s="1286"/>
      <c r="DK366" s="1286"/>
      <c r="DL366" s="1286"/>
      <c r="DM366" s="1286"/>
      <c r="DN366" s="1286"/>
      <c r="DO366" s="1286"/>
      <c r="DP366" s="1286"/>
      <c r="DQ366" s="1286"/>
      <c r="DR366" s="1286"/>
      <c r="DS366" s="1286"/>
      <c r="DT366" s="1286"/>
      <c r="DU366" s="1286"/>
      <c r="DV366" s="1286"/>
      <c r="DW366" s="1286"/>
      <c r="DX366" s="1286"/>
      <c r="DY366" s="1286"/>
      <c r="DZ366" s="1286"/>
      <c r="EA366" s="1286"/>
      <c r="EB366" s="1206"/>
      <c r="EC366" s="1206"/>
      <c r="ED366" s="1206"/>
      <c r="EE366" s="1206"/>
      <c r="EF366" s="1206"/>
      <c r="EG366" s="1206"/>
      <c r="EH366" s="1206"/>
      <c r="EI366" s="1206"/>
      <c r="EJ366" s="1206"/>
      <c r="EK366" s="1206"/>
      <c r="EL366" s="1206"/>
      <c r="EM366" s="1313"/>
    </row>
    <row r="367" spans="2:143" s="1271" customFormat="1">
      <c r="B367" s="1263"/>
      <c r="C367" s="1264"/>
      <c r="D367" s="1265"/>
      <c r="E367" s="1265"/>
      <c r="F367" s="1285"/>
      <c r="G367" s="1264"/>
      <c r="H367" s="1264"/>
      <c r="I367" s="1285"/>
      <c r="J367" s="1285"/>
      <c r="K367" s="1285"/>
      <c r="L367" s="1285"/>
      <c r="M367" s="1285"/>
      <c r="N367" s="1285"/>
      <c r="O367" s="1285"/>
      <c r="P367" s="1285"/>
      <c r="Q367" s="1285"/>
      <c r="R367" s="1285"/>
      <c r="S367" s="1285"/>
      <c r="T367" s="1285"/>
      <c r="U367" s="1285"/>
      <c r="V367" s="1285"/>
      <c r="W367" s="1286"/>
      <c r="X367" s="1286"/>
      <c r="Y367" s="1286"/>
      <c r="Z367" s="1286"/>
      <c r="AA367" s="1286"/>
      <c r="AB367" s="1286"/>
      <c r="AC367" s="1286"/>
      <c r="AD367" s="1286"/>
      <c r="AE367" s="1286"/>
      <c r="AF367" s="1286"/>
      <c r="AG367" s="1286"/>
      <c r="AH367" s="1286"/>
      <c r="AI367" s="1286"/>
      <c r="AJ367" s="1286"/>
      <c r="AK367" s="1286"/>
      <c r="AL367" s="1286"/>
      <c r="AM367" s="1286"/>
      <c r="AN367" s="1286"/>
      <c r="AO367" s="1286"/>
      <c r="AP367" s="1286"/>
      <c r="AQ367" s="1286"/>
      <c r="AR367" s="1286"/>
      <c r="AS367" s="1286"/>
      <c r="AT367" s="1286"/>
      <c r="AU367" s="1286"/>
      <c r="AV367" s="1286"/>
      <c r="AW367" s="1286"/>
      <c r="AX367" s="1286"/>
      <c r="AY367" s="1286"/>
      <c r="AZ367" s="1286"/>
      <c r="BA367" s="1286"/>
      <c r="BB367" s="1286"/>
      <c r="BC367" s="1286"/>
      <c r="BD367" s="1286"/>
      <c r="BE367" s="1286"/>
      <c r="BF367" s="1286"/>
      <c r="BG367" s="1286"/>
      <c r="BH367" s="1286"/>
      <c r="BI367" s="1286"/>
      <c r="BJ367" s="1286"/>
      <c r="BK367" s="1286"/>
      <c r="BL367" s="1286"/>
      <c r="BM367" s="1286"/>
      <c r="BN367" s="1286"/>
      <c r="BO367" s="1286"/>
      <c r="BP367" s="1286"/>
      <c r="BQ367" s="1286"/>
      <c r="BR367" s="1286"/>
      <c r="BS367" s="1286"/>
      <c r="BT367" s="1286"/>
      <c r="BU367" s="1286"/>
      <c r="BV367" s="1286"/>
      <c r="BW367" s="1286"/>
      <c r="BX367" s="1286"/>
      <c r="BY367" s="1286"/>
      <c r="BZ367" s="1286"/>
      <c r="CA367" s="1286"/>
      <c r="CB367" s="1286"/>
      <c r="CC367" s="1286"/>
      <c r="CD367" s="1286"/>
      <c r="CE367" s="1286"/>
      <c r="CF367" s="1286"/>
      <c r="CG367" s="1286"/>
      <c r="CH367" s="1269"/>
      <c r="CI367" s="1286"/>
      <c r="CJ367" s="1286"/>
      <c r="CK367" s="1286"/>
      <c r="CL367" s="1286"/>
      <c r="CM367" s="1286"/>
      <c r="CN367" s="1286"/>
      <c r="CO367" s="1286"/>
      <c r="CP367" s="1286"/>
      <c r="CQ367" s="1286"/>
      <c r="CR367" s="1286"/>
      <c r="CS367" s="1286"/>
      <c r="CT367" s="1286"/>
      <c r="CU367" s="1286"/>
      <c r="CV367" s="1286"/>
      <c r="CW367" s="1286"/>
      <c r="CX367" s="1286"/>
      <c r="CY367" s="1286"/>
      <c r="CZ367" s="1286"/>
      <c r="DA367" s="1286"/>
      <c r="DB367" s="1286"/>
      <c r="DC367" s="1286"/>
      <c r="DD367" s="1286"/>
      <c r="DE367" s="1286"/>
      <c r="DF367" s="1286"/>
      <c r="DG367" s="1286"/>
      <c r="DH367" s="1286"/>
      <c r="DI367" s="1286"/>
      <c r="DJ367" s="1286"/>
      <c r="DK367" s="1286"/>
      <c r="DL367" s="1286"/>
      <c r="DM367" s="1286"/>
      <c r="DN367" s="1286"/>
      <c r="DO367" s="1286"/>
      <c r="DP367" s="1286"/>
      <c r="DQ367" s="1286"/>
      <c r="DR367" s="1286"/>
      <c r="DS367" s="1286"/>
      <c r="DT367" s="1286"/>
      <c r="DU367" s="1286"/>
      <c r="DV367" s="1286"/>
      <c r="DW367" s="1286"/>
      <c r="DX367" s="1286"/>
      <c r="DY367" s="1286"/>
      <c r="DZ367" s="1286"/>
      <c r="EA367" s="1286"/>
      <c r="EB367" s="1206"/>
      <c r="EC367" s="1206"/>
      <c r="ED367" s="1206"/>
      <c r="EE367" s="1206"/>
      <c r="EF367" s="1206"/>
      <c r="EG367" s="1206"/>
      <c r="EH367" s="1206"/>
      <c r="EI367" s="1206"/>
      <c r="EJ367" s="1206"/>
      <c r="EK367" s="1206"/>
      <c r="EL367" s="1206"/>
      <c r="EM367" s="1313"/>
    </row>
    <row r="368" spans="2:143" s="1271" customFormat="1">
      <c r="B368" s="1263"/>
      <c r="C368" s="1264"/>
      <c r="D368" s="1265"/>
      <c r="E368" s="1265"/>
      <c r="F368" s="1285"/>
      <c r="G368" s="1264"/>
      <c r="H368" s="1264"/>
      <c r="I368" s="1285"/>
      <c r="J368" s="1285"/>
      <c r="K368" s="1285"/>
      <c r="L368" s="1285"/>
      <c r="M368" s="1285"/>
      <c r="N368" s="1285"/>
      <c r="O368" s="1285"/>
      <c r="P368" s="1285"/>
      <c r="Q368" s="1285"/>
      <c r="R368" s="1285"/>
      <c r="S368" s="1285"/>
      <c r="T368" s="1285"/>
      <c r="U368" s="1285"/>
      <c r="V368" s="1285"/>
      <c r="W368" s="1286"/>
      <c r="X368" s="1286"/>
      <c r="Y368" s="1286"/>
      <c r="Z368" s="1286"/>
      <c r="AA368" s="1286"/>
      <c r="AB368" s="1286"/>
      <c r="AC368" s="1286"/>
      <c r="AD368" s="1286"/>
      <c r="AE368" s="1286"/>
      <c r="AF368" s="1286"/>
      <c r="AG368" s="1286"/>
      <c r="AH368" s="1286"/>
      <c r="AI368" s="1286"/>
      <c r="AJ368" s="1286"/>
      <c r="AK368" s="1286"/>
      <c r="AL368" s="1286"/>
      <c r="AM368" s="1286"/>
      <c r="AN368" s="1286"/>
      <c r="AO368" s="1286"/>
      <c r="AP368" s="1286"/>
      <c r="AQ368" s="1286"/>
      <c r="AR368" s="1286"/>
      <c r="AS368" s="1286"/>
      <c r="AT368" s="1286"/>
      <c r="AU368" s="1286"/>
      <c r="AV368" s="1286"/>
      <c r="AW368" s="1286"/>
      <c r="AX368" s="1286"/>
      <c r="AY368" s="1286"/>
      <c r="AZ368" s="1286"/>
      <c r="BA368" s="1286"/>
      <c r="BB368" s="1286"/>
      <c r="BC368" s="1286"/>
      <c r="BD368" s="1286"/>
      <c r="BE368" s="1286"/>
      <c r="BF368" s="1286"/>
      <c r="BG368" s="1286"/>
      <c r="BH368" s="1286"/>
      <c r="BI368" s="1286"/>
      <c r="BJ368" s="1286"/>
      <c r="BK368" s="1286"/>
      <c r="BL368" s="1286"/>
      <c r="BM368" s="1286"/>
      <c r="BN368" s="1286"/>
      <c r="BO368" s="1286"/>
      <c r="BP368" s="1286"/>
      <c r="BQ368" s="1286"/>
      <c r="BR368" s="1286"/>
      <c r="BS368" s="1286"/>
      <c r="BT368" s="1286"/>
      <c r="BU368" s="1286"/>
      <c r="BV368" s="1286"/>
      <c r="BW368" s="1286"/>
      <c r="BX368" s="1286"/>
      <c r="BY368" s="1286"/>
      <c r="BZ368" s="1286"/>
      <c r="CA368" s="1286"/>
      <c r="CB368" s="1286"/>
      <c r="CC368" s="1286"/>
      <c r="CD368" s="1286"/>
      <c r="CE368" s="1286"/>
      <c r="CF368" s="1286"/>
      <c r="CG368" s="1286"/>
      <c r="CH368" s="1269"/>
      <c r="CI368" s="1286"/>
      <c r="CJ368" s="1286"/>
      <c r="CK368" s="1286"/>
      <c r="CL368" s="1286"/>
      <c r="CM368" s="1286"/>
      <c r="CN368" s="1286"/>
      <c r="CO368" s="1286"/>
      <c r="CP368" s="1286"/>
      <c r="CQ368" s="1286"/>
      <c r="CR368" s="1286"/>
      <c r="CS368" s="1286"/>
      <c r="CT368" s="1286"/>
      <c r="CU368" s="1286"/>
      <c r="CV368" s="1286"/>
      <c r="CW368" s="1286"/>
      <c r="CX368" s="1286"/>
      <c r="CY368" s="1286"/>
      <c r="CZ368" s="1286"/>
      <c r="DA368" s="1286"/>
      <c r="DB368" s="1286"/>
      <c r="DC368" s="1286"/>
      <c r="DD368" s="1286"/>
      <c r="DE368" s="1286"/>
      <c r="DF368" s="1286"/>
      <c r="DG368" s="1286"/>
      <c r="DH368" s="1286"/>
      <c r="DI368" s="1286"/>
      <c r="DJ368" s="1286"/>
      <c r="DK368" s="1286"/>
      <c r="DL368" s="1286"/>
      <c r="DM368" s="1286"/>
      <c r="DN368" s="1286"/>
      <c r="DO368" s="1286"/>
      <c r="DP368" s="1286"/>
      <c r="DQ368" s="1286"/>
      <c r="DR368" s="1286"/>
      <c r="DS368" s="1286"/>
      <c r="DT368" s="1286"/>
      <c r="DU368" s="1286"/>
      <c r="DV368" s="1286"/>
      <c r="DW368" s="1286"/>
      <c r="DX368" s="1286"/>
      <c r="DY368" s="1286"/>
      <c r="DZ368" s="1286"/>
      <c r="EA368" s="1286"/>
      <c r="EB368" s="1206"/>
      <c r="EC368" s="1206"/>
      <c r="ED368" s="1206"/>
      <c r="EE368" s="1206"/>
      <c r="EF368" s="1206"/>
      <c r="EG368" s="1206"/>
      <c r="EH368" s="1206"/>
      <c r="EI368" s="1206"/>
      <c r="EJ368" s="1206"/>
      <c r="EK368" s="1206"/>
      <c r="EL368" s="1206"/>
      <c r="EM368" s="1313"/>
    </row>
    <row r="369" spans="2:143" s="1271" customFormat="1">
      <c r="B369" s="1263"/>
      <c r="C369" s="1264"/>
      <c r="D369" s="1265"/>
      <c r="E369" s="1265"/>
      <c r="F369" s="1285"/>
      <c r="G369" s="1264"/>
      <c r="H369" s="1264"/>
      <c r="I369" s="1285"/>
      <c r="J369" s="1285"/>
      <c r="K369" s="1285"/>
      <c r="L369" s="1285"/>
      <c r="M369" s="1285"/>
      <c r="N369" s="1285"/>
      <c r="O369" s="1285"/>
      <c r="P369" s="1285"/>
      <c r="Q369" s="1285"/>
      <c r="R369" s="1285"/>
      <c r="S369" s="1285"/>
      <c r="T369" s="1285"/>
      <c r="U369" s="1285"/>
      <c r="V369" s="1285"/>
      <c r="W369" s="1286"/>
      <c r="X369" s="1286"/>
      <c r="Y369" s="1286"/>
      <c r="Z369" s="1286"/>
      <c r="AA369" s="1286"/>
      <c r="AB369" s="1286"/>
      <c r="AC369" s="1286"/>
      <c r="AD369" s="1286"/>
      <c r="AE369" s="1286"/>
      <c r="AF369" s="1286"/>
      <c r="AG369" s="1286"/>
      <c r="AH369" s="1286"/>
      <c r="AI369" s="1286"/>
      <c r="AJ369" s="1286"/>
      <c r="AK369" s="1286"/>
      <c r="AL369" s="1286"/>
      <c r="AM369" s="1286"/>
      <c r="AN369" s="1286"/>
      <c r="AO369" s="1286"/>
      <c r="AP369" s="1286"/>
      <c r="AQ369" s="1286"/>
      <c r="AR369" s="1286"/>
      <c r="AS369" s="1286"/>
      <c r="AT369" s="1286"/>
      <c r="AU369" s="1286"/>
      <c r="AV369" s="1286"/>
      <c r="AW369" s="1286"/>
      <c r="AX369" s="1286"/>
      <c r="AY369" s="1286"/>
      <c r="AZ369" s="1286"/>
      <c r="BA369" s="1286"/>
      <c r="BB369" s="1286"/>
      <c r="BC369" s="1286"/>
      <c r="BD369" s="1286"/>
      <c r="BE369" s="1286"/>
      <c r="BF369" s="1286"/>
      <c r="BG369" s="1286"/>
      <c r="BH369" s="1286"/>
      <c r="BI369" s="1286"/>
      <c r="BJ369" s="1286"/>
      <c r="BK369" s="1286"/>
      <c r="BL369" s="1286"/>
      <c r="BM369" s="1286"/>
      <c r="BN369" s="1286"/>
      <c r="BO369" s="1286"/>
      <c r="BP369" s="1286"/>
      <c r="BQ369" s="1286"/>
      <c r="BR369" s="1286"/>
      <c r="BS369" s="1286"/>
      <c r="BT369" s="1286"/>
      <c r="BU369" s="1286"/>
      <c r="BV369" s="1286"/>
      <c r="BW369" s="1286"/>
      <c r="BX369" s="1286"/>
      <c r="BY369" s="1286"/>
      <c r="BZ369" s="1286"/>
      <c r="CA369" s="1286"/>
      <c r="CB369" s="1286"/>
      <c r="CC369" s="1286"/>
      <c r="CD369" s="1286"/>
      <c r="CE369" s="1286"/>
      <c r="CF369" s="1286"/>
      <c r="CG369" s="1286"/>
      <c r="CH369" s="1269"/>
      <c r="CI369" s="1286"/>
      <c r="CJ369" s="1286"/>
      <c r="CK369" s="1286"/>
      <c r="CL369" s="1286"/>
      <c r="CM369" s="1286"/>
      <c r="CN369" s="1286"/>
      <c r="CO369" s="1286"/>
      <c r="CP369" s="1286"/>
      <c r="CQ369" s="1286"/>
      <c r="CR369" s="1286"/>
      <c r="CS369" s="1286"/>
      <c r="CT369" s="1286"/>
      <c r="CU369" s="1286"/>
      <c r="CV369" s="1286"/>
      <c r="CW369" s="1286"/>
      <c r="CX369" s="1286"/>
      <c r="CY369" s="1286"/>
      <c r="CZ369" s="1286"/>
      <c r="DA369" s="1286"/>
      <c r="DB369" s="1286"/>
      <c r="DC369" s="1286"/>
      <c r="DD369" s="1286"/>
      <c r="DE369" s="1286"/>
      <c r="DF369" s="1286"/>
      <c r="DG369" s="1286"/>
      <c r="DH369" s="1286"/>
      <c r="DI369" s="1286"/>
      <c r="DJ369" s="1286"/>
      <c r="DK369" s="1286"/>
      <c r="DL369" s="1286"/>
      <c r="DM369" s="1286"/>
      <c r="DN369" s="1286"/>
      <c r="DO369" s="1286"/>
      <c r="DP369" s="1286"/>
      <c r="DQ369" s="1286"/>
      <c r="DR369" s="1286"/>
      <c r="DS369" s="1286"/>
      <c r="DT369" s="1286"/>
      <c r="DU369" s="1286"/>
      <c r="DV369" s="1286"/>
      <c r="DW369" s="1286"/>
      <c r="DX369" s="1286"/>
      <c r="DY369" s="1286"/>
      <c r="DZ369" s="1286"/>
      <c r="EA369" s="1286"/>
      <c r="EB369" s="1206"/>
      <c r="EC369" s="1206"/>
      <c r="ED369" s="1206"/>
      <c r="EE369" s="1206"/>
      <c r="EF369" s="1206"/>
      <c r="EG369" s="1206"/>
      <c r="EH369" s="1206"/>
      <c r="EI369" s="1206"/>
      <c r="EJ369" s="1206"/>
      <c r="EK369" s="1206"/>
      <c r="EL369" s="1206"/>
      <c r="EM369" s="1313"/>
    </row>
    <row r="370" spans="2:143" s="1271" customFormat="1">
      <c r="B370" s="1263"/>
      <c r="C370" s="1264"/>
      <c r="D370" s="1265"/>
      <c r="E370" s="1265"/>
      <c r="F370" s="1285"/>
      <c r="G370" s="1264"/>
      <c r="H370" s="1264"/>
      <c r="I370" s="1285"/>
      <c r="J370" s="1285"/>
      <c r="K370" s="1285"/>
      <c r="L370" s="1285"/>
      <c r="M370" s="1285"/>
      <c r="N370" s="1285"/>
      <c r="O370" s="1285"/>
      <c r="P370" s="1285"/>
      <c r="Q370" s="1285"/>
      <c r="R370" s="1285"/>
      <c r="S370" s="1285"/>
      <c r="T370" s="1285"/>
      <c r="U370" s="1285"/>
      <c r="V370" s="1285"/>
      <c r="W370" s="1286"/>
      <c r="X370" s="1286"/>
      <c r="Y370" s="1286"/>
      <c r="Z370" s="1286"/>
      <c r="AA370" s="1286"/>
      <c r="AB370" s="1286"/>
      <c r="AC370" s="1286"/>
      <c r="AD370" s="1286"/>
      <c r="AE370" s="1286"/>
      <c r="AF370" s="1286"/>
      <c r="AG370" s="1286"/>
      <c r="AH370" s="1286"/>
      <c r="AI370" s="1286"/>
      <c r="AJ370" s="1286"/>
      <c r="AK370" s="1286"/>
      <c r="AL370" s="1286"/>
      <c r="AM370" s="1286"/>
      <c r="AN370" s="1286"/>
      <c r="AO370" s="1286"/>
      <c r="AP370" s="1286"/>
      <c r="AQ370" s="1286"/>
      <c r="AR370" s="1286"/>
      <c r="AS370" s="1286"/>
      <c r="AT370" s="1286"/>
      <c r="AU370" s="1286"/>
      <c r="AV370" s="1286"/>
      <c r="AW370" s="1286"/>
      <c r="AX370" s="1286"/>
      <c r="AY370" s="1286"/>
      <c r="AZ370" s="1286"/>
      <c r="BA370" s="1286"/>
      <c r="BB370" s="1286"/>
      <c r="BC370" s="1286"/>
      <c r="BD370" s="1286"/>
      <c r="BE370" s="1286"/>
      <c r="BF370" s="1286"/>
      <c r="BG370" s="1286"/>
      <c r="BH370" s="1286"/>
      <c r="BI370" s="1286"/>
      <c r="BJ370" s="1286"/>
      <c r="BK370" s="1286"/>
      <c r="BL370" s="1286"/>
      <c r="BM370" s="1286"/>
      <c r="BN370" s="1286"/>
      <c r="BO370" s="1286"/>
      <c r="BP370" s="1286"/>
      <c r="BQ370" s="1286"/>
      <c r="BR370" s="1286"/>
      <c r="BS370" s="1286"/>
      <c r="BT370" s="1286"/>
      <c r="BU370" s="1286"/>
      <c r="BV370" s="1286"/>
      <c r="BW370" s="1286"/>
      <c r="BX370" s="1286"/>
      <c r="BY370" s="1286"/>
      <c r="BZ370" s="1286"/>
      <c r="CA370" s="1286"/>
      <c r="CB370" s="1286"/>
      <c r="CC370" s="1286"/>
      <c r="CD370" s="1286"/>
      <c r="CE370" s="1286"/>
      <c r="CF370" s="1286"/>
      <c r="CG370" s="1286"/>
      <c r="CH370" s="1269"/>
      <c r="CI370" s="1286"/>
      <c r="CJ370" s="1286"/>
      <c r="CK370" s="1286"/>
      <c r="CL370" s="1286"/>
      <c r="CM370" s="1286"/>
      <c r="CN370" s="1286"/>
      <c r="CO370" s="1286"/>
      <c r="CP370" s="1286"/>
      <c r="CQ370" s="1286"/>
      <c r="CR370" s="1286"/>
      <c r="CS370" s="1286"/>
      <c r="CT370" s="1286"/>
      <c r="CU370" s="1286"/>
      <c r="CV370" s="1286"/>
      <c r="CW370" s="1286"/>
      <c r="CX370" s="1286"/>
      <c r="CY370" s="1286"/>
      <c r="CZ370" s="1286"/>
      <c r="DA370" s="1286"/>
      <c r="DB370" s="1286"/>
      <c r="DC370" s="1286"/>
      <c r="DD370" s="1286"/>
      <c r="DE370" s="1286"/>
      <c r="DF370" s="1286"/>
      <c r="DG370" s="1286"/>
      <c r="DH370" s="1286"/>
      <c r="DI370" s="1286"/>
      <c r="DJ370" s="1286"/>
      <c r="DK370" s="1286"/>
      <c r="DL370" s="1286"/>
      <c r="DM370" s="1286"/>
      <c r="DN370" s="1286"/>
      <c r="DO370" s="1286"/>
      <c r="DP370" s="1286"/>
      <c r="DQ370" s="1286"/>
      <c r="DR370" s="1286"/>
      <c r="DS370" s="1286"/>
      <c r="DT370" s="1286"/>
      <c r="DU370" s="1286"/>
      <c r="DV370" s="1286"/>
      <c r="DW370" s="1286"/>
      <c r="DX370" s="1286"/>
      <c r="DY370" s="1286"/>
      <c r="DZ370" s="1286"/>
      <c r="EA370" s="1286"/>
      <c r="EB370" s="1206"/>
      <c r="EC370" s="1206"/>
      <c r="ED370" s="1206"/>
      <c r="EE370" s="1206"/>
      <c r="EF370" s="1206"/>
      <c r="EG370" s="1206"/>
      <c r="EH370" s="1206"/>
      <c r="EI370" s="1206"/>
      <c r="EJ370" s="1206"/>
      <c r="EK370" s="1206"/>
      <c r="EL370" s="1206"/>
      <c r="EM370" s="1313"/>
    </row>
    <row r="371" spans="2:143" s="1271" customFormat="1">
      <c r="B371" s="1263"/>
      <c r="C371" s="1264"/>
      <c r="D371" s="1265"/>
      <c r="E371" s="1265"/>
      <c r="F371" s="1285"/>
      <c r="G371" s="1264"/>
      <c r="H371" s="1264"/>
      <c r="I371" s="1285"/>
      <c r="J371" s="1285"/>
      <c r="K371" s="1285"/>
      <c r="L371" s="1285"/>
      <c r="M371" s="1285"/>
      <c r="N371" s="1285"/>
      <c r="O371" s="1285"/>
      <c r="P371" s="1285"/>
      <c r="Q371" s="1285"/>
      <c r="R371" s="1285"/>
      <c r="S371" s="1285"/>
      <c r="T371" s="1285"/>
      <c r="U371" s="1285"/>
      <c r="V371" s="1285"/>
      <c r="W371" s="1286"/>
      <c r="X371" s="1286"/>
      <c r="Y371" s="1286"/>
      <c r="Z371" s="1286"/>
      <c r="AA371" s="1286"/>
      <c r="AB371" s="1286"/>
      <c r="AC371" s="1286"/>
      <c r="AD371" s="1286"/>
      <c r="AE371" s="1286"/>
      <c r="AF371" s="1286"/>
      <c r="AG371" s="1286"/>
      <c r="AH371" s="1286"/>
      <c r="AI371" s="1286"/>
      <c r="AJ371" s="1286"/>
      <c r="AK371" s="1286"/>
      <c r="AL371" s="1286"/>
      <c r="AM371" s="1286"/>
      <c r="AN371" s="1286"/>
      <c r="AO371" s="1286"/>
      <c r="AP371" s="1286"/>
      <c r="AQ371" s="1286"/>
      <c r="AR371" s="1286"/>
      <c r="AS371" s="1286"/>
      <c r="AT371" s="1286"/>
      <c r="AU371" s="1286"/>
      <c r="AV371" s="1286"/>
      <c r="AW371" s="1286"/>
      <c r="AX371" s="1286"/>
      <c r="AY371" s="1286"/>
      <c r="AZ371" s="1286"/>
      <c r="BA371" s="1286"/>
      <c r="BB371" s="1286"/>
      <c r="BC371" s="1286"/>
      <c r="BD371" s="1286"/>
      <c r="BE371" s="1286"/>
      <c r="BF371" s="1286"/>
      <c r="BG371" s="1286"/>
      <c r="BH371" s="1286"/>
      <c r="BI371" s="1286"/>
      <c r="BJ371" s="1286"/>
      <c r="BK371" s="1286"/>
      <c r="BL371" s="1286"/>
      <c r="BM371" s="1286"/>
      <c r="BN371" s="1286"/>
      <c r="BO371" s="1286"/>
      <c r="BP371" s="1286"/>
      <c r="BQ371" s="1286"/>
      <c r="BR371" s="1286"/>
      <c r="BS371" s="1286"/>
      <c r="BT371" s="1286"/>
      <c r="BU371" s="1286"/>
      <c r="BV371" s="1286"/>
      <c r="BW371" s="1286"/>
      <c r="BX371" s="1286"/>
      <c r="BY371" s="1286"/>
      <c r="BZ371" s="1286"/>
      <c r="CA371" s="1286"/>
      <c r="CB371" s="1286"/>
      <c r="CC371" s="1286"/>
      <c r="CD371" s="1286"/>
      <c r="CE371" s="1286"/>
      <c r="CF371" s="1286"/>
      <c r="CG371" s="1286"/>
      <c r="CH371" s="1269"/>
      <c r="CI371" s="1286"/>
      <c r="CJ371" s="1286"/>
      <c r="CK371" s="1286"/>
      <c r="CL371" s="1286"/>
      <c r="CM371" s="1286"/>
      <c r="CN371" s="1286"/>
      <c r="CO371" s="1286"/>
      <c r="CP371" s="1286"/>
      <c r="CQ371" s="1286"/>
      <c r="CR371" s="1286"/>
      <c r="CS371" s="1286"/>
      <c r="CT371" s="1286"/>
      <c r="CU371" s="1286"/>
      <c r="CV371" s="1286"/>
      <c r="CW371" s="1286"/>
      <c r="CX371" s="1286"/>
      <c r="CY371" s="1286"/>
      <c r="CZ371" s="1286"/>
      <c r="DA371" s="1286"/>
      <c r="DB371" s="1286"/>
      <c r="DC371" s="1286"/>
      <c r="DD371" s="1286"/>
      <c r="DE371" s="1286"/>
      <c r="DF371" s="1286"/>
      <c r="DG371" s="1286"/>
      <c r="DH371" s="1286"/>
      <c r="DI371" s="1286"/>
      <c r="DJ371" s="1286"/>
      <c r="DK371" s="1286"/>
      <c r="DL371" s="1286"/>
      <c r="DM371" s="1286"/>
      <c r="DN371" s="1286"/>
      <c r="DO371" s="1286"/>
      <c r="DP371" s="1286"/>
      <c r="DQ371" s="1286"/>
      <c r="DR371" s="1286"/>
      <c r="DS371" s="1286"/>
      <c r="DT371" s="1286"/>
      <c r="DU371" s="1286"/>
      <c r="DV371" s="1286"/>
      <c r="DW371" s="1286"/>
      <c r="DX371" s="1286"/>
      <c r="DY371" s="1286"/>
      <c r="DZ371" s="1286"/>
      <c r="EA371" s="1286"/>
      <c r="EB371" s="1206"/>
      <c r="EC371" s="1206"/>
      <c r="ED371" s="1206"/>
      <c r="EE371" s="1206"/>
      <c r="EF371" s="1206"/>
      <c r="EG371" s="1206"/>
      <c r="EH371" s="1206"/>
      <c r="EI371" s="1206"/>
      <c r="EJ371" s="1206"/>
      <c r="EK371" s="1206"/>
      <c r="EL371" s="1206"/>
      <c r="EM371" s="1313"/>
    </row>
    <row r="372" spans="2:143" s="1271" customFormat="1">
      <c r="B372" s="1263"/>
      <c r="C372" s="1264"/>
      <c r="D372" s="1265"/>
      <c r="E372" s="1265"/>
      <c r="F372" s="1285"/>
      <c r="G372" s="1264"/>
      <c r="H372" s="1264"/>
      <c r="I372" s="1285"/>
      <c r="J372" s="1285"/>
      <c r="K372" s="1285"/>
      <c r="L372" s="1285"/>
      <c r="M372" s="1285"/>
      <c r="N372" s="1285"/>
      <c r="O372" s="1285"/>
      <c r="P372" s="1285"/>
      <c r="Q372" s="1285"/>
      <c r="R372" s="1285"/>
      <c r="S372" s="1285"/>
      <c r="T372" s="1285"/>
      <c r="U372" s="1285"/>
      <c r="V372" s="1285"/>
      <c r="W372" s="1286"/>
      <c r="X372" s="1286"/>
      <c r="Y372" s="1286"/>
      <c r="Z372" s="1286"/>
      <c r="AA372" s="1286"/>
      <c r="AB372" s="1286"/>
      <c r="AC372" s="1286"/>
      <c r="AD372" s="1286"/>
      <c r="AE372" s="1286"/>
      <c r="AF372" s="1286"/>
      <c r="AG372" s="1286"/>
      <c r="AH372" s="1286"/>
      <c r="AI372" s="1286"/>
      <c r="AJ372" s="1286"/>
      <c r="AK372" s="1286"/>
      <c r="AL372" s="1286"/>
      <c r="AM372" s="1286"/>
      <c r="AN372" s="1286"/>
      <c r="AO372" s="1286"/>
      <c r="AP372" s="1286"/>
      <c r="AQ372" s="1286"/>
      <c r="AR372" s="1286"/>
      <c r="AS372" s="1286"/>
      <c r="AT372" s="1286"/>
      <c r="AU372" s="1286"/>
      <c r="AV372" s="1286"/>
      <c r="AW372" s="1286"/>
      <c r="AX372" s="1286"/>
      <c r="AY372" s="1286"/>
      <c r="AZ372" s="1286"/>
      <c r="BA372" s="1286"/>
      <c r="BB372" s="1286"/>
      <c r="BC372" s="1286"/>
      <c r="BD372" s="1286"/>
      <c r="BE372" s="1286"/>
      <c r="BF372" s="1286"/>
      <c r="BG372" s="1286"/>
      <c r="BH372" s="1286"/>
      <c r="BI372" s="1286"/>
      <c r="BJ372" s="1286"/>
      <c r="BK372" s="1286"/>
      <c r="BL372" s="1286"/>
      <c r="BM372" s="1286"/>
      <c r="BN372" s="1286"/>
      <c r="BO372" s="1286"/>
      <c r="BP372" s="1286"/>
      <c r="BQ372" s="1286"/>
      <c r="BR372" s="1286"/>
      <c r="BS372" s="1286"/>
      <c r="BT372" s="1286"/>
      <c r="BU372" s="1286"/>
      <c r="BV372" s="1286"/>
      <c r="BW372" s="1286"/>
      <c r="BX372" s="1286"/>
      <c r="BY372" s="1286"/>
      <c r="BZ372" s="1286"/>
      <c r="CA372" s="1286"/>
      <c r="CB372" s="1286"/>
      <c r="CC372" s="1286"/>
      <c r="CD372" s="1286"/>
      <c r="CE372" s="1286"/>
      <c r="CF372" s="1286"/>
      <c r="CG372" s="1286"/>
      <c r="CH372" s="1269"/>
      <c r="CI372" s="1286"/>
      <c r="CJ372" s="1286"/>
      <c r="CK372" s="1286"/>
      <c r="CL372" s="1286"/>
      <c r="CM372" s="1286"/>
      <c r="CN372" s="1286"/>
      <c r="CO372" s="1286"/>
      <c r="CP372" s="1286"/>
      <c r="CQ372" s="1286"/>
      <c r="CR372" s="1286"/>
      <c r="CS372" s="1286"/>
      <c r="CT372" s="1286"/>
      <c r="CU372" s="1286"/>
      <c r="CV372" s="1286"/>
      <c r="CW372" s="1286"/>
      <c r="CX372" s="1286"/>
      <c r="CY372" s="1286"/>
      <c r="CZ372" s="1286"/>
      <c r="DA372" s="1286"/>
      <c r="DB372" s="1286"/>
      <c r="DC372" s="1286"/>
      <c r="DD372" s="1286"/>
      <c r="DE372" s="1286"/>
      <c r="DF372" s="1286"/>
      <c r="DG372" s="1286"/>
      <c r="DH372" s="1286"/>
      <c r="DI372" s="1286"/>
      <c r="DJ372" s="1286"/>
      <c r="DK372" s="1286"/>
      <c r="DL372" s="1286"/>
      <c r="DM372" s="1286"/>
      <c r="DN372" s="1286"/>
      <c r="DO372" s="1286"/>
      <c r="DP372" s="1286"/>
      <c r="DQ372" s="1286"/>
      <c r="DR372" s="1286"/>
      <c r="DS372" s="1286"/>
      <c r="DT372" s="1286"/>
      <c r="DU372" s="1286"/>
      <c r="DV372" s="1286"/>
      <c r="DW372" s="1286"/>
      <c r="DX372" s="1286"/>
      <c r="DY372" s="1286"/>
      <c r="DZ372" s="1286"/>
      <c r="EA372" s="1286"/>
      <c r="EB372" s="1206"/>
      <c r="EC372" s="1206"/>
      <c r="ED372" s="1206"/>
      <c r="EE372" s="1206"/>
      <c r="EF372" s="1206"/>
      <c r="EG372" s="1206"/>
      <c r="EH372" s="1206"/>
      <c r="EI372" s="1206"/>
      <c r="EJ372" s="1206"/>
      <c r="EK372" s="1206"/>
      <c r="EL372" s="1206"/>
      <c r="EM372" s="1313"/>
    </row>
    <row r="373" spans="2:143" s="1271" customFormat="1">
      <c r="B373" s="1263"/>
      <c r="C373" s="1264"/>
      <c r="D373" s="1265"/>
      <c r="E373" s="1265"/>
      <c r="F373" s="1285"/>
      <c r="G373" s="1264"/>
      <c r="H373" s="1264"/>
      <c r="I373" s="1285"/>
      <c r="J373" s="1285"/>
      <c r="K373" s="1285"/>
      <c r="L373" s="1285"/>
      <c r="M373" s="1285"/>
      <c r="N373" s="1285"/>
      <c r="O373" s="1285"/>
      <c r="P373" s="1285"/>
      <c r="Q373" s="1285"/>
      <c r="R373" s="1285"/>
      <c r="S373" s="1285"/>
      <c r="T373" s="1285"/>
      <c r="U373" s="1285"/>
      <c r="V373" s="1285"/>
      <c r="W373" s="1286"/>
      <c r="X373" s="1286"/>
      <c r="Y373" s="1286"/>
      <c r="Z373" s="1286"/>
      <c r="AA373" s="1286"/>
      <c r="AB373" s="1286"/>
      <c r="AC373" s="1286"/>
      <c r="AD373" s="1286"/>
      <c r="AE373" s="1286"/>
      <c r="AF373" s="1286"/>
      <c r="AG373" s="1286"/>
      <c r="AH373" s="1286"/>
      <c r="AI373" s="1286"/>
      <c r="AJ373" s="1286"/>
      <c r="AK373" s="1286"/>
      <c r="AL373" s="1286"/>
      <c r="AM373" s="1286"/>
      <c r="AN373" s="1286"/>
      <c r="AO373" s="1286"/>
      <c r="AP373" s="1286"/>
      <c r="AQ373" s="1286"/>
      <c r="AR373" s="1286"/>
      <c r="AS373" s="1286"/>
      <c r="AT373" s="1286"/>
      <c r="AU373" s="1286"/>
      <c r="AV373" s="1286"/>
      <c r="AW373" s="1286"/>
      <c r="AX373" s="1286"/>
      <c r="AY373" s="1286"/>
      <c r="AZ373" s="1286"/>
      <c r="BA373" s="1286"/>
      <c r="BB373" s="1286"/>
      <c r="BC373" s="1286"/>
      <c r="BD373" s="1286"/>
      <c r="BE373" s="1286"/>
      <c r="BF373" s="1286"/>
      <c r="BG373" s="1286"/>
      <c r="BH373" s="1286"/>
      <c r="BI373" s="1286"/>
      <c r="BJ373" s="1286"/>
      <c r="BK373" s="1286"/>
      <c r="BL373" s="1286"/>
      <c r="BM373" s="1286"/>
      <c r="BN373" s="1286"/>
      <c r="BO373" s="1286"/>
      <c r="BP373" s="1286"/>
      <c r="BQ373" s="1286"/>
      <c r="BR373" s="1286"/>
      <c r="BS373" s="1286"/>
      <c r="BT373" s="1286"/>
      <c r="BU373" s="1286"/>
      <c r="BV373" s="1286"/>
      <c r="BW373" s="1286"/>
      <c r="BX373" s="1286"/>
      <c r="BY373" s="1286"/>
      <c r="BZ373" s="1286"/>
      <c r="CA373" s="1286"/>
      <c r="CB373" s="1286"/>
      <c r="CC373" s="1286"/>
      <c r="CD373" s="1286"/>
      <c r="CE373" s="1286"/>
      <c r="CF373" s="1286"/>
      <c r="CG373" s="1286"/>
      <c r="CH373" s="1269"/>
      <c r="CI373" s="1286"/>
      <c r="CJ373" s="1286"/>
      <c r="CK373" s="1286"/>
      <c r="CL373" s="1286"/>
      <c r="CM373" s="1286"/>
      <c r="CN373" s="1286"/>
      <c r="CO373" s="1286"/>
      <c r="CP373" s="1286"/>
      <c r="CQ373" s="1286"/>
      <c r="CR373" s="1286"/>
      <c r="CS373" s="1286"/>
      <c r="CT373" s="1286"/>
      <c r="CU373" s="1286"/>
      <c r="CV373" s="1286"/>
      <c r="CW373" s="1286"/>
      <c r="CX373" s="1286"/>
      <c r="CY373" s="1286"/>
      <c r="CZ373" s="1286"/>
      <c r="DA373" s="1286"/>
      <c r="DB373" s="1286"/>
      <c r="DC373" s="1286"/>
      <c r="DD373" s="1286"/>
      <c r="DE373" s="1286"/>
      <c r="DF373" s="1286"/>
      <c r="DG373" s="1286"/>
      <c r="DH373" s="1286"/>
      <c r="DI373" s="1286"/>
      <c r="DJ373" s="1286"/>
      <c r="DK373" s="1286"/>
      <c r="DL373" s="1286"/>
      <c r="DM373" s="1286"/>
      <c r="DN373" s="1286"/>
      <c r="DO373" s="1286"/>
      <c r="DP373" s="1286"/>
      <c r="DQ373" s="1286"/>
      <c r="DR373" s="1286"/>
      <c r="DS373" s="1286"/>
      <c r="DT373" s="1286"/>
      <c r="DU373" s="1286"/>
      <c r="DV373" s="1286"/>
      <c r="DW373" s="1286"/>
      <c r="DX373" s="1286"/>
      <c r="DY373" s="1286"/>
      <c r="DZ373" s="1286"/>
      <c r="EA373" s="1286"/>
      <c r="EB373" s="1206"/>
      <c r="EC373" s="1206"/>
      <c r="ED373" s="1206"/>
      <c r="EE373" s="1206"/>
      <c r="EF373" s="1206"/>
      <c r="EG373" s="1206"/>
      <c r="EH373" s="1206"/>
      <c r="EI373" s="1206"/>
      <c r="EJ373" s="1206"/>
      <c r="EK373" s="1206"/>
      <c r="EL373" s="1206"/>
      <c r="EM373" s="1313"/>
    </row>
    <row r="374" spans="2:143" s="1271" customFormat="1">
      <c r="B374" s="1263"/>
      <c r="C374" s="1264"/>
      <c r="D374" s="1265"/>
      <c r="E374" s="1265"/>
      <c r="F374" s="1285"/>
      <c r="G374" s="1264"/>
      <c r="H374" s="1264"/>
      <c r="I374" s="1285"/>
      <c r="J374" s="1285"/>
      <c r="K374" s="1285"/>
      <c r="L374" s="1285"/>
      <c r="M374" s="1285"/>
      <c r="N374" s="1285"/>
      <c r="O374" s="1285"/>
      <c r="P374" s="1285"/>
      <c r="Q374" s="1285"/>
      <c r="R374" s="1285"/>
      <c r="S374" s="1285"/>
      <c r="T374" s="1285"/>
      <c r="U374" s="1285"/>
      <c r="V374" s="1285"/>
      <c r="W374" s="1286"/>
      <c r="X374" s="1286"/>
      <c r="Y374" s="1286"/>
      <c r="Z374" s="1286"/>
      <c r="AA374" s="1286"/>
      <c r="AB374" s="1286"/>
      <c r="AC374" s="1286"/>
      <c r="AD374" s="1286"/>
      <c r="AE374" s="1286"/>
      <c r="AF374" s="1286"/>
      <c r="AG374" s="1286"/>
      <c r="AH374" s="1286"/>
      <c r="AI374" s="1286"/>
      <c r="AJ374" s="1286"/>
      <c r="AK374" s="1286"/>
      <c r="AL374" s="1286"/>
      <c r="AM374" s="1286"/>
      <c r="AN374" s="1286"/>
      <c r="AO374" s="1286"/>
      <c r="AP374" s="1286"/>
      <c r="AQ374" s="1286"/>
      <c r="AR374" s="1286"/>
      <c r="AS374" s="1286"/>
      <c r="AT374" s="1286"/>
      <c r="AU374" s="1286"/>
      <c r="AV374" s="1286"/>
      <c r="AW374" s="1286"/>
      <c r="AX374" s="1286"/>
      <c r="AY374" s="1286"/>
      <c r="AZ374" s="1286"/>
      <c r="BA374" s="1286"/>
      <c r="BB374" s="1286"/>
      <c r="BC374" s="1286"/>
      <c r="BD374" s="1286"/>
      <c r="BE374" s="1286"/>
      <c r="BF374" s="1286"/>
      <c r="BG374" s="1286"/>
      <c r="BH374" s="1286"/>
      <c r="BI374" s="1286"/>
      <c r="BJ374" s="1286"/>
      <c r="BK374" s="1286"/>
      <c r="BL374" s="1286"/>
      <c r="BM374" s="1286"/>
      <c r="BN374" s="1286"/>
      <c r="BO374" s="1286"/>
      <c r="BP374" s="1286"/>
      <c r="BQ374" s="1286"/>
      <c r="BR374" s="1286"/>
      <c r="BS374" s="1286"/>
      <c r="BT374" s="1286"/>
      <c r="BU374" s="1286"/>
      <c r="BV374" s="1286"/>
      <c r="BW374" s="1286"/>
      <c r="BX374" s="1286"/>
      <c r="BY374" s="1286"/>
      <c r="BZ374" s="1286"/>
      <c r="CA374" s="1286"/>
      <c r="CB374" s="1286"/>
      <c r="CC374" s="1286"/>
      <c r="CD374" s="1286"/>
      <c r="CE374" s="1286"/>
      <c r="CF374" s="1286"/>
      <c r="CG374" s="1286"/>
      <c r="CH374" s="1269"/>
      <c r="CI374" s="1286"/>
      <c r="CJ374" s="1286"/>
      <c r="CK374" s="1286"/>
      <c r="CL374" s="1286"/>
      <c r="CM374" s="1286"/>
      <c r="CN374" s="1286"/>
      <c r="CO374" s="1286"/>
      <c r="CP374" s="1286"/>
      <c r="CQ374" s="1286"/>
      <c r="CR374" s="1286"/>
      <c r="CS374" s="1286"/>
      <c r="CT374" s="1286"/>
      <c r="CU374" s="1286"/>
      <c r="CV374" s="1286"/>
      <c r="CW374" s="1286"/>
      <c r="CX374" s="1286"/>
      <c r="CY374" s="1286"/>
      <c r="CZ374" s="1286"/>
      <c r="DA374" s="1286"/>
      <c r="DB374" s="1286"/>
      <c r="DC374" s="1286"/>
      <c r="DD374" s="1286"/>
      <c r="DE374" s="1286"/>
      <c r="DF374" s="1286"/>
      <c r="DG374" s="1286"/>
      <c r="DH374" s="1286"/>
      <c r="DI374" s="1286"/>
      <c r="DJ374" s="1286"/>
      <c r="DK374" s="1286"/>
      <c r="DL374" s="1286"/>
      <c r="DM374" s="1286"/>
      <c r="DN374" s="1286"/>
      <c r="DO374" s="1286"/>
      <c r="DP374" s="1286"/>
      <c r="DQ374" s="1286"/>
      <c r="DR374" s="1286"/>
      <c r="DS374" s="1286"/>
      <c r="DT374" s="1286"/>
      <c r="DU374" s="1286"/>
      <c r="DV374" s="1286"/>
      <c r="DW374" s="1286"/>
      <c r="DX374" s="1286"/>
      <c r="DY374" s="1286"/>
      <c r="DZ374" s="1286"/>
      <c r="EA374" s="1286"/>
      <c r="EB374" s="1206"/>
      <c r="EC374" s="1206"/>
      <c r="ED374" s="1206"/>
      <c r="EE374" s="1206"/>
      <c r="EF374" s="1206"/>
      <c r="EG374" s="1206"/>
      <c r="EH374" s="1206"/>
      <c r="EI374" s="1206"/>
      <c r="EJ374" s="1206"/>
      <c r="EK374" s="1206"/>
      <c r="EL374" s="1206"/>
      <c r="EM374" s="1313"/>
    </row>
    <row r="375" spans="2:143" s="1271" customFormat="1">
      <c r="B375" s="1263"/>
      <c r="C375" s="1264"/>
      <c r="D375" s="1265"/>
      <c r="E375" s="1265"/>
      <c r="F375" s="1285"/>
      <c r="G375" s="1264"/>
      <c r="H375" s="1264"/>
      <c r="I375" s="1285"/>
      <c r="J375" s="1285"/>
      <c r="K375" s="1285"/>
      <c r="L375" s="1285"/>
      <c r="M375" s="1285"/>
      <c r="N375" s="1285"/>
      <c r="O375" s="1285"/>
      <c r="P375" s="1285"/>
      <c r="Q375" s="1285"/>
      <c r="R375" s="1285"/>
      <c r="S375" s="1285"/>
      <c r="T375" s="1285"/>
      <c r="U375" s="1285"/>
      <c r="V375" s="1285"/>
      <c r="W375" s="1286"/>
      <c r="X375" s="1286"/>
      <c r="Y375" s="1286"/>
      <c r="Z375" s="1286"/>
      <c r="AA375" s="1286"/>
      <c r="AB375" s="1286"/>
      <c r="AC375" s="1286"/>
      <c r="AD375" s="1286"/>
      <c r="AE375" s="1286"/>
      <c r="AF375" s="1286"/>
      <c r="AG375" s="1286"/>
      <c r="AH375" s="1286"/>
      <c r="AI375" s="1286"/>
      <c r="AJ375" s="1286"/>
      <c r="AK375" s="1286"/>
      <c r="AL375" s="1286"/>
      <c r="AM375" s="1286"/>
      <c r="AN375" s="1286"/>
      <c r="AO375" s="1286"/>
      <c r="AP375" s="1286"/>
      <c r="AQ375" s="1286"/>
      <c r="AR375" s="1286"/>
      <c r="AS375" s="1286"/>
      <c r="AT375" s="1286"/>
      <c r="AU375" s="1286"/>
      <c r="AV375" s="1286"/>
      <c r="AW375" s="1286"/>
      <c r="AX375" s="1286"/>
      <c r="AY375" s="1286"/>
      <c r="AZ375" s="1286"/>
      <c r="BA375" s="1286"/>
      <c r="BB375" s="1286"/>
      <c r="BC375" s="1286"/>
      <c r="BD375" s="1286"/>
      <c r="BE375" s="1286"/>
      <c r="BF375" s="1286"/>
      <c r="BG375" s="1286"/>
      <c r="BH375" s="1286"/>
      <c r="BI375" s="1286"/>
      <c r="BJ375" s="1286"/>
      <c r="BK375" s="1286"/>
      <c r="BL375" s="1286"/>
      <c r="BM375" s="1286"/>
      <c r="BN375" s="1286"/>
      <c r="BO375" s="1286"/>
      <c r="BP375" s="1286"/>
      <c r="BQ375" s="1286"/>
      <c r="BR375" s="1286"/>
      <c r="BS375" s="1286"/>
      <c r="BT375" s="1286"/>
      <c r="BU375" s="1286"/>
      <c r="BV375" s="1286"/>
      <c r="BW375" s="1286"/>
      <c r="BX375" s="1286"/>
      <c r="BY375" s="1286"/>
      <c r="BZ375" s="1286"/>
      <c r="CA375" s="1286"/>
      <c r="CB375" s="1286"/>
      <c r="CC375" s="1286"/>
      <c r="CD375" s="1286"/>
      <c r="CE375" s="1286"/>
      <c r="CF375" s="1286"/>
      <c r="CG375" s="1286"/>
      <c r="CH375" s="1269"/>
      <c r="CI375" s="1286"/>
      <c r="CJ375" s="1286"/>
      <c r="CK375" s="1286"/>
      <c r="CL375" s="1286"/>
      <c r="CM375" s="1286"/>
      <c r="CN375" s="1286"/>
      <c r="CO375" s="1286"/>
      <c r="CP375" s="1286"/>
      <c r="CQ375" s="1286"/>
      <c r="CR375" s="1286"/>
      <c r="CS375" s="1286"/>
      <c r="CT375" s="1286"/>
      <c r="CU375" s="1286"/>
      <c r="CV375" s="1286"/>
      <c r="CW375" s="1286"/>
      <c r="CX375" s="1286"/>
      <c r="CY375" s="1286"/>
      <c r="CZ375" s="1286"/>
      <c r="DA375" s="1286"/>
      <c r="DB375" s="1286"/>
      <c r="DC375" s="1286"/>
      <c r="DD375" s="1286"/>
      <c r="DE375" s="1286"/>
      <c r="DF375" s="1286"/>
      <c r="DG375" s="1286"/>
      <c r="DH375" s="1286"/>
      <c r="DI375" s="1286"/>
      <c r="DJ375" s="1286"/>
      <c r="DK375" s="1286"/>
      <c r="DL375" s="1286"/>
      <c r="DM375" s="1286"/>
      <c r="DN375" s="1286"/>
      <c r="DO375" s="1286"/>
      <c r="DP375" s="1286"/>
      <c r="DQ375" s="1286"/>
      <c r="DR375" s="1286"/>
      <c r="DS375" s="1286"/>
      <c r="DT375" s="1286"/>
      <c r="DU375" s="1286"/>
      <c r="DV375" s="1286"/>
      <c r="DW375" s="1286"/>
      <c r="DX375" s="1286"/>
      <c r="DY375" s="1286"/>
      <c r="DZ375" s="1286"/>
      <c r="EA375" s="1286"/>
      <c r="EB375" s="1206"/>
      <c r="EC375" s="1206"/>
      <c r="ED375" s="1206"/>
      <c r="EE375" s="1206"/>
      <c r="EF375" s="1206"/>
      <c r="EG375" s="1206"/>
      <c r="EH375" s="1206"/>
      <c r="EI375" s="1206"/>
      <c r="EJ375" s="1206"/>
      <c r="EK375" s="1206"/>
      <c r="EL375" s="1206"/>
      <c r="EM375" s="1313"/>
    </row>
    <row r="376" spans="2:143" s="1271" customFormat="1">
      <c r="B376" s="1263"/>
      <c r="C376" s="1264"/>
      <c r="D376" s="1265"/>
      <c r="E376" s="1265"/>
      <c r="F376" s="1285"/>
      <c r="G376" s="1264"/>
      <c r="H376" s="1264"/>
      <c r="I376" s="1285"/>
      <c r="J376" s="1285"/>
      <c r="K376" s="1285"/>
      <c r="L376" s="1285"/>
      <c r="M376" s="1285"/>
      <c r="N376" s="1285"/>
      <c r="O376" s="1285"/>
      <c r="P376" s="1285"/>
      <c r="Q376" s="1285"/>
      <c r="R376" s="1285"/>
      <c r="S376" s="1285"/>
      <c r="T376" s="1285"/>
      <c r="U376" s="1285"/>
      <c r="V376" s="1285"/>
      <c r="W376" s="1286"/>
      <c r="X376" s="1286"/>
      <c r="Y376" s="1286"/>
      <c r="Z376" s="1286"/>
      <c r="AA376" s="1286"/>
      <c r="AB376" s="1286"/>
      <c r="AC376" s="1286"/>
      <c r="AD376" s="1286"/>
      <c r="AE376" s="1286"/>
      <c r="AF376" s="1286"/>
      <c r="AG376" s="1286"/>
      <c r="AH376" s="1286"/>
      <c r="AI376" s="1286"/>
      <c r="AJ376" s="1286"/>
      <c r="AK376" s="1286"/>
      <c r="AL376" s="1286"/>
      <c r="AM376" s="1286"/>
      <c r="AN376" s="1286"/>
      <c r="AO376" s="1286"/>
      <c r="AP376" s="1286"/>
      <c r="AQ376" s="1286"/>
      <c r="AR376" s="1286"/>
      <c r="AS376" s="1286"/>
      <c r="AT376" s="1286"/>
      <c r="AU376" s="1286"/>
      <c r="AV376" s="1286"/>
      <c r="AW376" s="1286"/>
      <c r="AX376" s="1286"/>
      <c r="AY376" s="1286"/>
      <c r="AZ376" s="1286"/>
      <c r="BA376" s="1286"/>
      <c r="BB376" s="1286"/>
      <c r="BC376" s="1286"/>
      <c r="BD376" s="1286"/>
      <c r="BE376" s="1286"/>
      <c r="BF376" s="1286"/>
      <c r="BG376" s="1286"/>
      <c r="BH376" s="1286"/>
      <c r="BI376" s="1286"/>
      <c r="BJ376" s="1286"/>
      <c r="BK376" s="1286"/>
      <c r="BL376" s="1286"/>
      <c r="BM376" s="1286"/>
      <c r="BN376" s="1286"/>
      <c r="BO376" s="1286"/>
      <c r="BP376" s="1286"/>
      <c r="BQ376" s="1286"/>
      <c r="BR376" s="1286"/>
      <c r="BS376" s="1286"/>
      <c r="BT376" s="1286"/>
      <c r="BU376" s="1286"/>
      <c r="BV376" s="1286"/>
      <c r="BW376" s="1286"/>
      <c r="BX376" s="1286"/>
      <c r="BY376" s="1286"/>
      <c r="BZ376" s="1286"/>
      <c r="CA376" s="1286"/>
      <c r="CB376" s="1286"/>
      <c r="CC376" s="1286"/>
      <c r="CD376" s="1286"/>
      <c r="CE376" s="1286"/>
      <c r="CF376" s="1286"/>
      <c r="CG376" s="1286"/>
      <c r="CH376" s="1269"/>
      <c r="CI376" s="1286"/>
      <c r="CJ376" s="1286"/>
      <c r="CK376" s="1286"/>
      <c r="CL376" s="1286"/>
      <c r="CM376" s="1286"/>
      <c r="CN376" s="1286"/>
      <c r="CO376" s="1286"/>
      <c r="CP376" s="1286"/>
      <c r="CQ376" s="1286"/>
      <c r="CR376" s="1286"/>
      <c r="CS376" s="1286"/>
      <c r="CT376" s="1286"/>
      <c r="CU376" s="1286"/>
      <c r="CV376" s="1286"/>
      <c r="CW376" s="1286"/>
      <c r="CX376" s="1286"/>
      <c r="CY376" s="1286"/>
      <c r="CZ376" s="1286"/>
      <c r="DA376" s="1286"/>
      <c r="DB376" s="1286"/>
      <c r="DC376" s="1286"/>
      <c r="DD376" s="1286"/>
      <c r="DE376" s="1286"/>
      <c r="DF376" s="1286"/>
      <c r="DG376" s="1286"/>
      <c r="DH376" s="1286"/>
      <c r="DI376" s="1286"/>
      <c r="DJ376" s="1286"/>
      <c r="DK376" s="1286"/>
      <c r="DL376" s="1286"/>
      <c r="DM376" s="1286"/>
      <c r="DN376" s="1286"/>
      <c r="DO376" s="1286"/>
      <c r="DP376" s="1286"/>
      <c r="DQ376" s="1286"/>
      <c r="DR376" s="1286"/>
      <c r="DS376" s="1286"/>
      <c r="DT376" s="1286"/>
      <c r="DU376" s="1286"/>
      <c r="DV376" s="1286"/>
      <c r="DW376" s="1286"/>
      <c r="DX376" s="1286"/>
      <c r="DY376" s="1286"/>
      <c r="DZ376" s="1286"/>
      <c r="EA376" s="1286"/>
      <c r="EB376" s="1206"/>
      <c r="EC376" s="1206"/>
      <c r="ED376" s="1206"/>
      <c r="EE376" s="1206"/>
      <c r="EF376" s="1206"/>
      <c r="EG376" s="1206"/>
      <c r="EH376" s="1206"/>
      <c r="EI376" s="1206"/>
      <c r="EJ376" s="1206"/>
      <c r="EK376" s="1206"/>
      <c r="EL376" s="1206"/>
      <c r="EM376" s="1313"/>
    </row>
    <row r="377" spans="2:143" s="1271" customFormat="1">
      <c r="B377" s="1263"/>
      <c r="C377" s="1264"/>
      <c r="D377" s="1265"/>
      <c r="E377" s="1265"/>
      <c r="F377" s="1285"/>
      <c r="G377" s="1264"/>
      <c r="H377" s="1264"/>
      <c r="I377" s="1285"/>
      <c r="J377" s="1285"/>
      <c r="K377" s="1285"/>
      <c r="L377" s="1285"/>
      <c r="M377" s="1285"/>
      <c r="N377" s="1285"/>
      <c r="O377" s="1285"/>
      <c r="P377" s="1285"/>
      <c r="Q377" s="1285"/>
      <c r="R377" s="1285"/>
      <c r="S377" s="1285"/>
      <c r="T377" s="1285"/>
      <c r="U377" s="1285"/>
      <c r="V377" s="1285"/>
      <c r="W377" s="1286"/>
      <c r="X377" s="1286"/>
      <c r="Y377" s="1286"/>
      <c r="Z377" s="1286"/>
      <c r="AA377" s="1286"/>
      <c r="AB377" s="1286"/>
      <c r="AC377" s="1286"/>
      <c r="AD377" s="1286"/>
      <c r="AE377" s="1286"/>
      <c r="AF377" s="1286"/>
      <c r="AG377" s="1286"/>
      <c r="AH377" s="1286"/>
      <c r="AI377" s="1286"/>
      <c r="AJ377" s="1286"/>
      <c r="AK377" s="1286"/>
      <c r="AL377" s="1286"/>
      <c r="AM377" s="1286"/>
      <c r="AN377" s="1286"/>
      <c r="AO377" s="1286"/>
      <c r="AP377" s="1286"/>
      <c r="AQ377" s="1286"/>
      <c r="AR377" s="1286"/>
      <c r="AS377" s="1286"/>
      <c r="AT377" s="1286"/>
      <c r="AU377" s="1286"/>
      <c r="AV377" s="1286"/>
      <c r="AW377" s="1286"/>
      <c r="AX377" s="1286"/>
      <c r="AY377" s="1286"/>
      <c r="AZ377" s="1286"/>
      <c r="BA377" s="1286"/>
      <c r="BB377" s="1286"/>
      <c r="BC377" s="1286"/>
      <c r="BD377" s="1286"/>
      <c r="BE377" s="1286"/>
      <c r="BF377" s="1286"/>
      <c r="BG377" s="1286"/>
      <c r="BH377" s="1286"/>
      <c r="BI377" s="1286"/>
      <c r="BJ377" s="1286"/>
      <c r="BK377" s="1286"/>
      <c r="BL377" s="1286"/>
      <c r="BM377" s="1286"/>
      <c r="BN377" s="1286"/>
      <c r="BO377" s="1286"/>
      <c r="BP377" s="1286"/>
      <c r="BQ377" s="1286"/>
      <c r="BR377" s="1286"/>
      <c r="BS377" s="1286"/>
      <c r="BT377" s="1286"/>
      <c r="BU377" s="1286"/>
      <c r="BV377" s="1286"/>
      <c r="BW377" s="1286"/>
      <c r="BX377" s="1286"/>
      <c r="BY377" s="1286"/>
      <c r="BZ377" s="1286"/>
      <c r="CA377" s="1286"/>
      <c r="CB377" s="1286"/>
      <c r="CC377" s="1286"/>
      <c r="CD377" s="1286"/>
      <c r="CE377" s="1286"/>
      <c r="CF377" s="1286"/>
      <c r="CG377" s="1286"/>
      <c r="CH377" s="1269"/>
      <c r="CI377" s="1286"/>
      <c r="CJ377" s="1286"/>
      <c r="CK377" s="1286"/>
      <c r="CL377" s="1286"/>
      <c r="CM377" s="1286"/>
      <c r="CN377" s="1286"/>
      <c r="CO377" s="1286"/>
      <c r="CP377" s="1286"/>
      <c r="CQ377" s="1286"/>
      <c r="CR377" s="1286"/>
      <c r="CS377" s="1286"/>
      <c r="CT377" s="1286"/>
      <c r="CU377" s="1286"/>
      <c r="CV377" s="1286"/>
      <c r="CW377" s="1286"/>
      <c r="CX377" s="1286"/>
      <c r="CY377" s="1286"/>
      <c r="CZ377" s="1286"/>
      <c r="DA377" s="1286"/>
      <c r="DB377" s="1286"/>
      <c r="DC377" s="1286"/>
      <c r="DD377" s="1286"/>
      <c r="DE377" s="1286"/>
      <c r="DF377" s="1286"/>
      <c r="DG377" s="1286"/>
      <c r="DH377" s="1286"/>
      <c r="DI377" s="1286"/>
      <c r="DJ377" s="1286"/>
      <c r="DK377" s="1286"/>
      <c r="DL377" s="1286"/>
      <c r="DM377" s="1286"/>
      <c r="DN377" s="1286"/>
      <c r="DO377" s="1286"/>
      <c r="DP377" s="1286"/>
      <c r="DQ377" s="1286"/>
      <c r="DR377" s="1286"/>
      <c r="DS377" s="1286"/>
      <c r="DT377" s="1286"/>
      <c r="DU377" s="1286"/>
      <c r="DV377" s="1286"/>
      <c r="DW377" s="1286"/>
      <c r="DX377" s="1286"/>
      <c r="DY377" s="1286"/>
      <c r="DZ377" s="1286"/>
      <c r="EA377" s="1286"/>
      <c r="EB377" s="1206"/>
      <c r="EC377" s="1206"/>
      <c r="ED377" s="1206"/>
      <c r="EE377" s="1206"/>
      <c r="EF377" s="1206"/>
      <c r="EG377" s="1206"/>
      <c r="EH377" s="1206"/>
      <c r="EI377" s="1206"/>
      <c r="EJ377" s="1206"/>
      <c r="EK377" s="1206"/>
      <c r="EL377" s="1206"/>
      <c r="EM377" s="1313"/>
    </row>
    <row r="378" spans="2:143" s="1271" customFormat="1">
      <c r="B378" s="1263"/>
      <c r="C378" s="1264"/>
      <c r="D378" s="1265"/>
      <c r="E378" s="1265"/>
      <c r="F378" s="1285"/>
      <c r="G378" s="1264"/>
      <c r="H378" s="1264"/>
      <c r="I378" s="1285"/>
      <c r="J378" s="1285"/>
      <c r="K378" s="1285"/>
      <c r="L378" s="1285"/>
      <c r="M378" s="1285"/>
      <c r="N378" s="1285"/>
      <c r="O378" s="1285"/>
      <c r="P378" s="1285"/>
      <c r="Q378" s="1285"/>
      <c r="R378" s="1285"/>
      <c r="S378" s="1285"/>
      <c r="T378" s="1285"/>
      <c r="U378" s="1285"/>
      <c r="V378" s="1285"/>
      <c r="W378" s="1286"/>
      <c r="X378" s="1286"/>
      <c r="Y378" s="1286"/>
      <c r="Z378" s="1286"/>
      <c r="AA378" s="1286"/>
      <c r="AB378" s="1286"/>
      <c r="AC378" s="1286"/>
      <c r="AD378" s="1286"/>
      <c r="AE378" s="1286"/>
      <c r="AF378" s="1286"/>
      <c r="AG378" s="1286"/>
      <c r="AH378" s="1286"/>
      <c r="AI378" s="1286"/>
      <c r="AJ378" s="1286"/>
      <c r="AK378" s="1286"/>
      <c r="AL378" s="1286"/>
      <c r="AM378" s="1286"/>
      <c r="AN378" s="1286"/>
      <c r="AO378" s="1286"/>
      <c r="AP378" s="1286"/>
      <c r="AQ378" s="1286"/>
      <c r="AR378" s="1286"/>
      <c r="AS378" s="1286"/>
      <c r="AT378" s="1286"/>
      <c r="AU378" s="1286"/>
      <c r="AV378" s="1286"/>
      <c r="AW378" s="1286"/>
      <c r="AX378" s="1286"/>
      <c r="AY378" s="1286"/>
      <c r="AZ378" s="1286"/>
      <c r="BA378" s="1286"/>
      <c r="BB378" s="1286"/>
      <c r="BC378" s="1286"/>
      <c r="BD378" s="1286"/>
      <c r="BE378" s="1286"/>
      <c r="BF378" s="1286"/>
      <c r="BG378" s="1286"/>
      <c r="BH378" s="1286"/>
      <c r="BI378" s="1286"/>
      <c r="BJ378" s="1286"/>
      <c r="BK378" s="1286"/>
      <c r="BL378" s="1286"/>
      <c r="BM378" s="1286"/>
      <c r="BN378" s="1286"/>
      <c r="BO378" s="1286"/>
      <c r="BP378" s="1286"/>
      <c r="BQ378" s="1286"/>
      <c r="BR378" s="1286"/>
      <c r="BS378" s="1286"/>
      <c r="BT378" s="1286"/>
      <c r="BU378" s="1286"/>
      <c r="BV378" s="1286"/>
      <c r="BW378" s="1286"/>
      <c r="BX378" s="1286"/>
      <c r="BY378" s="1286"/>
      <c r="BZ378" s="1286"/>
      <c r="CA378" s="1286"/>
      <c r="CB378" s="1286"/>
      <c r="CC378" s="1286"/>
      <c r="CD378" s="1286"/>
      <c r="CE378" s="1286"/>
      <c r="CF378" s="1286"/>
      <c r="CG378" s="1286"/>
      <c r="CH378" s="1269"/>
      <c r="CI378" s="1286"/>
      <c r="CJ378" s="1286"/>
      <c r="CK378" s="1286"/>
      <c r="CL378" s="1286"/>
      <c r="CM378" s="1286"/>
      <c r="CN378" s="1286"/>
      <c r="CO378" s="1286"/>
      <c r="CP378" s="1286"/>
      <c r="CQ378" s="1286"/>
      <c r="CR378" s="1286"/>
      <c r="CS378" s="1286"/>
      <c r="CT378" s="1286"/>
      <c r="CU378" s="1286"/>
      <c r="CV378" s="1286"/>
      <c r="CW378" s="1286"/>
      <c r="CX378" s="1286"/>
      <c r="CY378" s="1286"/>
      <c r="CZ378" s="1286"/>
      <c r="DA378" s="1286"/>
      <c r="DB378" s="1286"/>
      <c r="DC378" s="1286"/>
      <c r="DD378" s="1286"/>
      <c r="DE378" s="1286"/>
      <c r="DF378" s="1286"/>
      <c r="DG378" s="1286"/>
      <c r="DH378" s="1286"/>
      <c r="DI378" s="1286"/>
      <c r="DJ378" s="1286"/>
      <c r="DK378" s="1286"/>
      <c r="DL378" s="1286"/>
      <c r="DM378" s="1286"/>
      <c r="DN378" s="1286"/>
      <c r="DO378" s="1286"/>
      <c r="DP378" s="1286"/>
      <c r="DQ378" s="1286"/>
      <c r="DR378" s="1286"/>
      <c r="DS378" s="1286"/>
      <c r="DT378" s="1286"/>
      <c r="DU378" s="1286"/>
      <c r="DV378" s="1286"/>
      <c r="DW378" s="1286"/>
      <c r="DX378" s="1286"/>
      <c r="DY378" s="1286"/>
      <c r="DZ378" s="1286"/>
      <c r="EA378" s="1286"/>
      <c r="EB378" s="1206"/>
      <c r="EC378" s="1206"/>
      <c r="ED378" s="1206"/>
      <c r="EE378" s="1206"/>
      <c r="EF378" s="1206"/>
      <c r="EG378" s="1206"/>
      <c r="EH378" s="1206"/>
      <c r="EI378" s="1206"/>
      <c r="EJ378" s="1206"/>
      <c r="EK378" s="1206"/>
      <c r="EL378" s="1206"/>
      <c r="EM378" s="1313"/>
    </row>
    <row r="379" spans="2:143" s="1271" customFormat="1">
      <c r="B379" s="1263"/>
      <c r="C379" s="1264"/>
      <c r="D379" s="1265"/>
      <c r="E379" s="1265"/>
      <c r="F379" s="1285"/>
      <c r="G379" s="1264"/>
      <c r="H379" s="1264"/>
      <c r="I379" s="1285"/>
      <c r="J379" s="1285"/>
      <c r="K379" s="1285"/>
      <c r="L379" s="1285"/>
      <c r="M379" s="1285"/>
      <c r="N379" s="1285"/>
      <c r="O379" s="1285"/>
      <c r="P379" s="1285"/>
      <c r="Q379" s="1285"/>
      <c r="R379" s="1285"/>
      <c r="S379" s="1285"/>
      <c r="T379" s="1285"/>
      <c r="U379" s="1285"/>
      <c r="V379" s="1285"/>
      <c r="W379" s="1286"/>
      <c r="X379" s="1286"/>
      <c r="Y379" s="1286"/>
      <c r="Z379" s="1286"/>
      <c r="AA379" s="1286"/>
      <c r="AB379" s="1286"/>
      <c r="AC379" s="1286"/>
      <c r="AD379" s="1286"/>
      <c r="AE379" s="1286"/>
      <c r="AF379" s="1286"/>
      <c r="AG379" s="1286"/>
      <c r="AH379" s="1286"/>
      <c r="AI379" s="1286"/>
      <c r="AJ379" s="1286"/>
      <c r="AK379" s="1286"/>
      <c r="AL379" s="1286"/>
      <c r="AM379" s="1286"/>
      <c r="AN379" s="1286"/>
      <c r="AO379" s="1286"/>
      <c r="AP379" s="1286"/>
      <c r="AQ379" s="1286"/>
      <c r="AR379" s="1286"/>
      <c r="AS379" s="1286"/>
      <c r="AT379" s="1286"/>
      <c r="AU379" s="1286"/>
      <c r="AV379" s="1286"/>
      <c r="AW379" s="1286"/>
      <c r="AX379" s="1286"/>
      <c r="AY379" s="1286"/>
      <c r="AZ379" s="1286"/>
      <c r="BA379" s="1286"/>
      <c r="BB379" s="1286"/>
      <c r="BC379" s="1286"/>
      <c r="BD379" s="1286"/>
      <c r="BE379" s="1286"/>
      <c r="BF379" s="1286"/>
      <c r="BG379" s="1286"/>
      <c r="BH379" s="1286"/>
      <c r="BI379" s="1286"/>
      <c r="BJ379" s="1286"/>
      <c r="BK379" s="1286"/>
      <c r="BL379" s="1286"/>
      <c r="BM379" s="1286"/>
      <c r="BN379" s="1286"/>
      <c r="BO379" s="1286"/>
      <c r="BP379" s="1286"/>
      <c r="BQ379" s="1286"/>
      <c r="BR379" s="1286"/>
      <c r="BS379" s="1286"/>
      <c r="BT379" s="1286"/>
      <c r="BU379" s="1286"/>
      <c r="BV379" s="1286"/>
      <c r="BW379" s="1286"/>
      <c r="BX379" s="1286"/>
      <c r="BY379" s="1286"/>
      <c r="BZ379" s="1286"/>
      <c r="CA379" s="1286"/>
      <c r="CB379" s="1286"/>
      <c r="CC379" s="1286"/>
      <c r="CD379" s="1286"/>
      <c r="CE379" s="1286"/>
      <c r="CF379" s="1286"/>
      <c r="CG379" s="1286"/>
      <c r="CH379" s="1269"/>
      <c r="CI379" s="1286"/>
      <c r="CJ379" s="1286"/>
      <c r="CK379" s="1286"/>
      <c r="CL379" s="1286"/>
      <c r="CM379" s="1286"/>
      <c r="CN379" s="1286"/>
      <c r="CO379" s="1286"/>
      <c r="CP379" s="1286"/>
      <c r="CQ379" s="1286"/>
      <c r="CR379" s="1286"/>
      <c r="CS379" s="1286"/>
      <c r="CT379" s="1286"/>
      <c r="CU379" s="1286"/>
      <c r="CV379" s="1286"/>
      <c r="CW379" s="1286"/>
      <c r="CX379" s="1286"/>
      <c r="CY379" s="1286"/>
      <c r="CZ379" s="1286"/>
      <c r="DA379" s="1286"/>
      <c r="DB379" s="1286"/>
      <c r="DC379" s="1286"/>
      <c r="DD379" s="1286"/>
      <c r="DE379" s="1286"/>
      <c r="DF379" s="1286"/>
      <c r="DG379" s="1286"/>
      <c r="DH379" s="1286"/>
      <c r="DI379" s="1286"/>
      <c r="DJ379" s="1286"/>
      <c r="DK379" s="1286"/>
      <c r="DL379" s="1286"/>
      <c r="DM379" s="1286"/>
      <c r="DN379" s="1286"/>
      <c r="DO379" s="1286"/>
      <c r="DP379" s="1286"/>
      <c r="DQ379" s="1286"/>
      <c r="DR379" s="1286"/>
      <c r="DS379" s="1286"/>
      <c r="DT379" s="1286"/>
      <c r="DU379" s="1286"/>
      <c r="DV379" s="1286"/>
      <c r="DW379" s="1286"/>
      <c r="DX379" s="1286"/>
      <c r="DY379" s="1286"/>
      <c r="DZ379" s="1286"/>
      <c r="EA379" s="1286"/>
      <c r="EB379" s="1206"/>
      <c r="EC379" s="1206"/>
      <c r="ED379" s="1206"/>
      <c r="EE379" s="1206"/>
      <c r="EF379" s="1206"/>
      <c r="EG379" s="1206"/>
      <c r="EH379" s="1206"/>
      <c r="EI379" s="1206"/>
      <c r="EJ379" s="1206"/>
      <c r="EK379" s="1206"/>
      <c r="EL379" s="1206"/>
      <c r="EM379" s="1313"/>
    </row>
    <row r="380" spans="2:143" s="1271" customFormat="1">
      <c r="B380" s="1263"/>
      <c r="C380" s="1264"/>
      <c r="D380" s="1265"/>
      <c r="E380" s="1265"/>
      <c r="F380" s="1285"/>
      <c r="G380" s="1264"/>
      <c r="H380" s="1264"/>
      <c r="I380" s="1285"/>
      <c r="J380" s="1285"/>
      <c r="K380" s="1285"/>
      <c r="L380" s="1285"/>
      <c r="M380" s="1285"/>
      <c r="N380" s="1285"/>
      <c r="O380" s="1285"/>
      <c r="P380" s="1285"/>
      <c r="Q380" s="1285"/>
      <c r="R380" s="1285"/>
      <c r="S380" s="1285"/>
      <c r="T380" s="1285"/>
      <c r="U380" s="1285"/>
      <c r="V380" s="1285"/>
      <c r="W380" s="1286"/>
      <c r="X380" s="1286"/>
      <c r="Y380" s="1286"/>
      <c r="Z380" s="1286"/>
      <c r="AA380" s="1286"/>
      <c r="AB380" s="1286"/>
      <c r="AC380" s="1286"/>
      <c r="AD380" s="1286"/>
      <c r="AE380" s="1286"/>
      <c r="AF380" s="1286"/>
      <c r="AG380" s="1286"/>
      <c r="AH380" s="1286"/>
      <c r="AI380" s="1286"/>
      <c r="AJ380" s="1286"/>
      <c r="AK380" s="1286"/>
      <c r="AL380" s="1286"/>
      <c r="AM380" s="1286"/>
      <c r="AN380" s="1286"/>
      <c r="AO380" s="1286"/>
      <c r="AP380" s="1286"/>
      <c r="AQ380" s="1286"/>
      <c r="AR380" s="1286"/>
      <c r="AS380" s="1286"/>
      <c r="AT380" s="1286"/>
      <c r="AU380" s="1286"/>
      <c r="AV380" s="1286"/>
      <c r="AW380" s="1286"/>
      <c r="AX380" s="1286"/>
      <c r="AY380" s="1286"/>
      <c r="AZ380" s="1286"/>
      <c r="BA380" s="1286"/>
      <c r="BB380" s="1286"/>
      <c r="BC380" s="1286"/>
      <c r="BD380" s="1286"/>
      <c r="BE380" s="1286"/>
      <c r="BF380" s="1286"/>
      <c r="BG380" s="1286"/>
      <c r="BH380" s="1286"/>
      <c r="BI380" s="1286"/>
      <c r="BJ380" s="1286"/>
      <c r="BK380" s="1286"/>
      <c r="BL380" s="1286"/>
      <c r="BM380" s="1286"/>
      <c r="BN380" s="1286"/>
      <c r="BO380" s="1286"/>
      <c r="BP380" s="1286"/>
      <c r="BQ380" s="1286"/>
      <c r="BR380" s="1286"/>
      <c r="BS380" s="1286"/>
      <c r="BT380" s="1286"/>
      <c r="BU380" s="1286"/>
      <c r="BV380" s="1286"/>
      <c r="BW380" s="1286"/>
      <c r="BX380" s="1286"/>
      <c r="BY380" s="1286"/>
      <c r="BZ380" s="1286"/>
      <c r="CA380" s="1286"/>
      <c r="CB380" s="1286"/>
      <c r="CC380" s="1286"/>
      <c r="CD380" s="1286"/>
      <c r="CE380" s="1286"/>
      <c r="CF380" s="1286"/>
      <c r="CG380" s="1286"/>
      <c r="CH380" s="1269"/>
      <c r="CI380" s="1286"/>
      <c r="CJ380" s="1286"/>
      <c r="CK380" s="1286"/>
      <c r="CL380" s="1286"/>
      <c r="CM380" s="1286"/>
      <c r="CN380" s="1286"/>
      <c r="CO380" s="1286"/>
      <c r="CP380" s="1286"/>
      <c r="CQ380" s="1286"/>
      <c r="CR380" s="1286"/>
      <c r="CS380" s="1286"/>
      <c r="CT380" s="1286"/>
      <c r="CU380" s="1286"/>
      <c r="CV380" s="1286"/>
      <c r="CW380" s="1286"/>
      <c r="CX380" s="1286"/>
      <c r="CY380" s="1286"/>
      <c r="CZ380" s="1286"/>
      <c r="DA380" s="1286"/>
      <c r="DB380" s="1286"/>
      <c r="DC380" s="1286"/>
      <c r="DD380" s="1286"/>
      <c r="DE380" s="1286"/>
      <c r="DF380" s="1286"/>
      <c r="DG380" s="1286"/>
      <c r="DH380" s="1286"/>
      <c r="DI380" s="1286"/>
      <c r="DJ380" s="1286"/>
      <c r="DK380" s="1286"/>
      <c r="DL380" s="1286"/>
      <c r="DM380" s="1286"/>
      <c r="DN380" s="1286"/>
      <c r="DO380" s="1286"/>
      <c r="DP380" s="1286"/>
      <c r="DQ380" s="1286"/>
      <c r="DR380" s="1286"/>
      <c r="DS380" s="1286"/>
      <c r="DT380" s="1286"/>
      <c r="DU380" s="1286"/>
      <c r="DV380" s="1286"/>
      <c r="DW380" s="1286"/>
      <c r="DX380" s="1286"/>
      <c r="DY380" s="1286"/>
      <c r="DZ380" s="1286"/>
      <c r="EA380" s="1286"/>
      <c r="EB380" s="1206"/>
      <c r="EC380" s="1206"/>
      <c r="ED380" s="1206"/>
      <c r="EE380" s="1206"/>
      <c r="EF380" s="1206"/>
      <c r="EG380" s="1206"/>
      <c r="EH380" s="1206"/>
      <c r="EI380" s="1206"/>
      <c r="EJ380" s="1206"/>
      <c r="EK380" s="1206"/>
      <c r="EL380" s="1206"/>
      <c r="EM380" s="1313"/>
    </row>
    <row r="381" spans="2:143" s="1271" customFormat="1">
      <c r="B381" s="1263"/>
      <c r="C381" s="1264"/>
      <c r="D381" s="1265"/>
      <c r="E381" s="1265"/>
      <c r="F381" s="1285"/>
      <c r="G381" s="1264"/>
      <c r="H381" s="1264"/>
      <c r="I381" s="1285"/>
      <c r="J381" s="1285"/>
      <c r="K381" s="1285"/>
      <c r="L381" s="1285"/>
      <c r="M381" s="1285"/>
      <c r="N381" s="1285"/>
      <c r="O381" s="1285"/>
      <c r="P381" s="1285"/>
      <c r="Q381" s="1285"/>
      <c r="R381" s="1285"/>
      <c r="S381" s="1285"/>
      <c r="T381" s="1285"/>
      <c r="U381" s="1285"/>
      <c r="V381" s="1285"/>
      <c r="W381" s="1286"/>
      <c r="X381" s="1286"/>
      <c r="Y381" s="1286"/>
      <c r="Z381" s="1286"/>
      <c r="AA381" s="1286"/>
      <c r="AB381" s="1286"/>
      <c r="AC381" s="1286"/>
      <c r="AD381" s="1286"/>
      <c r="AE381" s="1286"/>
      <c r="AF381" s="1286"/>
      <c r="AG381" s="1286"/>
      <c r="AH381" s="1286"/>
      <c r="AI381" s="1286"/>
      <c r="AJ381" s="1286"/>
      <c r="AK381" s="1286"/>
      <c r="AL381" s="1286"/>
      <c r="AM381" s="1286"/>
      <c r="AN381" s="1286"/>
      <c r="AO381" s="1286"/>
      <c r="AP381" s="1286"/>
      <c r="AQ381" s="1286"/>
      <c r="AR381" s="1286"/>
      <c r="AS381" s="1286"/>
      <c r="AT381" s="1286"/>
      <c r="AU381" s="1286"/>
      <c r="AV381" s="1286"/>
      <c r="AW381" s="1286"/>
      <c r="AX381" s="1286"/>
      <c r="AY381" s="1286"/>
      <c r="AZ381" s="1286"/>
      <c r="BA381" s="1286"/>
      <c r="BB381" s="1286"/>
      <c r="BC381" s="1286"/>
      <c r="BD381" s="1286"/>
      <c r="BE381" s="1286"/>
      <c r="BF381" s="1286"/>
      <c r="BG381" s="1286"/>
      <c r="BH381" s="1286"/>
      <c r="BI381" s="1286"/>
      <c r="BJ381" s="1286"/>
      <c r="BK381" s="1286"/>
      <c r="BL381" s="1286"/>
      <c r="BM381" s="1286"/>
      <c r="BN381" s="1286"/>
      <c r="BO381" s="1286"/>
      <c r="BP381" s="1286"/>
      <c r="BQ381" s="1286"/>
      <c r="BR381" s="1286"/>
      <c r="BS381" s="1286"/>
      <c r="BT381" s="1286"/>
      <c r="BU381" s="1286"/>
      <c r="BV381" s="1286"/>
      <c r="BW381" s="1286"/>
      <c r="BX381" s="1286"/>
      <c r="BY381" s="1286"/>
      <c r="BZ381" s="1286"/>
      <c r="CA381" s="1286"/>
      <c r="CB381" s="1286"/>
      <c r="CC381" s="1286"/>
      <c r="CD381" s="1286"/>
      <c r="CE381" s="1286"/>
      <c r="CF381" s="1286"/>
      <c r="CG381" s="1286"/>
      <c r="CH381" s="1269"/>
      <c r="CI381" s="1286"/>
      <c r="CJ381" s="1286"/>
      <c r="CK381" s="1286"/>
      <c r="CL381" s="1286"/>
      <c r="CM381" s="1286"/>
      <c r="CN381" s="1286"/>
      <c r="CO381" s="1286"/>
      <c r="CP381" s="1286"/>
      <c r="CQ381" s="1286"/>
      <c r="CR381" s="1286"/>
      <c r="CS381" s="1286"/>
      <c r="CT381" s="1286"/>
      <c r="CU381" s="1286"/>
      <c r="CV381" s="1286"/>
      <c r="CW381" s="1286"/>
      <c r="CX381" s="1286"/>
      <c r="CY381" s="1286"/>
      <c r="CZ381" s="1286"/>
      <c r="DA381" s="1286"/>
      <c r="DB381" s="1286"/>
      <c r="DC381" s="1286"/>
      <c r="DD381" s="1286"/>
      <c r="DE381" s="1286"/>
      <c r="DF381" s="1286"/>
      <c r="DG381" s="1286"/>
      <c r="DH381" s="1286"/>
      <c r="DI381" s="1286"/>
      <c r="DJ381" s="1286"/>
      <c r="DK381" s="1286"/>
      <c r="DL381" s="1286"/>
      <c r="DM381" s="1286"/>
      <c r="DN381" s="1286"/>
      <c r="DO381" s="1286"/>
      <c r="DP381" s="1286"/>
      <c r="DQ381" s="1286"/>
      <c r="DR381" s="1286"/>
      <c r="DS381" s="1286"/>
      <c r="DT381" s="1286"/>
      <c r="DU381" s="1286"/>
      <c r="DV381" s="1286"/>
      <c r="DW381" s="1286"/>
      <c r="DX381" s="1286"/>
      <c r="DY381" s="1286"/>
      <c r="DZ381" s="1286"/>
      <c r="EA381" s="1286"/>
      <c r="EB381" s="1206"/>
      <c r="EC381" s="1206"/>
      <c r="ED381" s="1206"/>
      <c r="EE381" s="1206"/>
      <c r="EF381" s="1206"/>
      <c r="EG381" s="1206"/>
      <c r="EH381" s="1206"/>
      <c r="EI381" s="1206"/>
      <c r="EJ381" s="1206"/>
      <c r="EK381" s="1206"/>
      <c r="EL381" s="1206"/>
      <c r="EM381" s="1313"/>
    </row>
    <row r="382" spans="2:143" s="1271" customFormat="1">
      <c r="B382" s="1263"/>
      <c r="C382" s="1264"/>
      <c r="D382" s="1265"/>
      <c r="E382" s="1265"/>
      <c r="F382" s="1285"/>
      <c r="G382" s="1264"/>
      <c r="H382" s="1264"/>
      <c r="I382" s="1285"/>
      <c r="J382" s="1285"/>
      <c r="K382" s="1285"/>
      <c r="L382" s="1285"/>
      <c r="M382" s="1285"/>
      <c r="N382" s="1285"/>
      <c r="O382" s="1285"/>
      <c r="P382" s="1285"/>
      <c r="Q382" s="1285"/>
      <c r="R382" s="1285"/>
      <c r="S382" s="1285"/>
      <c r="T382" s="1285"/>
      <c r="U382" s="1285"/>
      <c r="V382" s="1285"/>
      <c r="W382" s="1286"/>
      <c r="X382" s="1286"/>
      <c r="Y382" s="1286"/>
      <c r="Z382" s="1286"/>
      <c r="AA382" s="1286"/>
      <c r="AB382" s="1286"/>
      <c r="AC382" s="1286"/>
      <c r="AD382" s="1286"/>
      <c r="AE382" s="1286"/>
      <c r="AF382" s="1286"/>
      <c r="AG382" s="1286"/>
      <c r="AH382" s="1286"/>
      <c r="AI382" s="1286"/>
      <c r="AJ382" s="1286"/>
      <c r="AK382" s="1286"/>
      <c r="AL382" s="1286"/>
      <c r="AM382" s="1286"/>
      <c r="AN382" s="1286"/>
      <c r="AO382" s="1286"/>
      <c r="AP382" s="1286"/>
      <c r="AQ382" s="1286"/>
      <c r="AR382" s="1286"/>
      <c r="AS382" s="1286"/>
      <c r="AT382" s="1286"/>
      <c r="AU382" s="1286"/>
      <c r="AV382" s="1286"/>
      <c r="AW382" s="1286"/>
      <c r="AX382" s="1286"/>
      <c r="AY382" s="1286"/>
      <c r="AZ382" s="1286"/>
      <c r="BA382" s="1286"/>
      <c r="BB382" s="1286"/>
      <c r="BC382" s="1286"/>
      <c r="BD382" s="1286"/>
      <c r="BE382" s="1286"/>
      <c r="BF382" s="1286"/>
      <c r="BG382" s="1286"/>
      <c r="BH382" s="1286"/>
      <c r="BI382" s="1286"/>
      <c r="BJ382" s="1286"/>
      <c r="BK382" s="1286"/>
      <c r="BL382" s="1286"/>
      <c r="BM382" s="1286"/>
      <c r="BN382" s="1286"/>
      <c r="BO382" s="1286"/>
      <c r="BP382" s="1286"/>
      <c r="BQ382" s="1286"/>
      <c r="BR382" s="1286"/>
      <c r="BS382" s="1286"/>
      <c r="BT382" s="1286"/>
      <c r="BU382" s="1286"/>
      <c r="BV382" s="1286"/>
      <c r="BW382" s="1286"/>
      <c r="BX382" s="1286"/>
      <c r="BY382" s="1286"/>
      <c r="BZ382" s="1286"/>
      <c r="CA382" s="1286"/>
      <c r="CB382" s="1286"/>
      <c r="CC382" s="1286"/>
      <c r="CD382" s="1286"/>
      <c r="CE382" s="1286"/>
      <c r="CF382" s="1286"/>
      <c r="CG382" s="1286"/>
      <c r="CH382" s="1269"/>
      <c r="CI382" s="1286"/>
      <c r="CJ382" s="1286"/>
      <c r="CK382" s="1286"/>
      <c r="CL382" s="1286"/>
      <c r="CM382" s="1286"/>
      <c r="CN382" s="1286"/>
      <c r="CO382" s="1286"/>
      <c r="CP382" s="1286"/>
      <c r="CQ382" s="1286"/>
      <c r="CR382" s="1286"/>
      <c r="CS382" s="1286"/>
      <c r="CT382" s="1286"/>
      <c r="CU382" s="1286"/>
      <c r="CV382" s="1286"/>
      <c r="CW382" s="1286"/>
      <c r="CX382" s="1286"/>
      <c r="CY382" s="1286"/>
      <c r="CZ382" s="1286"/>
      <c r="DA382" s="1286"/>
      <c r="DB382" s="1286"/>
      <c r="DC382" s="1286"/>
      <c r="DD382" s="1286"/>
      <c r="DE382" s="1286"/>
      <c r="DF382" s="1286"/>
      <c r="DG382" s="1286"/>
      <c r="DH382" s="1286"/>
      <c r="DI382" s="1286"/>
      <c r="DJ382" s="1286"/>
      <c r="DK382" s="1286"/>
      <c r="DL382" s="1286"/>
      <c r="DM382" s="1286"/>
      <c r="DN382" s="1286"/>
      <c r="DO382" s="1286"/>
      <c r="DP382" s="1286"/>
      <c r="DQ382" s="1286"/>
      <c r="DR382" s="1286"/>
      <c r="DS382" s="1286"/>
      <c r="DT382" s="1286"/>
      <c r="DU382" s="1286"/>
      <c r="DV382" s="1286"/>
      <c r="DW382" s="1286"/>
      <c r="DX382" s="1286"/>
      <c r="DY382" s="1286"/>
      <c r="DZ382" s="1286"/>
      <c r="EA382" s="1286"/>
      <c r="EB382" s="1206"/>
      <c r="EC382" s="1206"/>
      <c r="ED382" s="1206"/>
      <c r="EE382" s="1206"/>
      <c r="EF382" s="1206"/>
      <c r="EG382" s="1206"/>
      <c r="EH382" s="1206"/>
      <c r="EI382" s="1206"/>
      <c r="EJ382" s="1206"/>
      <c r="EK382" s="1206"/>
      <c r="EL382" s="1206"/>
      <c r="EM382" s="1313"/>
    </row>
    <row r="383" spans="2:143" s="1271" customFormat="1">
      <c r="B383" s="1263"/>
      <c r="C383" s="1264"/>
      <c r="D383" s="1265"/>
      <c r="E383" s="1265"/>
      <c r="F383" s="1285"/>
      <c r="G383" s="1264"/>
      <c r="H383" s="1264"/>
      <c r="I383" s="1285"/>
      <c r="J383" s="1285"/>
      <c r="K383" s="1285"/>
      <c r="L383" s="1285"/>
      <c r="M383" s="1285"/>
      <c r="N383" s="1285"/>
      <c r="O383" s="1285"/>
      <c r="P383" s="1285"/>
      <c r="Q383" s="1285"/>
      <c r="R383" s="1285"/>
      <c r="S383" s="1285"/>
      <c r="T383" s="1285"/>
      <c r="U383" s="1285"/>
      <c r="V383" s="1285"/>
      <c r="W383" s="1286"/>
      <c r="X383" s="1286"/>
      <c r="Y383" s="1286"/>
      <c r="Z383" s="1286"/>
      <c r="AA383" s="1286"/>
      <c r="AB383" s="1286"/>
      <c r="AC383" s="1286"/>
      <c r="AD383" s="1286"/>
      <c r="AE383" s="1286"/>
      <c r="AF383" s="1286"/>
      <c r="AG383" s="1286"/>
      <c r="AH383" s="1286"/>
      <c r="AI383" s="1286"/>
      <c r="AJ383" s="1286"/>
      <c r="AK383" s="1286"/>
      <c r="AL383" s="1286"/>
      <c r="AM383" s="1286"/>
      <c r="AN383" s="1286"/>
      <c r="AO383" s="1286"/>
      <c r="AP383" s="1286"/>
      <c r="AQ383" s="1286"/>
      <c r="AR383" s="1286"/>
      <c r="AS383" s="1286"/>
      <c r="AT383" s="1286"/>
      <c r="AU383" s="1286"/>
      <c r="AV383" s="1286"/>
      <c r="AW383" s="1286"/>
      <c r="AX383" s="1286"/>
      <c r="AY383" s="1286"/>
      <c r="AZ383" s="1286"/>
      <c r="BA383" s="1286"/>
      <c r="BB383" s="1286"/>
      <c r="BC383" s="1286"/>
      <c r="BD383" s="1286"/>
      <c r="BE383" s="1286"/>
      <c r="BF383" s="1286"/>
      <c r="BG383" s="1286"/>
      <c r="BH383" s="1286"/>
      <c r="BI383" s="1286"/>
      <c r="BJ383" s="1286"/>
      <c r="BK383" s="1286"/>
      <c r="BL383" s="1286"/>
      <c r="BM383" s="1286"/>
      <c r="BN383" s="1286"/>
      <c r="BO383" s="1286"/>
      <c r="BP383" s="1286"/>
      <c r="BQ383" s="1286"/>
      <c r="BR383" s="1286"/>
      <c r="BS383" s="1286"/>
      <c r="BT383" s="1286"/>
      <c r="BU383" s="1286"/>
      <c r="BV383" s="1286"/>
      <c r="BW383" s="1286"/>
      <c r="BX383" s="1286"/>
      <c r="BY383" s="1286"/>
      <c r="BZ383" s="1286"/>
      <c r="CA383" s="1286"/>
      <c r="CB383" s="1286"/>
      <c r="CC383" s="1286"/>
      <c r="CD383" s="1286"/>
      <c r="CE383" s="1286"/>
      <c r="CF383" s="1286"/>
      <c r="CG383" s="1286"/>
      <c r="CH383" s="1269"/>
      <c r="CI383" s="1286"/>
      <c r="CJ383" s="1286"/>
      <c r="CK383" s="1286"/>
      <c r="CL383" s="1286"/>
      <c r="CM383" s="1286"/>
      <c r="CN383" s="1286"/>
      <c r="CO383" s="1286"/>
      <c r="CP383" s="1286"/>
      <c r="CQ383" s="1286"/>
      <c r="CR383" s="1286"/>
      <c r="CS383" s="1286"/>
      <c r="CT383" s="1286"/>
      <c r="CU383" s="1286"/>
      <c r="CV383" s="1286"/>
      <c r="CW383" s="1286"/>
      <c r="CX383" s="1286"/>
      <c r="CY383" s="1286"/>
      <c r="CZ383" s="1286"/>
      <c r="DA383" s="1286"/>
      <c r="DB383" s="1286"/>
      <c r="DC383" s="1286"/>
      <c r="DD383" s="1286"/>
      <c r="DE383" s="1286"/>
      <c r="DF383" s="1286"/>
      <c r="DG383" s="1286"/>
      <c r="DH383" s="1286"/>
      <c r="DI383" s="1286"/>
      <c r="DJ383" s="1286"/>
      <c r="DK383" s="1286"/>
      <c r="DL383" s="1286"/>
      <c r="DM383" s="1286"/>
      <c r="DN383" s="1286"/>
      <c r="DO383" s="1286"/>
      <c r="DP383" s="1286"/>
      <c r="DQ383" s="1286"/>
      <c r="DR383" s="1286"/>
      <c r="DS383" s="1286"/>
      <c r="DT383" s="1286"/>
      <c r="DU383" s="1286"/>
      <c r="DV383" s="1286"/>
      <c r="DW383" s="1286"/>
      <c r="DX383" s="1286"/>
      <c r="DY383" s="1286"/>
      <c r="DZ383" s="1286"/>
      <c r="EA383" s="1286"/>
      <c r="EB383" s="1206"/>
      <c r="EC383" s="1206"/>
      <c r="ED383" s="1206"/>
      <c r="EE383" s="1206"/>
      <c r="EF383" s="1206"/>
      <c r="EG383" s="1206"/>
      <c r="EH383" s="1206"/>
      <c r="EI383" s="1206"/>
      <c r="EJ383" s="1206"/>
      <c r="EK383" s="1206"/>
      <c r="EL383" s="1206"/>
      <c r="EM383" s="1313"/>
    </row>
    <row r="384" spans="2:143" s="1271" customFormat="1">
      <c r="B384" s="1263"/>
      <c r="C384" s="1264"/>
      <c r="D384" s="1265"/>
      <c r="E384" s="1265"/>
      <c r="F384" s="1285"/>
      <c r="G384" s="1264"/>
      <c r="H384" s="1264"/>
      <c r="I384" s="1285"/>
      <c r="J384" s="1285"/>
      <c r="K384" s="1285"/>
      <c r="L384" s="1285"/>
      <c r="M384" s="1285"/>
      <c r="N384" s="1285"/>
      <c r="O384" s="1285"/>
      <c r="P384" s="1285"/>
      <c r="Q384" s="1285"/>
      <c r="R384" s="1285"/>
      <c r="S384" s="1285"/>
      <c r="T384" s="1285"/>
      <c r="U384" s="1285"/>
      <c r="V384" s="1285"/>
      <c r="W384" s="1286"/>
      <c r="X384" s="1286"/>
      <c r="Y384" s="1286"/>
      <c r="Z384" s="1286"/>
      <c r="AA384" s="1286"/>
      <c r="AB384" s="1286"/>
      <c r="AC384" s="1286"/>
      <c r="AD384" s="1286"/>
      <c r="AE384" s="1286"/>
      <c r="AF384" s="1286"/>
      <c r="AG384" s="1286"/>
      <c r="AH384" s="1286"/>
      <c r="AI384" s="1286"/>
      <c r="AJ384" s="1286"/>
      <c r="AK384" s="1286"/>
      <c r="AL384" s="1286"/>
      <c r="AM384" s="1286"/>
      <c r="AN384" s="1286"/>
      <c r="AO384" s="1286"/>
      <c r="AP384" s="1286"/>
      <c r="AQ384" s="1286"/>
      <c r="AR384" s="1286"/>
      <c r="AS384" s="1286"/>
      <c r="AT384" s="1286"/>
      <c r="AU384" s="1286"/>
      <c r="AV384" s="1286"/>
      <c r="AW384" s="1286"/>
      <c r="AX384" s="1286"/>
      <c r="AY384" s="1286"/>
      <c r="AZ384" s="1286"/>
      <c r="BA384" s="1286"/>
      <c r="BB384" s="1286"/>
      <c r="BC384" s="1286"/>
      <c r="BD384" s="1286"/>
      <c r="BE384" s="1286"/>
      <c r="BF384" s="1286"/>
      <c r="BG384" s="1286"/>
      <c r="BH384" s="1286"/>
      <c r="BI384" s="1286"/>
      <c r="BJ384" s="1286"/>
      <c r="BK384" s="1286"/>
      <c r="BL384" s="1286"/>
      <c r="BM384" s="1286"/>
      <c r="BN384" s="1286"/>
      <c r="BO384" s="1286"/>
      <c r="BP384" s="1286"/>
      <c r="BQ384" s="1286"/>
      <c r="BR384" s="1286"/>
      <c r="BS384" s="1286"/>
      <c r="BT384" s="1286"/>
      <c r="BU384" s="1286"/>
      <c r="BV384" s="1286"/>
      <c r="BW384" s="1286"/>
      <c r="BX384" s="1286"/>
      <c r="BY384" s="1286"/>
      <c r="BZ384" s="1286"/>
      <c r="CA384" s="1286"/>
      <c r="CB384" s="1286"/>
      <c r="CC384" s="1286"/>
      <c r="CD384" s="1286"/>
      <c r="CE384" s="1286"/>
      <c r="CF384" s="1286"/>
      <c r="CG384" s="1286"/>
      <c r="CH384" s="1269"/>
      <c r="CI384" s="1286"/>
      <c r="CJ384" s="1286"/>
      <c r="CK384" s="1286"/>
      <c r="CL384" s="1286"/>
      <c r="CM384" s="1286"/>
      <c r="CN384" s="1286"/>
      <c r="CO384" s="1286"/>
      <c r="CP384" s="1286"/>
      <c r="CQ384" s="1286"/>
      <c r="CR384" s="1286"/>
      <c r="CS384" s="1286"/>
      <c r="CT384" s="1286"/>
      <c r="CU384" s="1286"/>
      <c r="CV384" s="1286"/>
      <c r="CW384" s="1286"/>
      <c r="CX384" s="1286"/>
      <c r="CY384" s="1286"/>
      <c r="CZ384" s="1286"/>
      <c r="DA384" s="1286"/>
      <c r="DB384" s="1286"/>
      <c r="DC384" s="1286"/>
      <c r="DD384" s="1286"/>
      <c r="DE384" s="1286"/>
      <c r="DF384" s="1286"/>
      <c r="DG384" s="1286"/>
      <c r="DH384" s="1286"/>
      <c r="DI384" s="1286"/>
      <c r="DJ384" s="1286"/>
      <c r="DK384" s="1286"/>
      <c r="DL384" s="1286"/>
      <c r="DM384" s="1286"/>
      <c r="DN384" s="1286"/>
      <c r="DO384" s="1286"/>
      <c r="DP384" s="1286"/>
      <c r="DQ384" s="1286"/>
      <c r="DR384" s="1286"/>
      <c r="DS384" s="1286"/>
      <c r="DT384" s="1286"/>
      <c r="DU384" s="1286"/>
      <c r="DV384" s="1286"/>
      <c r="DW384" s="1286"/>
      <c r="DX384" s="1286"/>
      <c r="DY384" s="1286"/>
      <c r="DZ384" s="1286"/>
      <c r="EA384" s="1286"/>
      <c r="EB384" s="1206"/>
      <c r="EC384" s="1206"/>
      <c r="ED384" s="1206"/>
      <c r="EE384" s="1206"/>
      <c r="EF384" s="1206"/>
      <c r="EG384" s="1206"/>
      <c r="EH384" s="1206"/>
      <c r="EI384" s="1206"/>
      <c r="EJ384" s="1206"/>
      <c r="EK384" s="1206"/>
      <c r="EL384" s="1206"/>
      <c r="EM384" s="1313"/>
    </row>
    <row r="385" spans="2:143" s="1271" customFormat="1">
      <c r="B385" s="1263"/>
      <c r="C385" s="1264"/>
      <c r="D385" s="1265"/>
      <c r="E385" s="1265"/>
      <c r="F385" s="1285"/>
      <c r="G385" s="1264"/>
      <c r="H385" s="1264"/>
      <c r="I385" s="1285"/>
      <c r="J385" s="1285"/>
      <c r="K385" s="1285"/>
      <c r="L385" s="1285"/>
      <c r="M385" s="1285"/>
      <c r="N385" s="1285"/>
      <c r="O385" s="1285"/>
      <c r="P385" s="1285"/>
      <c r="Q385" s="1285"/>
      <c r="R385" s="1285"/>
      <c r="S385" s="1285"/>
      <c r="T385" s="1285"/>
      <c r="U385" s="1285"/>
      <c r="V385" s="1285"/>
      <c r="W385" s="1286"/>
      <c r="X385" s="1286"/>
      <c r="Y385" s="1286"/>
      <c r="Z385" s="1286"/>
      <c r="AA385" s="1286"/>
      <c r="AB385" s="1286"/>
      <c r="AC385" s="1286"/>
      <c r="AD385" s="1286"/>
      <c r="AE385" s="1286"/>
      <c r="AF385" s="1286"/>
      <c r="AG385" s="1286"/>
      <c r="AH385" s="1286"/>
      <c r="AI385" s="1286"/>
      <c r="AJ385" s="1286"/>
      <c r="AK385" s="1286"/>
      <c r="AL385" s="1286"/>
      <c r="AM385" s="1286"/>
      <c r="AN385" s="1286"/>
      <c r="AO385" s="1286"/>
      <c r="AP385" s="1286"/>
      <c r="AQ385" s="1286"/>
      <c r="AR385" s="1286"/>
      <c r="AS385" s="1286"/>
      <c r="AT385" s="1286"/>
      <c r="AU385" s="1286"/>
      <c r="AV385" s="1286"/>
      <c r="AW385" s="1286"/>
      <c r="AX385" s="1286"/>
      <c r="AY385" s="1286"/>
      <c r="AZ385" s="1286"/>
      <c r="BA385" s="1286"/>
      <c r="BB385" s="1286"/>
      <c r="BC385" s="1286"/>
      <c r="BD385" s="1286"/>
      <c r="BE385" s="1286"/>
      <c r="BF385" s="1286"/>
      <c r="BG385" s="1286"/>
      <c r="BH385" s="1286"/>
      <c r="BI385" s="1286"/>
      <c r="BJ385" s="1286"/>
      <c r="BK385" s="1286"/>
      <c r="BL385" s="1286"/>
      <c r="BM385" s="1286"/>
      <c r="BN385" s="1286"/>
      <c r="BO385" s="1286"/>
      <c r="BP385" s="1286"/>
      <c r="BQ385" s="1286"/>
      <c r="BR385" s="1286"/>
      <c r="BS385" s="1286"/>
      <c r="BT385" s="1286"/>
      <c r="BU385" s="1286"/>
      <c r="BV385" s="1286"/>
      <c r="BW385" s="1286"/>
      <c r="BX385" s="1286"/>
      <c r="BY385" s="1286"/>
      <c r="BZ385" s="1286"/>
      <c r="CA385" s="1286"/>
      <c r="CB385" s="1286"/>
      <c r="CC385" s="1286"/>
      <c r="CD385" s="1286"/>
      <c r="CE385" s="1286"/>
      <c r="CF385" s="1286"/>
      <c r="CG385" s="1286"/>
      <c r="CH385" s="1269"/>
      <c r="CI385" s="1286"/>
      <c r="CJ385" s="1286"/>
      <c r="CK385" s="1286"/>
      <c r="CL385" s="1286"/>
      <c r="CM385" s="1286"/>
      <c r="CN385" s="1286"/>
      <c r="CO385" s="1286"/>
      <c r="CP385" s="1286"/>
      <c r="CQ385" s="1286"/>
      <c r="CR385" s="1286"/>
      <c r="CS385" s="1286"/>
      <c r="CT385" s="1286"/>
      <c r="CU385" s="1286"/>
      <c r="CV385" s="1286"/>
      <c r="CW385" s="1286"/>
      <c r="CX385" s="1286"/>
      <c r="CY385" s="1286"/>
      <c r="CZ385" s="1286"/>
      <c r="DA385" s="1286"/>
      <c r="DB385" s="1286"/>
      <c r="DC385" s="1286"/>
      <c r="DD385" s="1286"/>
      <c r="DE385" s="1286"/>
      <c r="DF385" s="1286"/>
      <c r="DG385" s="1286"/>
      <c r="DH385" s="1286"/>
      <c r="DI385" s="1286"/>
      <c r="DJ385" s="1286"/>
      <c r="DK385" s="1286"/>
      <c r="DL385" s="1286"/>
      <c r="DM385" s="1286"/>
      <c r="DN385" s="1286"/>
      <c r="DO385" s="1286"/>
      <c r="DP385" s="1286"/>
      <c r="DQ385" s="1286"/>
      <c r="DR385" s="1286"/>
      <c r="DS385" s="1286"/>
      <c r="DT385" s="1286"/>
      <c r="DU385" s="1286"/>
      <c r="DV385" s="1286"/>
      <c r="DW385" s="1286"/>
      <c r="DX385" s="1286"/>
      <c r="DY385" s="1286"/>
      <c r="DZ385" s="1286"/>
      <c r="EA385" s="1286"/>
      <c r="EB385" s="1206"/>
      <c r="EC385" s="1206"/>
      <c r="ED385" s="1206"/>
      <c r="EE385" s="1206"/>
      <c r="EF385" s="1206"/>
      <c r="EG385" s="1206"/>
      <c r="EH385" s="1206"/>
      <c r="EI385" s="1206"/>
      <c r="EJ385" s="1206"/>
      <c r="EK385" s="1206"/>
      <c r="EL385" s="1206"/>
      <c r="EM385" s="1313"/>
    </row>
    <row r="386" spans="2:143" s="1271" customFormat="1">
      <c r="B386" s="1263"/>
      <c r="C386" s="1264"/>
      <c r="D386" s="1265"/>
      <c r="E386" s="1265"/>
      <c r="F386" s="1285"/>
      <c r="G386" s="1264"/>
      <c r="H386" s="1264"/>
      <c r="I386" s="1285"/>
      <c r="J386" s="1285"/>
      <c r="K386" s="1285"/>
      <c r="L386" s="1285"/>
      <c r="M386" s="1285"/>
      <c r="N386" s="1285"/>
      <c r="O386" s="1285"/>
      <c r="P386" s="1285"/>
      <c r="Q386" s="1285"/>
      <c r="R386" s="1285"/>
      <c r="S386" s="1285"/>
      <c r="T386" s="1285"/>
      <c r="U386" s="1285"/>
      <c r="V386" s="1285"/>
      <c r="W386" s="1286"/>
      <c r="X386" s="1286"/>
      <c r="Y386" s="1286"/>
      <c r="Z386" s="1286"/>
      <c r="AA386" s="1286"/>
      <c r="AB386" s="1286"/>
      <c r="AC386" s="1286"/>
      <c r="AD386" s="1286"/>
      <c r="AE386" s="1286"/>
      <c r="AF386" s="1286"/>
      <c r="AG386" s="1286"/>
      <c r="AH386" s="1286"/>
      <c r="AI386" s="1286"/>
      <c r="AJ386" s="1286"/>
      <c r="AK386" s="1286"/>
      <c r="AL386" s="1286"/>
      <c r="AM386" s="1286"/>
      <c r="AN386" s="1286"/>
      <c r="AO386" s="1286"/>
      <c r="AP386" s="1286"/>
      <c r="AQ386" s="1286"/>
      <c r="AR386" s="1286"/>
      <c r="AS386" s="1286"/>
      <c r="AT386" s="1286"/>
      <c r="AU386" s="1286"/>
      <c r="AV386" s="1286"/>
      <c r="AW386" s="1286"/>
      <c r="AX386" s="1286"/>
      <c r="AY386" s="1286"/>
      <c r="AZ386" s="1286"/>
      <c r="BA386" s="1286"/>
      <c r="BB386" s="1286"/>
      <c r="BC386" s="1286"/>
      <c r="BD386" s="1286"/>
      <c r="BE386" s="1286"/>
      <c r="BF386" s="1286"/>
      <c r="BG386" s="1286"/>
      <c r="BH386" s="1286"/>
      <c r="BI386" s="1286"/>
      <c r="BJ386" s="1286"/>
      <c r="BK386" s="1286"/>
      <c r="BL386" s="1286"/>
      <c r="BM386" s="1286"/>
      <c r="BN386" s="1286"/>
      <c r="BO386" s="1286"/>
      <c r="BP386" s="1286"/>
      <c r="BQ386" s="1286"/>
      <c r="BR386" s="1286"/>
      <c r="BS386" s="1286"/>
      <c r="BT386" s="1286"/>
      <c r="BU386" s="1286"/>
      <c r="BV386" s="1286"/>
      <c r="BW386" s="1286"/>
      <c r="BX386" s="1286"/>
      <c r="BY386" s="1286"/>
      <c r="BZ386" s="1286"/>
      <c r="CA386" s="1286"/>
      <c r="CB386" s="1286"/>
      <c r="CC386" s="1286"/>
      <c r="CD386" s="1286"/>
      <c r="CE386" s="1286"/>
      <c r="CF386" s="1286"/>
      <c r="CG386" s="1286"/>
      <c r="CH386" s="1269"/>
      <c r="CI386" s="1286"/>
      <c r="CJ386" s="1286"/>
      <c r="CK386" s="1286"/>
      <c r="CL386" s="1286"/>
      <c r="CM386" s="1286"/>
      <c r="CN386" s="1286"/>
      <c r="CO386" s="1286"/>
      <c r="CP386" s="1286"/>
      <c r="CQ386" s="1286"/>
      <c r="CR386" s="1286"/>
      <c r="CS386" s="1286"/>
      <c r="CT386" s="1286"/>
      <c r="CU386" s="1286"/>
      <c r="CV386" s="1286"/>
      <c r="CW386" s="1286"/>
      <c r="CX386" s="1286"/>
      <c r="CY386" s="1286"/>
      <c r="CZ386" s="1286"/>
      <c r="DA386" s="1286"/>
      <c r="DB386" s="1286"/>
      <c r="DC386" s="1286"/>
      <c r="DD386" s="1286"/>
      <c r="DE386" s="1286"/>
      <c r="DF386" s="1286"/>
      <c r="DG386" s="1286"/>
      <c r="DH386" s="1286"/>
      <c r="DI386" s="1286"/>
      <c r="DJ386" s="1286"/>
      <c r="DK386" s="1286"/>
      <c r="DL386" s="1286"/>
      <c r="DM386" s="1286"/>
      <c r="DN386" s="1286"/>
      <c r="DO386" s="1286"/>
      <c r="DP386" s="1286"/>
      <c r="DQ386" s="1286"/>
      <c r="DR386" s="1286"/>
      <c r="DS386" s="1286"/>
      <c r="DT386" s="1286"/>
      <c r="DU386" s="1286"/>
      <c r="DV386" s="1286"/>
      <c r="DW386" s="1286"/>
      <c r="DX386" s="1286"/>
      <c r="DY386" s="1286"/>
      <c r="DZ386" s="1286"/>
      <c r="EA386" s="1286"/>
      <c r="EB386" s="1206"/>
      <c r="EC386" s="1206"/>
      <c r="ED386" s="1206"/>
      <c r="EE386" s="1206"/>
      <c r="EF386" s="1206"/>
      <c r="EG386" s="1206"/>
      <c r="EH386" s="1206"/>
      <c r="EI386" s="1206"/>
      <c r="EJ386" s="1206"/>
      <c r="EK386" s="1206"/>
      <c r="EL386" s="1206"/>
      <c r="EM386" s="1313"/>
    </row>
    <row r="387" spans="2:143" s="1271" customFormat="1">
      <c r="B387" s="1263"/>
      <c r="C387" s="1264"/>
      <c r="D387" s="1265"/>
      <c r="E387" s="1265"/>
      <c r="F387" s="1285"/>
      <c r="G387" s="1264"/>
      <c r="H387" s="1264"/>
      <c r="I387" s="1285"/>
      <c r="J387" s="1285"/>
      <c r="K387" s="1285"/>
      <c r="L387" s="1285"/>
      <c r="M387" s="1285"/>
      <c r="N387" s="1285"/>
      <c r="O387" s="1285"/>
      <c r="P387" s="1285"/>
      <c r="Q387" s="1285"/>
      <c r="R387" s="1285"/>
      <c r="S387" s="1285"/>
      <c r="T387" s="1285"/>
      <c r="U387" s="1285"/>
      <c r="V387" s="1285"/>
      <c r="W387" s="1286"/>
      <c r="X387" s="1286"/>
      <c r="Y387" s="1286"/>
      <c r="Z387" s="1286"/>
      <c r="AA387" s="1286"/>
      <c r="AB387" s="1286"/>
      <c r="AC387" s="1286"/>
      <c r="AD387" s="1286"/>
      <c r="AE387" s="1286"/>
      <c r="AF387" s="1286"/>
      <c r="AG387" s="1286"/>
      <c r="AH387" s="1286"/>
      <c r="AI387" s="1286"/>
      <c r="AJ387" s="1286"/>
      <c r="AK387" s="1286"/>
      <c r="AL387" s="1286"/>
      <c r="AM387" s="1286"/>
      <c r="AN387" s="1286"/>
      <c r="AO387" s="1286"/>
      <c r="AP387" s="1286"/>
      <c r="AQ387" s="1286"/>
      <c r="AR387" s="1286"/>
      <c r="AS387" s="1286"/>
      <c r="AT387" s="1286"/>
      <c r="AU387" s="1286"/>
      <c r="AV387" s="1286"/>
      <c r="AW387" s="1286"/>
      <c r="AX387" s="1286"/>
      <c r="AY387" s="1286"/>
      <c r="AZ387" s="1286"/>
      <c r="BA387" s="1286"/>
      <c r="BB387" s="1286"/>
      <c r="BC387" s="1286"/>
      <c r="BD387" s="1286"/>
      <c r="BE387" s="1286"/>
      <c r="BF387" s="1286"/>
      <c r="BG387" s="1286"/>
      <c r="BH387" s="1286"/>
      <c r="BI387" s="1286"/>
      <c r="BJ387" s="1286"/>
      <c r="BK387" s="1286"/>
      <c r="BL387" s="1286"/>
      <c r="BM387" s="1286"/>
      <c r="BN387" s="1286"/>
      <c r="BO387" s="1286"/>
      <c r="BP387" s="1286"/>
      <c r="BQ387" s="1286"/>
      <c r="BR387" s="1286"/>
      <c r="BS387" s="1286"/>
      <c r="BT387" s="1286"/>
      <c r="BU387" s="1286"/>
      <c r="BV387" s="1286"/>
      <c r="BW387" s="1286"/>
      <c r="BX387" s="1286"/>
      <c r="BY387" s="1286"/>
      <c r="BZ387" s="1286"/>
      <c r="CA387" s="1286"/>
      <c r="CB387" s="1286"/>
      <c r="CC387" s="1286"/>
      <c r="CD387" s="1286"/>
      <c r="CE387" s="1286"/>
      <c r="CF387" s="1286"/>
      <c r="CG387" s="1286"/>
      <c r="CH387" s="1269"/>
      <c r="CI387" s="1286"/>
      <c r="CJ387" s="1286"/>
      <c r="CK387" s="1286"/>
      <c r="CL387" s="1286"/>
      <c r="CM387" s="1286"/>
      <c r="CN387" s="1286"/>
      <c r="CO387" s="1286"/>
      <c r="CP387" s="1286"/>
      <c r="CQ387" s="1286"/>
      <c r="CR387" s="1286"/>
      <c r="CS387" s="1286"/>
      <c r="CT387" s="1286"/>
      <c r="CU387" s="1286"/>
      <c r="CV387" s="1286"/>
      <c r="CW387" s="1286"/>
      <c r="CX387" s="1286"/>
      <c r="CY387" s="1286"/>
      <c r="CZ387" s="1286"/>
      <c r="DA387" s="1286"/>
      <c r="DB387" s="1286"/>
      <c r="DC387" s="1286"/>
      <c r="DD387" s="1286"/>
      <c r="DE387" s="1286"/>
      <c r="DF387" s="1286"/>
      <c r="DG387" s="1286"/>
      <c r="DH387" s="1286"/>
      <c r="DI387" s="1286"/>
      <c r="DJ387" s="1286"/>
      <c r="DK387" s="1286"/>
      <c r="DL387" s="1286"/>
      <c r="DM387" s="1286"/>
      <c r="DN387" s="1286"/>
      <c r="DO387" s="1286"/>
      <c r="DP387" s="1286"/>
      <c r="DQ387" s="1286"/>
      <c r="DR387" s="1286"/>
      <c r="DS387" s="1286"/>
      <c r="DT387" s="1286"/>
      <c r="DU387" s="1286"/>
      <c r="DV387" s="1286"/>
      <c r="DW387" s="1286"/>
      <c r="DX387" s="1286"/>
      <c r="DY387" s="1286"/>
      <c r="DZ387" s="1286"/>
      <c r="EA387" s="1286"/>
      <c r="EB387" s="1206"/>
      <c r="EC387" s="1206"/>
      <c r="ED387" s="1206"/>
      <c r="EE387" s="1206"/>
      <c r="EF387" s="1206"/>
      <c r="EG387" s="1206"/>
      <c r="EH387" s="1206"/>
      <c r="EI387" s="1206"/>
      <c r="EJ387" s="1206"/>
      <c r="EK387" s="1206"/>
      <c r="EL387" s="1206"/>
      <c r="EM387" s="1313"/>
    </row>
    <row r="388" spans="2:143" s="1271" customFormat="1">
      <c r="B388" s="1263"/>
      <c r="C388" s="1264"/>
      <c r="D388" s="1265"/>
      <c r="E388" s="1265"/>
      <c r="F388" s="1285"/>
      <c r="G388" s="1264"/>
      <c r="H388" s="1264"/>
      <c r="I388" s="1285"/>
      <c r="J388" s="1285"/>
      <c r="K388" s="1285"/>
      <c r="L388" s="1285"/>
      <c r="M388" s="1285"/>
      <c r="N388" s="1285"/>
      <c r="O388" s="1285"/>
      <c r="P388" s="1285"/>
      <c r="Q388" s="1285"/>
      <c r="R388" s="1285"/>
      <c r="S388" s="1285"/>
      <c r="T388" s="1285"/>
      <c r="U388" s="1285"/>
      <c r="V388" s="1285"/>
      <c r="W388" s="1286"/>
      <c r="X388" s="1286"/>
      <c r="Y388" s="1286"/>
      <c r="Z388" s="1286"/>
      <c r="AA388" s="1286"/>
      <c r="AB388" s="1286"/>
      <c r="AC388" s="1286"/>
      <c r="AD388" s="1286"/>
      <c r="AE388" s="1286"/>
      <c r="AF388" s="1286"/>
      <c r="AG388" s="1286"/>
      <c r="AH388" s="1286"/>
      <c r="AI388" s="1286"/>
      <c r="AJ388" s="1286"/>
      <c r="AK388" s="1286"/>
      <c r="AL388" s="1286"/>
      <c r="AM388" s="1286"/>
      <c r="AN388" s="1286"/>
      <c r="AO388" s="1286"/>
      <c r="AP388" s="1286"/>
      <c r="AQ388" s="1286"/>
      <c r="AR388" s="1286"/>
      <c r="AS388" s="1286"/>
      <c r="AT388" s="1286"/>
      <c r="AU388" s="1286"/>
      <c r="AV388" s="1286"/>
      <c r="AW388" s="1286"/>
      <c r="AX388" s="1286"/>
      <c r="AY388" s="1286"/>
      <c r="AZ388" s="1286"/>
      <c r="BA388" s="1286"/>
      <c r="BB388" s="1286"/>
      <c r="BC388" s="1286"/>
      <c r="BD388" s="1286"/>
      <c r="BE388" s="1286"/>
      <c r="BF388" s="1286"/>
      <c r="BG388" s="1286"/>
      <c r="BH388" s="1286"/>
      <c r="BI388" s="1286"/>
      <c r="BJ388" s="1286"/>
      <c r="BK388" s="1286"/>
      <c r="BL388" s="1286"/>
      <c r="BM388" s="1286"/>
      <c r="BN388" s="1286"/>
      <c r="BO388" s="1286"/>
      <c r="BP388" s="1286"/>
      <c r="BQ388" s="1286"/>
      <c r="BR388" s="1286"/>
      <c r="BS388" s="1286"/>
      <c r="BT388" s="1286"/>
      <c r="BU388" s="1286"/>
      <c r="BV388" s="1286"/>
      <c r="BW388" s="1286"/>
      <c r="BX388" s="1286"/>
      <c r="BY388" s="1286"/>
      <c r="BZ388" s="1286"/>
      <c r="CA388" s="1286"/>
      <c r="CB388" s="1286"/>
      <c r="CC388" s="1286"/>
      <c r="CD388" s="1286"/>
      <c r="CE388" s="1286"/>
      <c r="CF388" s="1286"/>
      <c r="CG388" s="1286"/>
      <c r="CH388" s="1269"/>
      <c r="CI388" s="1286"/>
      <c r="CJ388" s="1286"/>
      <c r="CK388" s="1286"/>
      <c r="CL388" s="1286"/>
      <c r="CM388" s="1286"/>
      <c r="CN388" s="1286"/>
      <c r="CO388" s="1286"/>
      <c r="CP388" s="1286"/>
      <c r="CQ388" s="1286"/>
      <c r="CR388" s="1286"/>
      <c r="CS388" s="1286"/>
      <c r="CT388" s="1286"/>
      <c r="CU388" s="1286"/>
      <c r="CV388" s="1286"/>
      <c r="CW388" s="1286"/>
      <c r="CX388" s="1286"/>
      <c r="CY388" s="1286"/>
      <c r="CZ388" s="1286"/>
      <c r="DA388" s="1286"/>
      <c r="DB388" s="1286"/>
      <c r="DC388" s="1286"/>
      <c r="DD388" s="1286"/>
      <c r="DE388" s="1286"/>
      <c r="DF388" s="1286"/>
      <c r="DG388" s="1286"/>
      <c r="DH388" s="1286"/>
      <c r="DI388" s="1286"/>
      <c r="DJ388" s="1286"/>
      <c r="DK388" s="1286"/>
      <c r="DL388" s="1286"/>
      <c r="DM388" s="1286"/>
      <c r="DN388" s="1286"/>
      <c r="DO388" s="1286"/>
      <c r="DP388" s="1286"/>
      <c r="DQ388" s="1286"/>
      <c r="DR388" s="1286"/>
      <c r="DS388" s="1286"/>
      <c r="DT388" s="1286"/>
      <c r="DU388" s="1286"/>
      <c r="DV388" s="1286"/>
      <c r="DW388" s="1286"/>
      <c r="DX388" s="1286"/>
      <c r="DY388" s="1286"/>
      <c r="DZ388" s="1286"/>
      <c r="EA388" s="1286"/>
      <c r="EB388" s="1206"/>
      <c r="EC388" s="1206"/>
      <c r="ED388" s="1206"/>
      <c r="EE388" s="1206"/>
      <c r="EF388" s="1206"/>
      <c r="EG388" s="1206"/>
      <c r="EH388" s="1206"/>
      <c r="EI388" s="1206"/>
      <c r="EJ388" s="1206"/>
      <c r="EK388" s="1206"/>
      <c r="EL388" s="1206"/>
      <c r="EM388" s="1313"/>
    </row>
    <row r="389" spans="2:143" s="1271" customFormat="1">
      <c r="B389" s="1263"/>
      <c r="C389" s="1264"/>
      <c r="D389" s="1265"/>
      <c r="E389" s="1265"/>
      <c r="F389" s="1285"/>
      <c r="G389" s="1264"/>
      <c r="H389" s="1264"/>
      <c r="I389" s="1285"/>
      <c r="J389" s="1285"/>
      <c r="K389" s="1285"/>
      <c r="L389" s="1285"/>
      <c r="M389" s="1285"/>
      <c r="N389" s="1285"/>
      <c r="O389" s="1285"/>
      <c r="P389" s="1285"/>
      <c r="Q389" s="1285"/>
      <c r="R389" s="1285"/>
      <c r="S389" s="1285"/>
      <c r="T389" s="1285"/>
      <c r="U389" s="1285"/>
      <c r="V389" s="1285"/>
      <c r="W389" s="1286"/>
      <c r="X389" s="1286"/>
      <c r="Y389" s="1286"/>
      <c r="Z389" s="1286"/>
      <c r="AA389" s="1286"/>
      <c r="AB389" s="1286"/>
      <c r="AC389" s="1286"/>
      <c r="AD389" s="1286"/>
      <c r="AE389" s="1286"/>
      <c r="AF389" s="1286"/>
      <c r="AG389" s="1286"/>
      <c r="AH389" s="1286"/>
      <c r="AI389" s="1286"/>
      <c r="AJ389" s="1286"/>
      <c r="AK389" s="1286"/>
      <c r="AL389" s="1286"/>
      <c r="AM389" s="1286"/>
      <c r="AN389" s="1286"/>
      <c r="AO389" s="1286"/>
      <c r="AP389" s="1286"/>
      <c r="AQ389" s="1286"/>
      <c r="AR389" s="1286"/>
      <c r="AS389" s="1286"/>
      <c r="AT389" s="1286"/>
      <c r="AU389" s="1286"/>
      <c r="AV389" s="1286"/>
      <c r="AW389" s="1286"/>
      <c r="AX389" s="1286"/>
      <c r="AY389" s="1286"/>
      <c r="AZ389" s="1286"/>
      <c r="BA389" s="1286"/>
      <c r="BB389" s="1286"/>
      <c r="BC389" s="1286"/>
      <c r="BD389" s="1286"/>
      <c r="BE389" s="1286"/>
      <c r="BF389" s="1286"/>
      <c r="BG389" s="1286"/>
      <c r="BH389" s="1286"/>
      <c r="BI389" s="1286"/>
      <c r="BJ389" s="1286"/>
      <c r="BK389" s="1286"/>
      <c r="BL389" s="1286"/>
      <c r="BM389" s="1286"/>
      <c r="BN389" s="1286"/>
      <c r="BO389" s="1286"/>
      <c r="BP389" s="1286"/>
      <c r="BQ389" s="1286"/>
      <c r="BR389" s="1286"/>
      <c r="BS389" s="1286"/>
      <c r="BT389" s="1286"/>
      <c r="BU389" s="1286"/>
      <c r="BV389" s="1286"/>
      <c r="BW389" s="1286"/>
      <c r="BX389" s="1286"/>
      <c r="BY389" s="1286"/>
      <c r="BZ389" s="1286"/>
      <c r="CA389" s="1286"/>
      <c r="CB389" s="1286"/>
      <c r="CC389" s="1286"/>
      <c r="CD389" s="1286"/>
      <c r="CE389" s="1286"/>
      <c r="CF389" s="1286"/>
      <c r="CG389" s="1286"/>
      <c r="CH389" s="1269"/>
      <c r="CI389" s="1286"/>
      <c r="CJ389" s="1286"/>
      <c r="CK389" s="1286"/>
      <c r="CL389" s="1286"/>
      <c r="CM389" s="1286"/>
      <c r="CN389" s="1286"/>
      <c r="CO389" s="1286"/>
      <c r="CP389" s="1286"/>
      <c r="CQ389" s="1286"/>
      <c r="CR389" s="1286"/>
      <c r="CS389" s="1286"/>
      <c r="CT389" s="1286"/>
      <c r="CU389" s="1286"/>
      <c r="CV389" s="1286"/>
      <c r="CW389" s="1286"/>
      <c r="CX389" s="1286"/>
      <c r="CY389" s="1286"/>
      <c r="CZ389" s="1286"/>
      <c r="DA389" s="1286"/>
      <c r="DB389" s="1286"/>
      <c r="DC389" s="1286"/>
      <c r="DD389" s="1286"/>
      <c r="DE389" s="1286"/>
      <c r="DF389" s="1286"/>
      <c r="DG389" s="1286"/>
      <c r="DH389" s="1286"/>
      <c r="DI389" s="1286"/>
      <c r="DJ389" s="1286"/>
      <c r="DK389" s="1286"/>
      <c r="DL389" s="1286"/>
      <c r="DM389" s="1286"/>
      <c r="DN389" s="1286"/>
      <c r="DO389" s="1286"/>
      <c r="DP389" s="1286"/>
      <c r="DQ389" s="1286"/>
      <c r="DR389" s="1286"/>
      <c r="DS389" s="1286"/>
      <c r="DT389" s="1286"/>
      <c r="DU389" s="1286"/>
      <c r="DV389" s="1286"/>
      <c r="DW389" s="1286"/>
      <c r="DX389" s="1286"/>
      <c r="DY389" s="1286"/>
      <c r="DZ389" s="1286"/>
      <c r="EA389" s="1286"/>
      <c r="EB389" s="1206"/>
      <c r="EC389" s="1206"/>
      <c r="ED389" s="1206"/>
      <c r="EE389" s="1206"/>
      <c r="EF389" s="1206"/>
      <c r="EG389" s="1206"/>
      <c r="EH389" s="1206"/>
      <c r="EI389" s="1206"/>
      <c r="EJ389" s="1206"/>
      <c r="EK389" s="1206"/>
      <c r="EL389" s="1206"/>
      <c r="EM389" s="1313"/>
    </row>
    <row r="390" spans="2:143" s="1271" customFormat="1">
      <c r="B390" s="1263"/>
      <c r="C390" s="1264"/>
      <c r="D390" s="1265"/>
      <c r="E390" s="1265"/>
      <c r="F390" s="1285"/>
      <c r="G390" s="1264"/>
      <c r="H390" s="1264"/>
      <c r="I390" s="1285"/>
      <c r="J390" s="1285"/>
      <c r="K390" s="1285"/>
      <c r="L390" s="1285"/>
      <c r="M390" s="1285"/>
      <c r="N390" s="1285"/>
      <c r="O390" s="1285"/>
      <c r="P390" s="1285"/>
      <c r="Q390" s="1285"/>
      <c r="R390" s="1285"/>
      <c r="S390" s="1285"/>
      <c r="T390" s="1285"/>
      <c r="U390" s="1285"/>
      <c r="V390" s="1285"/>
      <c r="W390" s="1286"/>
      <c r="X390" s="1286"/>
      <c r="Y390" s="1286"/>
      <c r="Z390" s="1286"/>
      <c r="AA390" s="1286"/>
      <c r="AB390" s="1286"/>
      <c r="AC390" s="1286"/>
      <c r="AD390" s="1286"/>
      <c r="AE390" s="1286"/>
      <c r="AF390" s="1286"/>
      <c r="AG390" s="1286"/>
      <c r="AH390" s="1286"/>
      <c r="AI390" s="1286"/>
      <c r="AJ390" s="1286"/>
      <c r="AK390" s="1286"/>
      <c r="AL390" s="1286"/>
      <c r="AM390" s="1286"/>
      <c r="AN390" s="1286"/>
      <c r="AO390" s="1286"/>
      <c r="AP390" s="1286"/>
      <c r="AQ390" s="1286"/>
      <c r="AR390" s="1286"/>
      <c r="AS390" s="1286"/>
      <c r="AT390" s="1286"/>
      <c r="AU390" s="1286"/>
      <c r="AV390" s="1286"/>
      <c r="AW390" s="1286"/>
      <c r="AX390" s="1286"/>
      <c r="AY390" s="1286"/>
      <c r="AZ390" s="1286"/>
      <c r="BA390" s="1286"/>
      <c r="BB390" s="1286"/>
      <c r="BC390" s="1286"/>
      <c r="BD390" s="1286"/>
      <c r="BE390" s="1286"/>
      <c r="BF390" s="1286"/>
      <c r="BG390" s="1286"/>
      <c r="BH390" s="1286"/>
      <c r="BI390" s="1286"/>
      <c r="BJ390" s="1286"/>
      <c r="BK390" s="1286"/>
      <c r="BL390" s="1286"/>
      <c r="BM390" s="1286"/>
      <c r="BN390" s="1286"/>
      <c r="BO390" s="1286"/>
      <c r="BP390" s="1286"/>
      <c r="BQ390" s="1286"/>
      <c r="BR390" s="1286"/>
      <c r="BS390" s="1286"/>
      <c r="BT390" s="1286"/>
      <c r="BU390" s="1286"/>
      <c r="BV390" s="1286"/>
      <c r="BW390" s="1286"/>
      <c r="BX390" s="1286"/>
      <c r="BY390" s="1286"/>
      <c r="BZ390" s="1286"/>
      <c r="CA390" s="1286"/>
      <c r="CB390" s="1286"/>
      <c r="CC390" s="1286"/>
      <c r="CD390" s="1286"/>
      <c r="CE390" s="1286"/>
      <c r="CF390" s="1286"/>
      <c r="CG390" s="1286"/>
      <c r="CH390" s="1269"/>
      <c r="CI390" s="1286"/>
      <c r="CJ390" s="1286"/>
      <c r="CK390" s="1286"/>
      <c r="CL390" s="1286"/>
      <c r="CM390" s="1286"/>
      <c r="CN390" s="1286"/>
      <c r="CO390" s="1286"/>
      <c r="CP390" s="1286"/>
      <c r="CQ390" s="1286"/>
      <c r="CR390" s="1286"/>
      <c r="CS390" s="1286"/>
      <c r="CT390" s="1286"/>
      <c r="CU390" s="1286"/>
      <c r="CV390" s="1286"/>
      <c r="CW390" s="1286"/>
      <c r="CX390" s="1286"/>
      <c r="CY390" s="1286"/>
      <c r="CZ390" s="1286"/>
      <c r="DA390" s="1286"/>
      <c r="DB390" s="1286"/>
      <c r="DC390" s="1286"/>
      <c r="DD390" s="1286"/>
      <c r="DE390" s="1286"/>
      <c r="DF390" s="1286"/>
      <c r="DG390" s="1286"/>
      <c r="DH390" s="1286"/>
      <c r="DI390" s="1286"/>
      <c r="DJ390" s="1286"/>
      <c r="DK390" s="1286"/>
      <c r="DL390" s="1286"/>
      <c r="DM390" s="1286"/>
      <c r="DN390" s="1286"/>
      <c r="DO390" s="1286"/>
      <c r="DP390" s="1286"/>
      <c r="DQ390" s="1286"/>
      <c r="DR390" s="1286"/>
      <c r="DS390" s="1286"/>
      <c r="DT390" s="1286"/>
      <c r="DU390" s="1286"/>
      <c r="DV390" s="1286"/>
      <c r="DW390" s="1286"/>
      <c r="DX390" s="1286"/>
      <c r="DY390" s="1286"/>
      <c r="DZ390" s="1286"/>
      <c r="EA390" s="1286"/>
      <c r="EB390" s="1206"/>
      <c r="EC390" s="1206"/>
      <c r="ED390" s="1206"/>
      <c r="EE390" s="1206"/>
      <c r="EF390" s="1206"/>
      <c r="EG390" s="1206"/>
      <c r="EH390" s="1206"/>
      <c r="EI390" s="1206"/>
      <c r="EJ390" s="1206"/>
      <c r="EK390" s="1206"/>
      <c r="EL390" s="1206"/>
      <c r="EM390" s="1313"/>
    </row>
    <row r="391" spans="2:143" s="1271" customFormat="1">
      <c r="B391" s="1263"/>
      <c r="C391" s="1264"/>
      <c r="D391" s="1265"/>
      <c r="E391" s="1265"/>
      <c r="F391" s="1285"/>
      <c r="G391" s="1264"/>
      <c r="H391" s="1264"/>
      <c r="I391" s="1285"/>
      <c r="J391" s="1285"/>
      <c r="K391" s="1285"/>
      <c r="L391" s="1285"/>
      <c r="M391" s="1285"/>
      <c r="N391" s="1285"/>
      <c r="O391" s="1285"/>
      <c r="P391" s="1285"/>
      <c r="Q391" s="1285"/>
      <c r="R391" s="1285"/>
      <c r="S391" s="1285"/>
      <c r="T391" s="1285"/>
      <c r="U391" s="1285"/>
      <c r="V391" s="1285"/>
      <c r="W391" s="1286"/>
      <c r="X391" s="1286"/>
      <c r="Y391" s="1286"/>
      <c r="Z391" s="1286"/>
      <c r="AA391" s="1286"/>
      <c r="AB391" s="1286"/>
      <c r="AC391" s="1286"/>
      <c r="AD391" s="1286"/>
      <c r="AE391" s="1286"/>
      <c r="AF391" s="1286"/>
      <c r="AG391" s="1286"/>
      <c r="AH391" s="1286"/>
      <c r="AI391" s="1286"/>
      <c r="AJ391" s="1286"/>
      <c r="AK391" s="1286"/>
      <c r="AL391" s="1286"/>
      <c r="AM391" s="1286"/>
      <c r="AN391" s="1286"/>
      <c r="AO391" s="1286"/>
      <c r="AP391" s="1286"/>
      <c r="AQ391" s="1286"/>
      <c r="AR391" s="1286"/>
      <c r="AS391" s="1286"/>
      <c r="AT391" s="1286"/>
      <c r="AU391" s="1286"/>
      <c r="AV391" s="1286"/>
      <c r="AW391" s="1286"/>
      <c r="AX391" s="1286"/>
      <c r="AY391" s="1286"/>
      <c r="AZ391" s="1286"/>
      <c r="BA391" s="1286"/>
      <c r="BB391" s="1286"/>
      <c r="BC391" s="1286"/>
      <c r="BD391" s="1286"/>
      <c r="BE391" s="1286"/>
      <c r="BF391" s="1286"/>
      <c r="BG391" s="1286"/>
      <c r="BH391" s="1286"/>
      <c r="BI391" s="1286"/>
      <c r="BJ391" s="1286"/>
      <c r="BK391" s="1286"/>
      <c r="BL391" s="1286"/>
      <c r="BM391" s="1286"/>
      <c r="BN391" s="1286"/>
      <c r="BO391" s="1286"/>
      <c r="BP391" s="1286"/>
      <c r="BQ391" s="1286"/>
      <c r="BR391" s="1286"/>
      <c r="BS391" s="1286"/>
      <c r="BT391" s="1286"/>
      <c r="BU391" s="1286"/>
      <c r="BV391" s="1286"/>
      <c r="BW391" s="1286"/>
      <c r="BX391" s="1286"/>
      <c r="BY391" s="1286"/>
      <c r="BZ391" s="1286"/>
      <c r="CA391" s="1286"/>
      <c r="CB391" s="1286"/>
      <c r="CC391" s="1286"/>
      <c r="CD391" s="1286"/>
      <c r="CE391" s="1286"/>
      <c r="CF391" s="1286"/>
      <c r="CG391" s="1286"/>
      <c r="CH391" s="1269"/>
      <c r="CI391" s="1286"/>
      <c r="CJ391" s="1286"/>
      <c r="CK391" s="1286"/>
      <c r="CL391" s="1286"/>
      <c r="CM391" s="1286"/>
      <c r="CN391" s="1286"/>
      <c r="CO391" s="1286"/>
      <c r="CP391" s="1286"/>
      <c r="CQ391" s="1286"/>
      <c r="CR391" s="1286"/>
      <c r="CS391" s="1286"/>
      <c r="CT391" s="1286"/>
      <c r="CU391" s="1286"/>
      <c r="CV391" s="1286"/>
      <c r="CW391" s="1286"/>
      <c r="CX391" s="1286"/>
      <c r="CY391" s="1286"/>
      <c r="CZ391" s="1286"/>
      <c r="DA391" s="1286"/>
      <c r="DB391" s="1286"/>
      <c r="DC391" s="1286"/>
      <c r="DD391" s="1286"/>
      <c r="DE391" s="1286"/>
      <c r="DF391" s="1286"/>
      <c r="DG391" s="1286"/>
      <c r="DH391" s="1286"/>
      <c r="DI391" s="1286"/>
      <c r="DJ391" s="1286"/>
      <c r="DK391" s="1286"/>
      <c r="DL391" s="1286"/>
      <c r="DM391" s="1286"/>
      <c r="DN391" s="1286"/>
      <c r="DO391" s="1286"/>
      <c r="DP391" s="1286"/>
      <c r="DQ391" s="1286"/>
      <c r="DR391" s="1286"/>
      <c r="DS391" s="1286"/>
      <c r="DT391" s="1286"/>
      <c r="DU391" s="1286"/>
      <c r="DV391" s="1286"/>
      <c r="DW391" s="1286"/>
      <c r="DX391" s="1286"/>
      <c r="DY391" s="1286"/>
      <c r="DZ391" s="1286"/>
      <c r="EA391" s="1286"/>
      <c r="EB391" s="1206"/>
      <c r="EC391" s="1206"/>
      <c r="ED391" s="1206"/>
      <c r="EE391" s="1206"/>
      <c r="EF391" s="1206"/>
      <c r="EG391" s="1206"/>
      <c r="EH391" s="1206"/>
      <c r="EI391" s="1206"/>
      <c r="EJ391" s="1206"/>
      <c r="EK391" s="1206"/>
      <c r="EL391" s="1206"/>
      <c r="EM391" s="1313"/>
    </row>
    <row r="392" spans="2:143" s="1271" customFormat="1">
      <c r="B392" s="1263"/>
      <c r="C392" s="1264"/>
      <c r="D392" s="1265"/>
      <c r="E392" s="1265"/>
      <c r="F392" s="1285"/>
      <c r="G392" s="1264"/>
      <c r="H392" s="1264"/>
      <c r="I392" s="1285"/>
      <c r="J392" s="1285"/>
      <c r="K392" s="1285"/>
      <c r="L392" s="1285"/>
      <c r="M392" s="1285"/>
      <c r="N392" s="1285"/>
      <c r="O392" s="1285"/>
      <c r="P392" s="1285"/>
      <c r="Q392" s="1285"/>
      <c r="R392" s="1285"/>
      <c r="S392" s="1285"/>
      <c r="T392" s="1285"/>
      <c r="U392" s="1285"/>
      <c r="V392" s="1285"/>
      <c r="W392" s="1286"/>
      <c r="X392" s="1286"/>
      <c r="Y392" s="1286"/>
      <c r="Z392" s="1286"/>
      <c r="AA392" s="1286"/>
      <c r="AB392" s="1286"/>
      <c r="AC392" s="1286"/>
      <c r="AD392" s="1286"/>
      <c r="AE392" s="1286"/>
      <c r="AF392" s="1286"/>
      <c r="AG392" s="1286"/>
      <c r="AH392" s="1286"/>
      <c r="AI392" s="1286"/>
      <c r="AJ392" s="1286"/>
      <c r="AK392" s="1286"/>
      <c r="AL392" s="1286"/>
      <c r="AM392" s="1286"/>
      <c r="AN392" s="1286"/>
      <c r="AO392" s="1286"/>
      <c r="AP392" s="1286"/>
      <c r="AQ392" s="1286"/>
      <c r="AR392" s="1286"/>
      <c r="AS392" s="1286"/>
      <c r="AT392" s="1286"/>
      <c r="AU392" s="1286"/>
      <c r="AV392" s="1286"/>
      <c r="AW392" s="1286"/>
      <c r="AX392" s="1286"/>
      <c r="AY392" s="1286"/>
      <c r="AZ392" s="1286"/>
      <c r="BA392" s="1286"/>
      <c r="BB392" s="1286"/>
      <c r="BC392" s="1286"/>
      <c r="BD392" s="1286"/>
      <c r="BE392" s="1286"/>
      <c r="BF392" s="1286"/>
      <c r="BG392" s="1286"/>
      <c r="BH392" s="1286"/>
      <c r="BI392" s="1286"/>
      <c r="BJ392" s="1286"/>
      <c r="BK392" s="1286"/>
      <c r="BL392" s="1286"/>
      <c r="BM392" s="1286"/>
      <c r="BN392" s="1286"/>
      <c r="BO392" s="1286"/>
      <c r="BP392" s="1286"/>
      <c r="BQ392" s="1286"/>
      <c r="BR392" s="1286"/>
      <c r="BS392" s="1286"/>
      <c r="BT392" s="1286"/>
      <c r="BU392" s="1286"/>
      <c r="BV392" s="1286"/>
      <c r="BW392" s="1286"/>
      <c r="BX392" s="1286"/>
      <c r="BY392" s="1286"/>
      <c r="BZ392" s="1286"/>
      <c r="CA392" s="1286"/>
      <c r="CB392" s="1286"/>
      <c r="CC392" s="1286"/>
      <c r="CD392" s="1286"/>
      <c r="CE392" s="1286"/>
      <c r="CF392" s="1286"/>
      <c r="CG392" s="1286"/>
      <c r="CH392" s="1269"/>
      <c r="CI392" s="1286"/>
      <c r="CJ392" s="1286"/>
      <c r="CK392" s="1286"/>
      <c r="CL392" s="1286"/>
      <c r="CM392" s="1286"/>
      <c r="CN392" s="1286"/>
      <c r="CO392" s="1286"/>
      <c r="CP392" s="1286"/>
      <c r="CQ392" s="1286"/>
      <c r="CR392" s="1286"/>
      <c r="CS392" s="1286"/>
      <c r="CT392" s="1286"/>
      <c r="CU392" s="1286"/>
      <c r="CV392" s="1286"/>
      <c r="CW392" s="1286"/>
      <c r="CX392" s="1286"/>
      <c r="CY392" s="1286"/>
      <c r="CZ392" s="1286"/>
      <c r="DA392" s="1286"/>
      <c r="DB392" s="1286"/>
      <c r="DC392" s="1286"/>
      <c r="DD392" s="1286"/>
      <c r="DE392" s="1286"/>
      <c r="DF392" s="1286"/>
      <c r="DG392" s="1286"/>
      <c r="DH392" s="1286"/>
      <c r="DI392" s="1286"/>
      <c r="DJ392" s="1286"/>
      <c r="DK392" s="1286"/>
      <c r="DL392" s="1286"/>
      <c r="DM392" s="1286"/>
      <c r="DN392" s="1286"/>
      <c r="DO392" s="1286"/>
      <c r="DP392" s="1286"/>
      <c r="DQ392" s="1286"/>
      <c r="DR392" s="1286"/>
      <c r="DS392" s="1286"/>
      <c r="DT392" s="1286"/>
      <c r="DU392" s="1286"/>
      <c r="DV392" s="1286"/>
      <c r="DW392" s="1286"/>
      <c r="DX392" s="1286"/>
      <c r="DY392" s="1286"/>
      <c r="DZ392" s="1286"/>
      <c r="EA392" s="1286"/>
      <c r="EB392" s="1206"/>
      <c r="EC392" s="1206"/>
      <c r="ED392" s="1206"/>
      <c r="EE392" s="1206"/>
      <c r="EF392" s="1206"/>
      <c r="EG392" s="1206"/>
      <c r="EH392" s="1206"/>
      <c r="EI392" s="1206"/>
      <c r="EJ392" s="1206"/>
      <c r="EK392" s="1206"/>
      <c r="EL392" s="1206"/>
      <c r="EM392" s="1313"/>
    </row>
    <row r="393" spans="2:143" s="1271" customFormat="1">
      <c r="B393" s="1263"/>
      <c r="C393" s="1264"/>
      <c r="D393" s="1265"/>
      <c r="E393" s="1265"/>
      <c r="F393" s="1285"/>
      <c r="G393" s="1264"/>
      <c r="H393" s="1264"/>
      <c r="I393" s="1285"/>
      <c r="J393" s="1285"/>
      <c r="K393" s="1285"/>
      <c r="L393" s="1285"/>
      <c r="M393" s="1285"/>
      <c r="N393" s="1285"/>
      <c r="O393" s="1285"/>
      <c r="P393" s="1285"/>
      <c r="Q393" s="1285"/>
      <c r="R393" s="1285"/>
      <c r="S393" s="1285"/>
      <c r="T393" s="1285"/>
      <c r="U393" s="1285"/>
      <c r="V393" s="1285"/>
      <c r="W393" s="1286"/>
      <c r="X393" s="1286"/>
      <c r="Y393" s="1286"/>
      <c r="Z393" s="1286"/>
      <c r="AA393" s="1286"/>
      <c r="AB393" s="1286"/>
      <c r="AC393" s="1286"/>
      <c r="AD393" s="1286"/>
      <c r="AE393" s="1286"/>
      <c r="AF393" s="1286"/>
      <c r="AG393" s="1286"/>
      <c r="AH393" s="1286"/>
      <c r="AI393" s="1286"/>
      <c r="AJ393" s="1286"/>
      <c r="AK393" s="1286"/>
      <c r="AL393" s="1286"/>
      <c r="AM393" s="1286"/>
      <c r="AN393" s="1286"/>
      <c r="AO393" s="1286"/>
      <c r="AP393" s="1286"/>
      <c r="AQ393" s="1286"/>
      <c r="AR393" s="1286"/>
      <c r="AS393" s="1286"/>
      <c r="AT393" s="1286"/>
      <c r="AU393" s="1286"/>
      <c r="AV393" s="1286"/>
      <c r="AW393" s="1286"/>
      <c r="AX393" s="1286"/>
      <c r="AY393" s="1286"/>
      <c r="AZ393" s="1286"/>
      <c r="BA393" s="1286"/>
      <c r="BB393" s="1286"/>
      <c r="BC393" s="1286"/>
      <c r="BD393" s="1286"/>
      <c r="BE393" s="1286"/>
      <c r="BF393" s="1286"/>
      <c r="BG393" s="1286"/>
      <c r="BH393" s="1286"/>
      <c r="BI393" s="1286"/>
      <c r="BJ393" s="1286"/>
      <c r="BK393" s="1286"/>
      <c r="BL393" s="1286"/>
      <c r="BM393" s="1286"/>
      <c r="BN393" s="1286"/>
      <c r="BO393" s="1286"/>
      <c r="BP393" s="1286"/>
      <c r="BQ393" s="1286"/>
      <c r="BR393" s="1286"/>
      <c r="BS393" s="1286"/>
      <c r="BT393" s="1286"/>
      <c r="BU393" s="1286"/>
      <c r="BV393" s="1286"/>
      <c r="BW393" s="1286"/>
      <c r="BX393" s="1286"/>
      <c r="BY393" s="1286"/>
      <c r="BZ393" s="1286"/>
      <c r="CA393" s="1286"/>
      <c r="CB393" s="1286"/>
      <c r="CC393" s="1286"/>
      <c r="CD393" s="1286"/>
      <c r="CE393" s="1286"/>
      <c r="CF393" s="1286"/>
      <c r="CG393" s="1286"/>
      <c r="CH393" s="1269"/>
      <c r="CI393" s="1286"/>
      <c r="CJ393" s="1286"/>
      <c r="CK393" s="1286"/>
      <c r="CL393" s="1286"/>
      <c r="CM393" s="1286"/>
      <c r="CN393" s="1286"/>
      <c r="CO393" s="1286"/>
      <c r="CP393" s="1286"/>
      <c r="CQ393" s="1286"/>
      <c r="CR393" s="1286"/>
      <c r="CS393" s="1286"/>
      <c r="CT393" s="1286"/>
      <c r="CU393" s="1286"/>
      <c r="CV393" s="1286"/>
      <c r="CW393" s="1286"/>
      <c r="CX393" s="1286"/>
      <c r="CY393" s="1286"/>
      <c r="CZ393" s="1286"/>
      <c r="DA393" s="1286"/>
      <c r="DB393" s="1286"/>
      <c r="DC393" s="1286"/>
      <c r="DD393" s="1286"/>
      <c r="DE393" s="1286"/>
      <c r="DF393" s="1286"/>
      <c r="DG393" s="1286"/>
      <c r="DH393" s="1286"/>
      <c r="DI393" s="1286"/>
      <c r="DJ393" s="1286"/>
      <c r="DK393" s="1286"/>
      <c r="DL393" s="1286"/>
      <c r="DM393" s="1286"/>
      <c r="DN393" s="1286"/>
      <c r="DO393" s="1286"/>
      <c r="DP393" s="1286"/>
      <c r="DQ393" s="1286"/>
      <c r="DR393" s="1286"/>
      <c r="DS393" s="1286"/>
      <c r="DT393" s="1286"/>
      <c r="DU393" s="1286"/>
      <c r="DV393" s="1286"/>
      <c r="DW393" s="1286"/>
      <c r="DX393" s="1286"/>
      <c r="DY393" s="1286"/>
      <c r="DZ393" s="1286"/>
      <c r="EA393" s="1286"/>
      <c r="EB393" s="1206"/>
      <c r="EC393" s="1206"/>
      <c r="ED393" s="1206"/>
      <c r="EE393" s="1206"/>
      <c r="EF393" s="1206"/>
      <c r="EG393" s="1206"/>
      <c r="EH393" s="1206"/>
      <c r="EI393" s="1206"/>
      <c r="EJ393" s="1206"/>
      <c r="EK393" s="1206"/>
      <c r="EL393" s="1206"/>
      <c r="EM393" s="1313"/>
    </row>
    <row r="394" spans="2:143" s="1271" customFormat="1">
      <c r="B394" s="1263"/>
      <c r="C394" s="1264"/>
      <c r="D394" s="1265"/>
      <c r="E394" s="1265"/>
      <c r="F394" s="1285"/>
      <c r="G394" s="1264"/>
      <c r="H394" s="1264"/>
      <c r="I394" s="1285"/>
      <c r="J394" s="1285"/>
      <c r="K394" s="1285"/>
      <c r="L394" s="1285"/>
      <c r="M394" s="1285"/>
      <c r="N394" s="1285"/>
      <c r="O394" s="1285"/>
      <c r="P394" s="1285"/>
      <c r="Q394" s="1285"/>
      <c r="R394" s="1285"/>
      <c r="S394" s="1285"/>
      <c r="T394" s="1285"/>
      <c r="U394" s="1285"/>
      <c r="V394" s="1285"/>
      <c r="W394" s="1286"/>
      <c r="X394" s="1286"/>
      <c r="Y394" s="1286"/>
      <c r="Z394" s="1286"/>
      <c r="AA394" s="1286"/>
      <c r="AB394" s="1286"/>
      <c r="AC394" s="1286"/>
      <c r="AD394" s="1286"/>
      <c r="AE394" s="1286"/>
      <c r="AF394" s="1286"/>
      <c r="AG394" s="1286"/>
      <c r="AH394" s="1286"/>
      <c r="AI394" s="1286"/>
      <c r="AJ394" s="1286"/>
      <c r="AK394" s="1286"/>
      <c r="AL394" s="1286"/>
      <c r="AM394" s="1286"/>
      <c r="AN394" s="1286"/>
      <c r="AO394" s="1286"/>
      <c r="AP394" s="1286"/>
      <c r="AQ394" s="1286"/>
      <c r="AR394" s="1286"/>
      <c r="AS394" s="1286"/>
      <c r="AT394" s="1286"/>
      <c r="AU394" s="1286"/>
      <c r="AV394" s="1286"/>
      <c r="AW394" s="1286"/>
      <c r="AX394" s="1286"/>
      <c r="AY394" s="1286"/>
      <c r="AZ394" s="1286"/>
      <c r="BA394" s="1286"/>
      <c r="BB394" s="1286"/>
      <c r="BC394" s="1286"/>
      <c r="BD394" s="1286"/>
      <c r="BE394" s="1286"/>
      <c r="BF394" s="1286"/>
      <c r="BG394" s="1286"/>
      <c r="BH394" s="1286"/>
      <c r="BI394" s="1286"/>
      <c r="BJ394" s="1286"/>
      <c r="BK394" s="1286"/>
      <c r="BL394" s="1286"/>
      <c r="BM394" s="1286"/>
      <c r="BN394" s="1286"/>
      <c r="BO394" s="1286"/>
      <c r="BP394" s="1286"/>
      <c r="BQ394" s="1286"/>
      <c r="BR394" s="1286"/>
      <c r="BS394" s="1286"/>
      <c r="BT394" s="1286"/>
      <c r="BU394" s="1286"/>
      <c r="BV394" s="1286"/>
      <c r="BW394" s="1286"/>
      <c r="BX394" s="1286"/>
      <c r="BY394" s="1286"/>
      <c r="BZ394" s="1286"/>
      <c r="CA394" s="1286"/>
      <c r="CB394" s="1286"/>
      <c r="CC394" s="1286"/>
      <c r="CD394" s="1286"/>
      <c r="CE394" s="1286"/>
      <c r="CF394" s="1286"/>
      <c r="CG394" s="1286"/>
      <c r="CH394" s="1269"/>
      <c r="CI394" s="1286"/>
      <c r="CJ394" s="1286"/>
      <c r="CK394" s="1286"/>
      <c r="CL394" s="1286"/>
      <c r="CM394" s="1286"/>
      <c r="CN394" s="1286"/>
      <c r="CO394" s="1286"/>
      <c r="CP394" s="1286"/>
      <c r="CQ394" s="1286"/>
      <c r="CR394" s="1286"/>
      <c r="CS394" s="1286"/>
      <c r="CT394" s="1286"/>
      <c r="CU394" s="1286"/>
      <c r="CV394" s="1286"/>
      <c r="CW394" s="1286"/>
      <c r="CX394" s="1286"/>
      <c r="CY394" s="1286"/>
      <c r="CZ394" s="1286"/>
      <c r="DA394" s="1286"/>
      <c r="DB394" s="1286"/>
      <c r="DC394" s="1286"/>
      <c r="DD394" s="1286"/>
      <c r="DE394" s="1286"/>
      <c r="DF394" s="1286"/>
      <c r="DG394" s="1286"/>
      <c r="DH394" s="1286"/>
      <c r="DI394" s="1286"/>
      <c r="DJ394" s="1286"/>
      <c r="DK394" s="1286"/>
      <c r="DL394" s="1286"/>
      <c r="DM394" s="1286"/>
      <c r="DN394" s="1286"/>
      <c r="DO394" s="1286"/>
      <c r="DP394" s="1286"/>
      <c r="DQ394" s="1286"/>
      <c r="DR394" s="1286"/>
      <c r="DS394" s="1286"/>
      <c r="DT394" s="1286"/>
      <c r="DU394" s="1286"/>
      <c r="DV394" s="1286"/>
      <c r="DW394" s="1286"/>
      <c r="DX394" s="1286"/>
      <c r="DY394" s="1286"/>
      <c r="DZ394" s="1286"/>
      <c r="EA394" s="1286"/>
      <c r="EB394" s="1206"/>
      <c r="EC394" s="1206"/>
      <c r="ED394" s="1206"/>
      <c r="EE394" s="1206"/>
      <c r="EF394" s="1206"/>
      <c r="EG394" s="1206"/>
      <c r="EH394" s="1206"/>
      <c r="EI394" s="1206"/>
      <c r="EJ394" s="1206"/>
      <c r="EK394" s="1206"/>
      <c r="EL394" s="1206"/>
      <c r="EM394" s="1313"/>
    </row>
    <row r="395" spans="2:143" s="1271" customFormat="1">
      <c r="B395" s="1263"/>
      <c r="C395" s="1264"/>
      <c r="D395" s="1265"/>
      <c r="E395" s="1265"/>
      <c r="F395" s="1285"/>
      <c r="G395" s="1264"/>
      <c r="H395" s="1264"/>
      <c r="I395" s="1285"/>
      <c r="J395" s="1285"/>
      <c r="K395" s="1285"/>
      <c r="L395" s="1285"/>
      <c r="M395" s="1285"/>
      <c r="N395" s="1285"/>
      <c r="O395" s="1285"/>
      <c r="P395" s="1285"/>
      <c r="Q395" s="1285"/>
      <c r="R395" s="1285"/>
      <c r="S395" s="1285"/>
      <c r="T395" s="1285"/>
      <c r="U395" s="1285"/>
      <c r="V395" s="1285"/>
      <c r="W395" s="1286"/>
      <c r="X395" s="1286"/>
      <c r="Y395" s="1286"/>
      <c r="Z395" s="1286"/>
      <c r="AA395" s="1286"/>
      <c r="AB395" s="1286"/>
      <c r="AC395" s="1286"/>
      <c r="AD395" s="1286"/>
      <c r="AE395" s="1286"/>
      <c r="AF395" s="1286"/>
      <c r="AG395" s="1286"/>
      <c r="AH395" s="1286"/>
      <c r="AI395" s="1286"/>
      <c r="AJ395" s="1286"/>
      <c r="AK395" s="1286"/>
      <c r="AL395" s="1286"/>
      <c r="AM395" s="1286"/>
      <c r="AN395" s="1286"/>
      <c r="AO395" s="1286"/>
      <c r="AP395" s="1286"/>
      <c r="AQ395" s="1286"/>
      <c r="AR395" s="1286"/>
      <c r="AS395" s="1286"/>
      <c r="AT395" s="1286"/>
      <c r="AU395" s="1286"/>
      <c r="AV395" s="1286"/>
      <c r="AW395" s="1286"/>
      <c r="AX395" s="1286"/>
      <c r="AY395" s="1286"/>
      <c r="AZ395" s="1286"/>
      <c r="BA395" s="1286"/>
      <c r="BB395" s="1286"/>
      <c r="BC395" s="1286"/>
      <c r="BD395" s="1286"/>
      <c r="BE395" s="1286"/>
      <c r="BF395" s="1286"/>
      <c r="BG395" s="1286"/>
      <c r="BH395" s="1286"/>
      <c r="BI395" s="1286"/>
      <c r="BJ395" s="1286"/>
      <c r="BK395" s="1286"/>
      <c r="BL395" s="1286"/>
      <c r="BM395" s="1286"/>
      <c r="BN395" s="1286"/>
      <c r="BO395" s="1286"/>
      <c r="BP395" s="1286"/>
      <c r="BQ395" s="1286"/>
      <c r="BR395" s="1286"/>
      <c r="BS395" s="1286"/>
      <c r="BT395" s="1286"/>
      <c r="BU395" s="1286"/>
      <c r="BV395" s="1286"/>
      <c r="BW395" s="1286"/>
      <c r="BX395" s="1286"/>
      <c r="BY395" s="1286"/>
      <c r="BZ395" s="1286"/>
      <c r="CA395" s="1286"/>
      <c r="CB395" s="1286"/>
      <c r="CC395" s="1286"/>
      <c r="CD395" s="1286"/>
      <c r="CE395" s="1286"/>
      <c r="CF395" s="1286"/>
      <c r="CG395" s="1286"/>
      <c r="CH395" s="1269"/>
      <c r="CI395" s="1286"/>
      <c r="CJ395" s="1286"/>
      <c r="CK395" s="1286"/>
      <c r="CL395" s="1286"/>
      <c r="CM395" s="1286"/>
      <c r="CN395" s="1286"/>
      <c r="CO395" s="1286"/>
      <c r="CP395" s="1286"/>
      <c r="CQ395" s="1286"/>
      <c r="CR395" s="1286"/>
      <c r="CS395" s="1286"/>
      <c r="CT395" s="1286"/>
      <c r="CU395" s="1286"/>
      <c r="CV395" s="1286"/>
      <c r="CW395" s="1286"/>
      <c r="CX395" s="1286"/>
      <c r="CY395" s="1286"/>
      <c r="CZ395" s="1286"/>
      <c r="DA395" s="1286"/>
      <c r="DB395" s="1286"/>
      <c r="DC395" s="1286"/>
      <c r="DD395" s="1286"/>
      <c r="DE395" s="1286"/>
      <c r="DF395" s="1286"/>
      <c r="DG395" s="1286"/>
      <c r="DH395" s="1286"/>
      <c r="DI395" s="1286"/>
      <c r="DJ395" s="1286"/>
      <c r="DK395" s="1286"/>
      <c r="DL395" s="1286"/>
      <c r="DM395" s="1286"/>
      <c r="DN395" s="1286"/>
      <c r="DO395" s="1286"/>
      <c r="DP395" s="1286"/>
      <c r="DQ395" s="1286"/>
      <c r="DR395" s="1286"/>
      <c r="DS395" s="1286"/>
      <c r="DT395" s="1286"/>
      <c r="DU395" s="1286"/>
      <c r="DV395" s="1286"/>
      <c r="DW395" s="1286"/>
      <c r="DX395" s="1286"/>
      <c r="DY395" s="1286"/>
      <c r="DZ395" s="1286"/>
      <c r="EA395" s="1286"/>
      <c r="EB395" s="1206"/>
      <c r="EC395" s="1206"/>
      <c r="ED395" s="1206"/>
      <c r="EE395" s="1206"/>
      <c r="EF395" s="1206"/>
      <c r="EG395" s="1206"/>
      <c r="EH395" s="1206"/>
      <c r="EI395" s="1206"/>
      <c r="EJ395" s="1206"/>
      <c r="EK395" s="1206"/>
      <c r="EL395" s="1206"/>
      <c r="EM395" s="1313"/>
    </row>
    <row r="396" spans="2:143" s="1271" customFormat="1">
      <c r="B396" s="1263"/>
      <c r="C396" s="1264"/>
      <c r="D396" s="1265"/>
      <c r="E396" s="1265"/>
      <c r="F396" s="1285"/>
      <c r="G396" s="1264"/>
      <c r="H396" s="1264"/>
      <c r="I396" s="1285"/>
      <c r="J396" s="1285"/>
      <c r="K396" s="1285"/>
      <c r="L396" s="1285"/>
      <c r="M396" s="1285"/>
      <c r="N396" s="1285"/>
      <c r="O396" s="1285"/>
      <c r="P396" s="1285"/>
      <c r="Q396" s="1285"/>
      <c r="R396" s="1285"/>
      <c r="S396" s="1285"/>
      <c r="T396" s="1285"/>
      <c r="U396" s="1285"/>
      <c r="V396" s="1285"/>
      <c r="W396" s="1286"/>
      <c r="X396" s="1286"/>
      <c r="Y396" s="1286"/>
      <c r="Z396" s="1286"/>
      <c r="AA396" s="1286"/>
      <c r="AB396" s="1286"/>
      <c r="AC396" s="1286"/>
      <c r="AD396" s="1286"/>
      <c r="AE396" s="1286"/>
      <c r="AF396" s="1286"/>
      <c r="AG396" s="1286"/>
      <c r="AH396" s="1286"/>
      <c r="AI396" s="1286"/>
      <c r="AJ396" s="1286"/>
      <c r="AK396" s="1286"/>
      <c r="AL396" s="1286"/>
      <c r="AM396" s="1286"/>
      <c r="AN396" s="1286"/>
      <c r="AO396" s="1286"/>
      <c r="AP396" s="1286"/>
      <c r="AQ396" s="1286"/>
      <c r="AR396" s="1286"/>
      <c r="AS396" s="1286"/>
      <c r="AT396" s="1286"/>
      <c r="AU396" s="1286"/>
      <c r="AV396" s="1286"/>
      <c r="AW396" s="1286"/>
      <c r="AX396" s="1286"/>
      <c r="AY396" s="1286"/>
      <c r="AZ396" s="1286"/>
      <c r="BA396" s="1286"/>
      <c r="BB396" s="1286"/>
      <c r="BC396" s="1286"/>
      <c r="BD396" s="1286"/>
      <c r="BE396" s="1286"/>
      <c r="BF396" s="1286"/>
      <c r="BG396" s="1286"/>
      <c r="BH396" s="1286"/>
      <c r="BI396" s="1286"/>
      <c r="BJ396" s="1286"/>
      <c r="BK396" s="1286"/>
      <c r="BL396" s="1286"/>
      <c r="BM396" s="1286"/>
      <c r="BN396" s="1286"/>
      <c r="BO396" s="1286"/>
      <c r="BP396" s="1286"/>
      <c r="BQ396" s="1286"/>
      <c r="BR396" s="1286"/>
      <c r="BS396" s="1286"/>
      <c r="BT396" s="1286"/>
      <c r="BU396" s="1286"/>
      <c r="BV396" s="1286"/>
      <c r="BW396" s="1286"/>
      <c r="BX396" s="1286"/>
      <c r="BY396" s="1286"/>
      <c r="BZ396" s="1286"/>
      <c r="CA396" s="1286"/>
      <c r="CB396" s="1286"/>
      <c r="CC396" s="1286"/>
      <c r="CD396" s="1286"/>
      <c r="CE396" s="1286"/>
      <c r="CF396" s="1286"/>
      <c r="CG396" s="1286"/>
      <c r="CH396" s="1269"/>
      <c r="CI396" s="1286"/>
      <c r="CJ396" s="1286"/>
      <c r="CK396" s="1286"/>
      <c r="CL396" s="1286"/>
      <c r="CM396" s="1286"/>
      <c r="CN396" s="1286"/>
      <c r="CO396" s="1286"/>
      <c r="CP396" s="1286"/>
      <c r="CQ396" s="1286"/>
      <c r="CR396" s="1286"/>
      <c r="CS396" s="1286"/>
      <c r="CT396" s="1286"/>
      <c r="CU396" s="1286"/>
      <c r="CV396" s="1286"/>
      <c r="CW396" s="1286"/>
      <c r="CX396" s="1286"/>
      <c r="CY396" s="1286"/>
      <c r="CZ396" s="1286"/>
      <c r="DA396" s="1286"/>
      <c r="DB396" s="1286"/>
      <c r="DC396" s="1286"/>
      <c r="DD396" s="1286"/>
      <c r="DE396" s="1286"/>
      <c r="DF396" s="1286"/>
      <c r="DG396" s="1286"/>
      <c r="DH396" s="1286"/>
      <c r="DI396" s="1286"/>
      <c r="DJ396" s="1286"/>
      <c r="DK396" s="1286"/>
      <c r="DL396" s="1286"/>
      <c r="DM396" s="1286"/>
      <c r="DN396" s="1286"/>
      <c r="DO396" s="1286"/>
      <c r="DP396" s="1286"/>
      <c r="DQ396" s="1286"/>
      <c r="DR396" s="1286"/>
      <c r="DS396" s="1286"/>
      <c r="DT396" s="1286"/>
      <c r="DU396" s="1286"/>
      <c r="DV396" s="1286"/>
      <c r="DW396" s="1286"/>
      <c r="DX396" s="1286"/>
      <c r="DY396" s="1286"/>
      <c r="DZ396" s="1286"/>
      <c r="EA396" s="1286"/>
      <c r="EB396" s="1206"/>
      <c r="EC396" s="1206"/>
      <c r="ED396" s="1206"/>
      <c r="EE396" s="1206"/>
      <c r="EF396" s="1206"/>
      <c r="EG396" s="1206"/>
      <c r="EH396" s="1206"/>
      <c r="EI396" s="1206"/>
      <c r="EJ396" s="1206"/>
      <c r="EK396" s="1206"/>
      <c r="EL396" s="1206"/>
      <c r="EM396" s="1313"/>
    </row>
    <row r="397" spans="2:143" s="1271" customFormat="1">
      <c r="B397" s="1263"/>
      <c r="C397" s="1264"/>
      <c r="D397" s="1265"/>
      <c r="E397" s="1265"/>
      <c r="F397" s="1285"/>
      <c r="G397" s="1264"/>
      <c r="H397" s="1264"/>
      <c r="I397" s="1285"/>
      <c r="J397" s="1285"/>
      <c r="K397" s="1285"/>
      <c r="L397" s="1285"/>
      <c r="M397" s="1285"/>
      <c r="N397" s="1285"/>
      <c r="O397" s="1285"/>
      <c r="P397" s="1285"/>
      <c r="Q397" s="1285"/>
      <c r="R397" s="1285"/>
      <c r="S397" s="1285"/>
      <c r="T397" s="1285"/>
      <c r="U397" s="1285"/>
      <c r="V397" s="1285"/>
      <c r="W397" s="1286"/>
      <c r="X397" s="1286"/>
      <c r="Y397" s="1286"/>
      <c r="Z397" s="1286"/>
      <c r="AA397" s="1286"/>
      <c r="AB397" s="1286"/>
      <c r="AC397" s="1286"/>
      <c r="AD397" s="1286"/>
      <c r="AE397" s="1286"/>
      <c r="AF397" s="1286"/>
      <c r="AG397" s="1286"/>
      <c r="AH397" s="1286"/>
      <c r="AI397" s="1286"/>
      <c r="AJ397" s="1286"/>
      <c r="AK397" s="1286"/>
      <c r="AL397" s="1286"/>
      <c r="AM397" s="1286"/>
      <c r="AN397" s="1286"/>
      <c r="AO397" s="1286"/>
      <c r="AP397" s="1286"/>
      <c r="AQ397" s="1286"/>
      <c r="AR397" s="1286"/>
      <c r="AS397" s="1286"/>
      <c r="AT397" s="1286"/>
      <c r="AU397" s="1286"/>
      <c r="AV397" s="1286"/>
      <c r="AW397" s="1286"/>
      <c r="AX397" s="1286"/>
      <c r="AY397" s="1286"/>
      <c r="AZ397" s="1286"/>
      <c r="BA397" s="1286"/>
      <c r="BB397" s="1286"/>
      <c r="BC397" s="1286"/>
      <c r="BD397" s="1286"/>
      <c r="BE397" s="1286"/>
      <c r="BF397" s="1286"/>
      <c r="BG397" s="1286"/>
      <c r="BH397" s="1286"/>
      <c r="BI397" s="1286"/>
      <c r="BJ397" s="1286"/>
      <c r="BK397" s="1286"/>
      <c r="BL397" s="1286"/>
      <c r="BM397" s="1286"/>
      <c r="BN397" s="1286"/>
      <c r="BO397" s="1286"/>
      <c r="BP397" s="1286"/>
      <c r="BQ397" s="1286"/>
      <c r="BR397" s="1286"/>
      <c r="BS397" s="1286"/>
      <c r="BT397" s="1286"/>
      <c r="BU397" s="1286"/>
      <c r="BV397" s="1286"/>
      <c r="BW397" s="1286"/>
      <c r="BX397" s="1286"/>
      <c r="BY397" s="1286"/>
      <c r="BZ397" s="1286"/>
      <c r="CA397" s="1286"/>
      <c r="CB397" s="1286"/>
      <c r="CC397" s="1286"/>
      <c r="CD397" s="1286"/>
      <c r="CE397" s="1286"/>
      <c r="CF397" s="1286"/>
      <c r="CG397" s="1286"/>
      <c r="CH397" s="1269"/>
      <c r="CI397" s="1286"/>
      <c r="CJ397" s="1286"/>
      <c r="CK397" s="1286"/>
      <c r="CL397" s="1286"/>
      <c r="CM397" s="1286"/>
      <c r="CN397" s="1286"/>
      <c r="CO397" s="1286"/>
      <c r="CP397" s="1286"/>
      <c r="CQ397" s="1286"/>
      <c r="CR397" s="1286"/>
      <c r="CS397" s="1286"/>
      <c r="CT397" s="1286"/>
      <c r="CU397" s="1286"/>
      <c r="CV397" s="1286"/>
      <c r="CW397" s="1286"/>
      <c r="CX397" s="1286"/>
      <c r="CY397" s="1286"/>
      <c r="CZ397" s="1286"/>
      <c r="DA397" s="1286"/>
      <c r="DB397" s="1286"/>
      <c r="DC397" s="1286"/>
      <c r="DD397" s="1286"/>
      <c r="DE397" s="1286"/>
      <c r="DF397" s="1286"/>
      <c r="DG397" s="1286"/>
      <c r="DH397" s="1286"/>
      <c r="DI397" s="1286"/>
      <c r="DJ397" s="1286"/>
      <c r="DK397" s="1286"/>
      <c r="DL397" s="1286"/>
      <c r="DM397" s="1286"/>
      <c r="DN397" s="1286"/>
      <c r="DO397" s="1286"/>
      <c r="DP397" s="1286"/>
      <c r="DQ397" s="1286"/>
      <c r="DR397" s="1286"/>
      <c r="DS397" s="1286"/>
      <c r="DT397" s="1286"/>
      <c r="DU397" s="1286"/>
      <c r="DV397" s="1286"/>
      <c r="DW397" s="1286"/>
      <c r="DX397" s="1286"/>
      <c r="DY397" s="1286"/>
      <c r="DZ397" s="1286"/>
      <c r="EA397" s="1286"/>
      <c r="EB397" s="1206"/>
      <c r="EC397" s="1206"/>
      <c r="ED397" s="1206"/>
      <c r="EE397" s="1206"/>
      <c r="EF397" s="1206"/>
      <c r="EG397" s="1206"/>
      <c r="EH397" s="1206"/>
      <c r="EI397" s="1206"/>
      <c r="EJ397" s="1206"/>
      <c r="EK397" s="1206"/>
      <c r="EL397" s="1206"/>
      <c r="EM397" s="1313"/>
    </row>
    <row r="398" spans="2:143" s="1271" customFormat="1">
      <c r="B398" s="1263"/>
      <c r="C398" s="1264"/>
      <c r="D398" s="1265"/>
      <c r="E398" s="1265"/>
      <c r="F398" s="1285"/>
      <c r="G398" s="1264"/>
      <c r="H398" s="1264"/>
      <c r="I398" s="1285"/>
      <c r="J398" s="1285"/>
      <c r="K398" s="1285"/>
      <c r="L398" s="1285"/>
      <c r="M398" s="1285"/>
      <c r="N398" s="1285"/>
      <c r="O398" s="1285"/>
      <c r="P398" s="1285"/>
      <c r="Q398" s="1285"/>
      <c r="R398" s="1285"/>
      <c r="S398" s="1285"/>
      <c r="T398" s="1285"/>
      <c r="U398" s="1285"/>
      <c r="V398" s="1285"/>
      <c r="W398" s="1286"/>
      <c r="X398" s="1286"/>
      <c r="Y398" s="1286"/>
      <c r="Z398" s="1286"/>
      <c r="AA398" s="1286"/>
      <c r="AB398" s="1286"/>
      <c r="AC398" s="1286"/>
      <c r="AD398" s="1286"/>
      <c r="AE398" s="1286"/>
      <c r="AF398" s="1286"/>
      <c r="AG398" s="1286"/>
      <c r="AH398" s="1286"/>
      <c r="AI398" s="1286"/>
      <c r="AJ398" s="1286"/>
      <c r="AK398" s="1286"/>
      <c r="AL398" s="1286"/>
      <c r="AM398" s="1286"/>
      <c r="AN398" s="1286"/>
      <c r="AO398" s="1286"/>
      <c r="AP398" s="1286"/>
      <c r="AQ398" s="1286"/>
      <c r="AR398" s="1286"/>
      <c r="AS398" s="1286"/>
      <c r="AT398" s="1286"/>
      <c r="AU398" s="1286"/>
      <c r="AV398" s="1286"/>
      <c r="AW398" s="1286"/>
      <c r="AX398" s="1286"/>
      <c r="AY398" s="1286"/>
      <c r="AZ398" s="1286"/>
      <c r="BA398" s="1286"/>
      <c r="BB398" s="1286"/>
      <c r="BC398" s="1286"/>
      <c r="BD398" s="1286"/>
      <c r="BE398" s="1286"/>
      <c r="BF398" s="1286"/>
      <c r="BG398" s="1286"/>
      <c r="BH398" s="1286"/>
      <c r="BI398" s="1286"/>
      <c r="BJ398" s="1286"/>
      <c r="BK398" s="1286"/>
      <c r="BL398" s="1286"/>
      <c r="BM398" s="1286"/>
      <c r="BN398" s="1286"/>
      <c r="BO398" s="1286"/>
      <c r="BP398" s="1286"/>
      <c r="BQ398" s="1286"/>
      <c r="BR398" s="1286"/>
      <c r="BS398" s="1286"/>
      <c r="BT398" s="1286"/>
      <c r="BU398" s="1286"/>
      <c r="BV398" s="1286"/>
      <c r="BW398" s="1286"/>
      <c r="BX398" s="1286"/>
      <c r="BY398" s="1286"/>
      <c r="BZ398" s="1286"/>
      <c r="CA398" s="1286"/>
      <c r="CB398" s="1286"/>
      <c r="CC398" s="1286"/>
      <c r="CD398" s="1286"/>
      <c r="CE398" s="1286"/>
      <c r="CF398" s="1286"/>
      <c r="CG398" s="1286"/>
      <c r="CH398" s="1269"/>
      <c r="CI398" s="1286"/>
      <c r="CJ398" s="1286"/>
      <c r="CK398" s="1286"/>
      <c r="CL398" s="1286"/>
      <c r="CM398" s="1286"/>
      <c r="CN398" s="1286"/>
      <c r="CO398" s="1286"/>
      <c r="CP398" s="1286"/>
      <c r="CQ398" s="1286"/>
      <c r="CR398" s="1286"/>
      <c r="CS398" s="1286"/>
      <c r="CT398" s="1286"/>
      <c r="CU398" s="1286"/>
      <c r="CV398" s="1286"/>
      <c r="CW398" s="1286"/>
      <c r="CX398" s="1286"/>
      <c r="CY398" s="1286"/>
      <c r="CZ398" s="1286"/>
      <c r="DA398" s="1286"/>
      <c r="DB398" s="1286"/>
      <c r="DC398" s="1286"/>
      <c r="DD398" s="1286"/>
      <c r="DE398" s="1286"/>
      <c r="DF398" s="1286"/>
      <c r="DG398" s="1286"/>
      <c r="DH398" s="1286"/>
      <c r="DI398" s="1286"/>
      <c r="DJ398" s="1286"/>
      <c r="DK398" s="1286"/>
      <c r="DL398" s="1286"/>
      <c r="DM398" s="1286"/>
      <c r="DN398" s="1286"/>
      <c r="DO398" s="1286"/>
      <c r="DP398" s="1286"/>
      <c r="DQ398" s="1286"/>
      <c r="DR398" s="1286"/>
      <c r="DS398" s="1286"/>
      <c r="DT398" s="1286"/>
      <c r="DU398" s="1286"/>
      <c r="DV398" s="1286"/>
      <c r="DW398" s="1286"/>
      <c r="DX398" s="1286"/>
      <c r="DY398" s="1286"/>
      <c r="DZ398" s="1286"/>
      <c r="EA398" s="1286"/>
      <c r="EB398" s="1206"/>
      <c r="EC398" s="1206"/>
      <c r="ED398" s="1206"/>
      <c r="EE398" s="1206"/>
      <c r="EF398" s="1206"/>
      <c r="EG398" s="1206"/>
      <c r="EH398" s="1206"/>
      <c r="EI398" s="1206"/>
      <c r="EJ398" s="1206"/>
      <c r="EK398" s="1206"/>
      <c r="EL398" s="1206"/>
      <c r="EM398" s="1313"/>
    </row>
    <row r="399" spans="2:143" s="1271" customFormat="1">
      <c r="B399" s="1263"/>
      <c r="C399" s="1264"/>
      <c r="D399" s="1265"/>
      <c r="E399" s="1265"/>
      <c r="F399" s="1285"/>
      <c r="G399" s="1264"/>
      <c r="H399" s="1264"/>
      <c r="I399" s="1285"/>
      <c r="J399" s="1285"/>
      <c r="K399" s="1285"/>
      <c r="L399" s="1285"/>
      <c r="M399" s="1285"/>
      <c r="N399" s="1285"/>
      <c r="O399" s="1285"/>
      <c r="P399" s="1285"/>
      <c r="Q399" s="1285"/>
      <c r="R399" s="1285"/>
      <c r="S399" s="1285"/>
      <c r="T399" s="1285"/>
      <c r="U399" s="1285"/>
      <c r="V399" s="1285"/>
      <c r="W399" s="1286"/>
      <c r="X399" s="1286"/>
      <c r="Y399" s="1286"/>
      <c r="Z399" s="1286"/>
      <c r="AA399" s="1286"/>
      <c r="AB399" s="1286"/>
      <c r="AC399" s="1286"/>
      <c r="AD399" s="1286"/>
      <c r="AE399" s="1286"/>
      <c r="AF399" s="1286"/>
      <c r="AG399" s="1286"/>
      <c r="AH399" s="1286"/>
      <c r="AI399" s="1286"/>
      <c r="AJ399" s="1286"/>
      <c r="AK399" s="1286"/>
      <c r="AL399" s="1286"/>
      <c r="AM399" s="1286"/>
      <c r="AN399" s="1286"/>
      <c r="AO399" s="1286"/>
      <c r="AP399" s="1286"/>
      <c r="AQ399" s="1286"/>
      <c r="AR399" s="1286"/>
      <c r="AS399" s="1286"/>
      <c r="AT399" s="1286"/>
      <c r="AU399" s="1286"/>
      <c r="AV399" s="1286"/>
      <c r="AW399" s="1286"/>
      <c r="AX399" s="1286"/>
      <c r="AY399" s="1286"/>
      <c r="AZ399" s="1286"/>
      <c r="BA399" s="1286"/>
      <c r="BB399" s="1286"/>
      <c r="BC399" s="1286"/>
      <c r="BD399" s="1286"/>
      <c r="BE399" s="1286"/>
      <c r="BF399" s="1286"/>
      <c r="BG399" s="1286"/>
      <c r="BH399" s="1286"/>
      <c r="BI399" s="1286"/>
      <c r="BJ399" s="1286"/>
      <c r="BK399" s="1286"/>
      <c r="BL399" s="1286"/>
      <c r="BM399" s="1286"/>
      <c r="BN399" s="1286"/>
      <c r="BO399" s="1286"/>
      <c r="BP399" s="1286"/>
      <c r="BQ399" s="1286"/>
      <c r="BR399" s="1286"/>
      <c r="BS399" s="1286"/>
      <c r="BT399" s="1286"/>
      <c r="BU399" s="1286"/>
      <c r="BV399" s="1286"/>
      <c r="BW399" s="1286"/>
      <c r="BX399" s="1286"/>
      <c r="BY399" s="1286"/>
      <c r="BZ399" s="1286"/>
      <c r="CA399" s="1286"/>
      <c r="CB399" s="1286"/>
      <c r="CC399" s="1286"/>
      <c r="CD399" s="1286"/>
      <c r="CE399" s="1286"/>
      <c r="CF399" s="1286"/>
      <c r="CG399" s="1286"/>
      <c r="CH399" s="1269"/>
      <c r="CI399" s="1286"/>
      <c r="CJ399" s="1286"/>
      <c r="CK399" s="1286"/>
      <c r="CL399" s="1286"/>
      <c r="CM399" s="1286"/>
      <c r="CN399" s="1286"/>
      <c r="CO399" s="1286"/>
      <c r="CP399" s="1286"/>
      <c r="CQ399" s="1286"/>
      <c r="CR399" s="1286"/>
      <c r="CS399" s="1286"/>
      <c r="CT399" s="1286"/>
      <c r="CU399" s="1286"/>
      <c r="CV399" s="1286"/>
      <c r="CW399" s="1286"/>
      <c r="CX399" s="1286"/>
      <c r="CY399" s="1286"/>
      <c r="CZ399" s="1286"/>
      <c r="DA399" s="1286"/>
      <c r="DB399" s="1286"/>
      <c r="DC399" s="1286"/>
      <c r="DD399" s="1286"/>
      <c r="DE399" s="1286"/>
      <c r="DF399" s="1286"/>
      <c r="DG399" s="1286"/>
      <c r="DH399" s="1286"/>
      <c r="DI399" s="1286"/>
      <c r="DJ399" s="1286"/>
      <c r="DK399" s="1286"/>
      <c r="DL399" s="1286"/>
      <c r="DM399" s="1286"/>
      <c r="DN399" s="1286"/>
      <c r="DO399" s="1286"/>
      <c r="DP399" s="1286"/>
      <c r="DQ399" s="1286"/>
      <c r="DR399" s="1286"/>
      <c r="DS399" s="1286"/>
      <c r="DT399" s="1286"/>
      <c r="DU399" s="1286"/>
      <c r="DV399" s="1286"/>
      <c r="DW399" s="1286"/>
      <c r="DX399" s="1286"/>
      <c r="DY399" s="1286"/>
      <c r="DZ399" s="1286"/>
      <c r="EA399" s="1286"/>
      <c r="EB399" s="1206"/>
      <c r="EC399" s="1206"/>
      <c r="ED399" s="1206"/>
      <c r="EE399" s="1206"/>
      <c r="EF399" s="1206"/>
      <c r="EG399" s="1206"/>
      <c r="EH399" s="1206"/>
      <c r="EI399" s="1206"/>
      <c r="EJ399" s="1206"/>
      <c r="EK399" s="1206"/>
      <c r="EL399" s="1206"/>
      <c r="EM399" s="1313"/>
    </row>
    <row r="400" spans="2:143" s="1271" customFormat="1">
      <c r="B400" s="1263"/>
      <c r="C400" s="1264"/>
      <c r="D400" s="1265"/>
      <c r="E400" s="1265"/>
      <c r="F400" s="1285"/>
      <c r="G400" s="1264"/>
      <c r="H400" s="1264"/>
      <c r="I400" s="1285"/>
      <c r="J400" s="1285"/>
      <c r="K400" s="1285"/>
      <c r="L400" s="1285"/>
      <c r="M400" s="1285"/>
      <c r="N400" s="1285"/>
      <c r="O400" s="1285"/>
      <c r="P400" s="1285"/>
      <c r="Q400" s="1285"/>
      <c r="R400" s="1285"/>
      <c r="S400" s="1285"/>
      <c r="T400" s="1285"/>
      <c r="U400" s="1285"/>
      <c r="V400" s="1285"/>
      <c r="W400" s="1286"/>
      <c r="X400" s="1286"/>
      <c r="Y400" s="1286"/>
      <c r="Z400" s="1286"/>
      <c r="AA400" s="1286"/>
      <c r="AB400" s="1286"/>
      <c r="AC400" s="1286"/>
      <c r="AD400" s="1286"/>
      <c r="AE400" s="1286"/>
      <c r="AF400" s="1286"/>
      <c r="AG400" s="1286"/>
      <c r="AH400" s="1286"/>
      <c r="AI400" s="1286"/>
      <c r="AJ400" s="1286"/>
      <c r="AK400" s="1286"/>
      <c r="AL400" s="1286"/>
      <c r="AM400" s="1286"/>
      <c r="AN400" s="1286"/>
      <c r="AO400" s="1286"/>
      <c r="AP400" s="1286"/>
      <c r="AQ400" s="1286"/>
      <c r="AR400" s="1286"/>
      <c r="AS400" s="1286"/>
      <c r="AT400" s="1286"/>
      <c r="AU400" s="1286"/>
      <c r="AV400" s="1286"/>
      <c r="AW400" s="1286"/>
      <c r="AX400" s="1286"/>
      <c r="AY400" s="1286"/>
      <c r="AZ400" s="1286"/>
      <c r="BA400" s="1286"/>
      <c r="BB400" s="1286"/>
      <c r="BC400" s="1286"/>
      <c r="BD400" s="1286"/>
      <c r="BE400" s="1286"/>
      <c r="BF400" s="1286"/>
      <c r="BG400" s="1286"/>
      <c r="BH400" s="1286"/>
      <c r="BI400" s="1286"/>
      <c r="BJ400" s="1286"/>
      <c r="BK400" s="1286"/>
      <c r="BL400" s="1286"/>
      <c r="BM400" s="1286"/>
      <c r="BN400" s="1286"/>
      <c r="BO400" s="1286"/>
      <c r="BP400" s="1286"/>
      <c r="BQ400" s="1286"/>
      <c r="BR400" s="1286"/>
      <c r="BS400" s="1286"/>
      <c r="BT400" s="1286"/>
      <c r="BU400" s="1286"/>
      <c r="BV400" s="1286"/>
      <c r="BW400" s="1286"/>
      <c r="BX400" s="1286"/>
      <c r="BY400" s="1286"/>
      <c r="BZ400" s="1286"/>
      <c r="CA400" s="1286"/>
      <c r="CB400" s="1286"/>
      <c r="CC400" s="1286"/>
      <c r="CD400" s="1286"/>
      <c r="CE400" s="1286"/>
      <c r="CF400" s="1286"/>
      <c r="CG400" s="1286"/>
      <c r="CH400" s="1269"/>
      <c r="CI400" s="1286"/>
      <c r="CJ400" s="1286"/>
      <c r="CK400" s="1286"/>
      <c r="CL400" s="1286"/>
      <c r="CM400" s="1286"/>
      <c r="CN400" s="1286"/>
      <c r="CO400" s="1286"/>
      <c r="CP400" s="1286"/>
      <c r="CQ400" s="1286"/>
      <c r="CR400" s="1286"/>
      <c r="CS400" s="1286"/>
      <c r="CT400" s="1286"/>
      <c r="CU400" s="1286"/>
      <c r="CV400" s="1286"/>
      <c r="CW400" s="1286"/>
      <c r="CX400" s="1286"/>
      <c r="CY400" s="1286"/>
      <c r="CZ400" s="1286"/>
      <c r="DA400" s="1286"/>
      <c r="DB400" s="1286"/>
      <c r="DC400" s="1286"/>
      <c r="DD400" s="1286"/>
      <c r="DE400" s="1286"/>
      <c r="DF400" s="1286"/>
      <c r="DG400" s="1286"/>
      <c r="DH400" s="1286"/>
      <c r="DI400" s="1286"/>
      <c r="DJ400" s="1286"/>
      <c r="DK400" s="1286"/>
      <c r="DL400" s="1286"/>
      <c r="DM400" s="1286"/>
      <c r="DN400" s="1286"/>
      <c r="DO400" s="1286"/>
      <c r="DP400" s="1286"/>
      <c r="DQ400" s="1286"/>
      <c r="DR400" s="1286"/>
      <c r="DS400" s="1286"/>
      <c r="DT400" s="1286"/>
      <c r="DU400" s="1286"/>
      <c r="DV400" s="1286"/>
      <c r="DW400" s="1286"/>
      <c r="DX400" s="1286"/>
      <c r="DY400" s="1286"/>
      <c r="DZ400" s="1286"/>
      <c r="EA400" s="1286"/>
      <c r="EB400" s="1206"/>
      <c r="EC400" s="1206"/>
      <c r="ED400" s="1206"/>
      <c r="EE400" s="1206"/>
      <c r="EF400" s="1206"/>
      <c r="EG400" s="1206"/>
      <c r="EH400" s="1206"/>
      <c r="EI400" s="1206"/>
      <c r="EJ400" s="1206"/>
      <c r="EK400" s="1206"/>
      <c r="EL400" s="1206"/>
      <c r="EM400" s="1313"/>
    </row>
    <row r="401" spans="2:143" s="1271" customFormat="1">
      <c r="B401" s="1263"/>
      <c r="C401" s="1264"/>
      <c r="D401" s="1265"/>
      <c r="E401" s="1265"/>
      <c r="F401" s="1285"/>
      <c r="G401" s="1264"/>
      <c r="H401" s="1264"/>
      <c r="I401" s="1285"/>
      <c r="J401" s="1285"/>
      <c r="K401" s="1285"/>
      <c r="L401" s="1285"/>
      <c r="M401" s="1285"/>
      <c r="N401" s="1285"/>
      <c r="O401" s="1285"/>
      <c r="P401" s="1285"/>
      <c r="Q401" s="1285"/>
      <c r="R401" s="1285"/>
      <c r="S401" s="1285"/>
      <c r="T401" s="1285"/>
      <c r="U401" s="1285"/>
      <c r="V401" s="1285"/>
      <c r="W401" s="1286"/>
      <c r="X401" s="1286"/>
      <c r="Y401" s="1286"/>
      <c r="Z401" s="1286"/>
      <c r="AA401" s="1286"/>
      <c r="AB401" s="1286"/>
      <c r="AC401" s="1286"/>
      <c r="AD401" s="1286"/>
      <c r="AE401" s="1286"/>
      <c r="AF401" s="1286"/>
      <c r="AG401" s="1286"/>
      <c r="AH401" s="1286"/>
      <c r="AI401" s="1286"/>
      <c r="AJ401" s="1286"/>
      <c r="AK401" s="1286"/>
      <c r="AL401" s="1286"/>
      <c r="AM401" s="1286"/>
      <c r="AN401" s="1286"/>
      <c r="AO401" s="1286"/>
      <c r="AP401" s="1286"/>
      <c r="AQ401" s="1286"/>
      <c r="AR401" s="1286"/>
      <c r="AS401" s="1286"/>
      <c r="AT401" s="1286"/>
      <c r="AU401" s="1286"/>
      <c r="AV401" s="1286"/>
      <c r="AW401" s="1286"/>
      <c r="AX401" s="1286"/>
      <c r="AY401" s="1286"/>
      <c r="AZ401" s="1286"/>
      <c r="BA401" s="1286"/>
      <c r="BB401" s="1286"/>
      <c r="BC401" s="1286"/>
      <c r="BD401" s="1286"/>
      <c r="BE401" s="1286"/>
      <c r="BF401" s="1286"/>
      <c r="BG401" s="1286"/>
      <c r="BH401" s="1286"/>
      <c r="BI401" s="1286"/>
      <c r="BJ401" s="1286"/>
      <c r="BK401" s="1286"/>
      <c r="BL401" s="1286"/>
      <c r="BM401" s="1286"/>
      <c r="BN401" s="1286"/>
      <c r="BO401" s="1286"/>
      <c r="BP401" s="1286"/>
      <c r="BQ401" s="1286"/>
      <c r="BR401" s="1286"/>
      <c r="BS401" s="1286"/>
      <c r="BT401" s="1286"/>
      <c r="BU401" s="1286"/>
      <c r="BV401" s="1286"/>
      <c r="BW401" s="1286"/>
      <c r="BX401" s="1286"/>
      <c r="BY401" s="1286"/>
      <c r="BZ401" s="1286"/>
      <c r="CA401" s="1286"/>
      <c r="CB401" s="1286"/>
      <c r="CC401" s="1286"/>
      <c r="CD401" s="1286"/>
      <c r="CE401" s="1286"/>
      <c r="CF401" s="1286"/>
      <c r="CG401" s="1286"/>
      <c r="CH401" s="1269"/>
      <c r="CI401" s="1286"/>
      <c r="CJ401" s="1286"/>
      <c r="CK401" s="1286"/>
      <c r="CL401" s="1286"/>
      <c r="CM401" s="1286"/>
      <c r="CN401" s="1286"/>
      <c r="CO401" s="1286"/>
      <c r="CP401" s="1286"/>
      <c r="CQ401" s="1286"/>
      <c r="CR401" s="1286"/>
      <c r="CS401" s="1286"/>
      <c r="CT401" s="1286"/>
      <c r="CU401" s="1286"/>
      <c r="CV401" s="1286"/>
      <c r="CW401" s="1286"/>
      <c r="CX401" s="1286"/>
      <c r="CY401" s="1286"/>
      <c r="CZ401" s="1286"/>
      <c r="DA401" s="1286"/>
      <c r="DB401" s="1286"/>
      <c r="DC401" s="1286"/>
      <c r="DD401" s="1286"/>
      <c r="DE401" s="1286"/>
      <c r="DF401" s="1286"/>
      <c r="DG401" s="1286"/>
      <c r="DH401" s="1286"/>
      <c r="DI401" s="1286"/>
      <c r="DJ401" s="1286"/>
      <c r="DK401" s="1286"/>
      <c r="DL401" s="1286"/>
      <c r="DM401" s="1286"/>
      <c r="DN401" s="1286"/>
      <c r="DO401" s="1286"/>
      <c r="DP401" s="1286"/>
      <c r="DQ401" s="1286"/>
      <c r="DR401" s="1286"/>
      <c r="DS401" s="1286"/>
      <c r="DT401" s="1286"/>
      <c r="DU401" s="1286"/>
      <c r="DV401" s="1286"/>
      <c r="DW401" s="1286"/>
      <c r="DX401" s="1286"/>
      <c r="DY401" s="1286"/>
      <c r="DZ401" s="1286"/>
      <c r="EA401" s="1286"/>
      <c r="EB401" s="1206"/>
      <c r="EC401" s="1206"/>
      <c r="ED401" s="1206"/>
      <c r="EE401" s="1206"/>
      <c r="EF401" s="1206"/>
      <c r="EG401" s="1206"/>
      <c r="EH401" s="1206"/>
      <c r="EI401" s="1206"/>
      <c r="EJ401" s="1206"/>
      <c r="EK401" s="1206"/>
      <c r="EL401" s="1206"/>
      <c r="EM401" s="1313"/>
    </row>
    <row r="402" spans="2:143" s="1271" customFormat="1">
      <c r="B402" s="1263"/>
      <c r="C402" s="1264"/>
      <c r="D402" s="1265"/>
      <c r="E402" s="1265"/>
      <c r="F402" s="1285"/>
      <c r="G402" s="1264"/>
      <c r="H402" s="1264"/>
      <c r="I402" s="1285"/>
      <c r="J402" s="1285"/>
      <c r="K402" s="1285"/>
      <c r="L402" s="1285"/>
      <c r="M402" s="1285"/>
      <c r="N402" s="1285"/>
      <c r="O402" s="1285"/>
      <c r="P402" s="1285"/>
      <c r="Q402" s="1285"/>
      <c r="R402" s="1285"/>
      <c r="S402" s="1285"/>
      <c r="T402" s="1285"/>
      <c r="U402" s="1285"/>
      <c r="V402" s="1285"/>
      <c r="W402" s="1286"/>
      <c r="X402" s="1286"/>
      <c r="Y402" s="1286"/>
      <c r="Z402" s="1286"/>
      <c r="AA402" s="1286"/>
      <c r="AB402" s="1286"/>
      <c r="AC402" s="1286"/>
      <c r="AD402" s="1286"/>
      <c r="AE402" s="1286"/>
      <c r="AF402" s="1286"/>
      <c r="AG402" s="1286"/>
      <c r="AH402" s="1286"/>
      <c r="AI402" s="1286"/>
      <c r="AJ402" s="1286"/>
      <c r="AK402" s="1286"/>
      <c r="AL402" s="1286"/>
      <c r="AM402" s="1286"/>
      <c r="AN402" s="1286"/>
      <c r="AO402" s="1286"/>
      <c r="AP402" s="1286"/>
      <c r="AQ402" s="1286"/>
      <c r="AR402" s="1286"/>
      <c r="AS402" s="1286"/>
      <c r="AT402" s="1286"/>
      <c r="AU402" s="1286"/>
      <c r="AV402" s="1286"/>
      <c r="AW402" s="1286"/>
      <c r="AX402" s="1286"/>
      <c r="AY402" s="1286"/>
      <c r="AZ402" s="1286"/>
      <c r="BA402" s="1286"/>
      <c r="BB402" s="1286"/>
      <c r="BC402" s="1286"/>
      <c r="BD402" s="1286"/>
      <c r="BE402" s="1286"/>
      <c r="BF402" s="1286"/>
      <c r="BG402" s="1286"/>
      <c r="BH402" s="1286"/>
      <c r="BI402" s="1286"/>
      <c r="BJ402" s="1286"/>
      <c r="BK402" s="1286"/>
      <c r="BL402" s="1286"/>
      <c r="BM402" s="1286"/>
      <c r="BN402" s="1286"/>
      <c r="BO402" s="1286"/>
      <c r="BP402" s="1286"/>
      <c r="BQ402" s="1286"/>
      <c r="BR402" s="1286"/>
      <c r="BS402" s="1286"/>
      <c r="BT402" s="1286"/>
      <c r="BU402" s="1286"/>
      <c r="BV402" s="1286"/>
      <c r="BW402" s="1286"/>
      <c r="BX402" s="1286"/>
      <c r="BY402" s="1286"/>
      <c r="BZ402" s="1286"/>
      <c r="CA402" s="1286"/>
      <c r="CB402" s="1286"/>
      <c r="CC402" s="1286"/>
      <c r="CD402" s="1286"/>
      <c r="CE402" s="1286"/>
      <c r="CF402" s="1286"/>
      <c r="CG402" s="1286"/>
      <c r="CH402" s="1269"/>
      <c r="CI402" s="1286"/>
      <c r="CJ402" s="1286"/>
      <c r="CK402" s="1286"/>
      <c r="CL402" s="1286"/>
      <c r="CM402" s="1286"/>
      <c r="CN402" s="1286"/>
      <c r="CO402" s="1286"/>
      <c r="CP402" s="1286"/>
      <c r="CQ402" s="1286"/>
      <c r="CR402" s="1286"/>
      <c r="CS402" s="1286"/>
      <c r="CT402" s="1286"/>
      <c r="CU402" s="1286"/>
      <c r="CV402" s="1286"/>
      <c r="CW402" s="1286"/>
      <c r="CX402" s="1286"/>
      <c r="CY402" s="1286"/>
      <c r="CZ402" s="1286"/>
      <c r="DA402" s="1286"/>
      <c r="DB402" s="1286"/>
      <c r="DC402" s="1286"/>
      <c r="DD402" s="1286"/>
      <c r="DE402" s="1286"/>
      <c r="DF402" s="1286"/>
      <c r="DG402" s="1286"/>
      <c r="DH402" s="1286"/>
      <c r="DI402" s="1286"/>
      <c r="DJ402" s="1286"/>
      <c r="DK402" s="1286"/>
      <c r="DL402" s="1286"/>
      <c r="DM402" s="1286"/>
      <c r="DN402" s="1286"/>
      <c r="DO402" s="1286"/>
      <c r="DP402" s="1286"/>
      <c r="DQ402" s="1286"/>
      <c r="DR402" s="1286"/>
      <c r="DS402" s="1286"/>
      <c r="DT402" s="1286"/>
      <c r="DU402" s="1286"/>
      <c r="DV402" s="1286"/>
      <c r="DW402" s="1286"/>
      <c r="DX402" s="1286"/>
      <c r="DY402" s="1286"/>
      <c r="DZ402" s="1286"/>
      <c r="EA402" s="1286"/>
      <c r="EB402" s="1206"/>
      <c r="EC402" s="1206"/>
      <c r="ED402" s="1206"/>
      <c r="EE402" s="1206"/>
      <c r="EF402" s="1206"/>
      <c r="EG402" s="1206"/>
      <c r="EH402" s="1206"/>
      <c r="EI402" s="1206"/>
      <c r="EJ402" s="1206"/>
      <c r="EK402" s="1206"/>
      <c r="EL402" s="1206"/>
      <c r="EM402" s="1313"/>
    </row>
    <row r="403" spans="2:143" s="1271" customFormat="1">
      <c r="B403" s="1263"/>
      <c r="C403" s="1264"/>
      <c r="D403" s="1265"/>
      <c r="E403" s="1265"/>
      <c r="F403" s="1285"/>
      <c r="G403" s="1264"/>
      <c r="H403" s="1264"/>
      <c r="I403" s="1285"/>
      <c r="J403" s="1285"/>
      <c r="K403" s="1285"/>
      <c r="L403" s="1285"/>
      <c r="M403" s="1285"/>
      <c r="N403" s="1285"/>
      <c r="O403" s="1285"/>
      <c r="P403" s="1285"/>
      <c r="Q403" s="1285"/>
      <c r="R403" s="1285"/>
      <c r="S403" s="1285"/>
      <c r="T403" s="1285"/>
      <c r="U403" s="1285"/>
      <c r="V403" s="1285"/>
      <c r="W403" s="1286"/>
      <c r="X403" s="1286"/>
      <c r="Y403" s="1286"/>
      <c r="Z403" s="1286"/>
      <c r="AA403" s="1286"/>
      <c r="AB403" s="1286"/>
      <c r="AC403" s="1286"/>
      <c r="AD403" s="1286"/>
      <c r="AE403" s="1286"/>
      <c r="AF403" s="1286"/>
      <c r="AG403" s="1286"/>
      <c r="AH403" s="1286"/>
      <c r="AI403" s="1286"/>
      <c r="AJ403" s="1286"/>
      <c r="AK403" s="1286"/>
      <c r="AL403" s="1286"/>
      <c r="AM403" s="1286"/>
      <c r="AN403" s="1286"/>
      <c r="AO403" s="1286"/>
      <c r="AP403" s="1286"/>
      <c r="AQ403" s="1286"/>
      <c r="AR403" s="1286"/>
      <c r="AS403" s="1286"/>
      <c r="AT403" s="1286"/>
      <c r="AU403" s="1286"/>
      <c r="AV403" s="1286"/>
      <c r="AW403" s="1286"/>
      <c r="AX403" s="1286"/>
      <c r="AY403" s="1286"/>
      <c r="AZ403" s="1286"/>
      <c r="BA403" s="1286"/>
      <c r="BB403" s="1286"/>
      <c r="BC403" s="1286"/>
      <c r="BD403" s="1286"/>
      <c r="BE403" s="1286"/>
      <c r="BF403" s="1286"/>
      <c r="BG403" s="1286"/>
      <c r="BH403" s="1286"/>
      <c r="BI403" s="1286"/>
      <c r="BJ403" s="1286"/>
      <c r="BK403" s="1286"/>
      <c r="BL403" s="1286"/>
      <c r="BM403" s="1286"/>
      <c r="BN403" s="1286"/>
      <c r="BO403" s="1286"/>
      <c r="BP403" s="1286"/>
      <c r="BQ403" s="1286"/>
      <c r="BR403" s="1286"/>
      <c r="BS403" s="1286"/>
      <c r="BT403" s="1286"/>
      <c r="BU403" s="1286"/>
      <c r="BV403" s="1286"/>
      <c r="BW403" s="1286"/>
      <c r="BX403" s="1286"/>
      <c r="BY403" s="1286"/>
      <c r="BZ403" s="1286"/>
      <c r="CA403" s="1286"/>
      <c r="CB403" s="1286"/>
      <c r="CC403" s="1286"/>
      <c r="CD403" s="1286"/>
      <c r="CE403" s="1286"/>
      <c r="CF403" s="1286"/>
      <c r="CG403" s="1286"/>
      <c r="CH403" s="1269"/>
      <c r="CI403" s="1286"/>
      <c r="CJ403" s="1286"/>
      <c r="CK403" s="1286"/>
      <c r="CL403" s="1286"/>
      <c r="CM403" s="1286"/>
      <c r="CN403" s="1286"/>
      <c r="CO403" s="1286"/>
      <c r="CP403" s="1286"/>
      <c r="CQ403" s="1286"/>
      <c r="CR403" s="1286"/>
      <c r="CS403" s="1286"/>
      <c r="CT403" s="1286"/>
      <c r="CU403" s="1286"/>
      <c r="CV403" s="1286"/>
      <c r="CW403" s="1286"/>
      <c r="CX403" s="1286"/>
      <c r="CY403" s="1286"/>
      <c r="CZ403" s="1286"/>
      <c r="DA403" s="1286"/>
      <c r="DB403" s="1286"/>
      <c r="DC403" s="1286"/>
      <c r="DD403" s="1286"/>
      <c r="DE403" s="1286"/>
      <c r="DF403" s="1286"/>
      <c r="DG403" s="1286"/>
      <c r="DH403" s="1286"/>
      <c r="DI403" s="1286"/>
      <c r="DJ403" s="1286"/>
      <c r="DK403" s="1286"/>
      <c r="DL403" s="1286"/>
      <c r="DM403" s="1286"/>
      <c r="DN403" s="1286"/>
      <c r="DO403" s="1286"/>
      <c r="DP403" s="1286"/>
      <c r="DQ403" s="1286"/>
      <c r="DR403" s="1286"/>
      <c r="DS403" s="1286"/>
      <c r="DT403" s="1286"/>
      <c r="DU403" s="1286"/>
      <c r="DV403" s="1286"/>
      <c r="DW403" s="1286"/>
      <c r="DX403" s="1286"/>
      <c r="DY403" s="1286"/>
      <c r="DZ403" s="1286"/>
      <c r="EA403" s="1286"/>
      <c r="EB403" s="1206"/>
      <c r="EC403" s="1206"/>
      <c r="ED403" s="1206"/>
      <c r="EE403" s="1206"/>
      <c r="EF403" s="1206"/>
      <c r="EG403" s="1206"/>
      <c r="EH403" s="1206"/>
      <c r="EI403" s="1206"/>
      <c r="EJ403" s="1206"/>
      <c r="EK403" s="1206"/>
      <c r="EL403" s="1206"/>
      <c r="EM403" s="1313"/>
    </row>
    <row r="404" spans="2:143" s="1271" customFormat="1">
      <c r="B404" s="1263"/>
      <c r="C404" s="1264"/>
      <c r="D404" s="1265"/>
      <c r="E404" s="1265"/>
      <c r="F404" s="1285"/>
      <c r="G404" s="1264"/>
      <c r="H404" s="1264"/>
      <c r="I404" s="1285"/>
      <c r="J404" s="1285"/>
      <c r="K404" s="1285"/>
      <c r="L404" s="1285"/>
      <c r="M404" s="1285"/>
      <c r="N404" s="1285"/>
      <c r="O404" s="1285"/>
      <c r="P404" s="1285"/>
      <c r="Q404" s="1285"/>
      <c r="R404" s="1285"/>
      <c r="S404" s="1285"/>
      <c r="T404" s="1285"/>
      <c r="U404" s="1285"/>
      <c r="V404" s="1285"/>
      <c r="W404" s="1286"/>
      <c r="X404" s="1286"/>
      <c r="Y404" s="1286"/>
      <c r="Z404" s="1286"/>
      <c r="AA404" s="1286"/>
      <c r="AB404" s="1286"/>
      <c r="AC404" s="1286"/>
      <c r="AD404" s="1286"/>
      <c r="AE404" s="1286"/>
      <c r="AF404" s="1286"/>
      <c r="AG404" s="1286"/>
      <c r="AH404" s="1286"/>
      <c r="AI404" s="1286"/>
      <c r="AJ404" s="1286"/>
      <c r="AK404" s="1286"/>
      <c r="AL404" s="1286"/>
      <c r="AM404" s="1286"/>
      <c r="AN404" s="1286"/>
      <c r="AO404" s="1286"/>
      <c r="AP404" s="1286"/>
      <c r="AQ404" s="1286"/>
      <c r="AR404" s="1286"/>
      <c r="AS404" s="1286"/>
      <c r="AT404" s="1286"/>
      <c r="AU404" s="1286"/>
      <c r="AV404" s="1286"/>
      <c r="AW404" s="1286"/>
      <c r="AX404" s="1286"/>
      <c r="AY404" s="1286"/>
      <c r="AZ404" s="1286"/>
      <c r="BA404" s="1286"/>
      <c r="BB404" s="1286"/>
      <c r="BC404" s="1286"/>
      <c r="BD404" s="1286"/>
      <c r="BE404" s="1286"/>
      <c r="BF404" s="1286"/>
      <c r="BG404" s="1286"/>
      <c r="BH404" s="1286"/>
      <c r="BI404" s="1286"/>
      <c r="BJ404" s="1286"/>
      <c r="BK404" s="1286"/>
      <c r="BL404" s="1286"/>
      <c r="BM404" s="1286"/>
      <c r="BN404" s="1286"/>
      <c r="BO404" s="1286"/>
      <c r="BP404" s="1286"/>
      <c r="BQ404" s="1286"/>
      <c r="BR404" s="1286"/>
      <c r="BS404" s="1286"/>
      <c r="BT404" s="1286"/>
      <c r="BU404" s="1286"/>
      <c r="BV404" s="1286"/>
      <c r="BW404" s="1286"/>
      <c r="BX404" s="1286"/>
      <c r="BY404" s="1286"/>
      <c r="BZ404" s="1286"/>
      <c r="CA404" s="1286"/>
      <c r="CB404" s="1286"/>
      <c r="CC404" s="1286"/>
      <c r="CD404" s="1286"/>
      <c r="CE404" s="1286"/>
      <c r="CF404" s="1286"/>
      <c r="CG404" s="1286"/>
      <c r="CH404" s="1269"/>
      <c r="CI404" s="1286"/>
      <c r="CJ404" s="1286"/>
      <c r="CK404" s="1286"/>
      <c r="CL404" s="1286"/>
      <c r="CM404" s="1286"/>
      <c r="CN404" s="1286"/>
      <c r="CO404" s="1286"/>
      <c r="CP404" s="1286"/>
      <c r="CQ404" s="1286"/>
      <c r="CR404" s="1286"/>
      <c r="CS404" s="1286"/>
      <c r="CT404" s="1286"/>
      <c r="CU404" s="1286"/>
      <c r="CV404" s="1286"/>
      <c r="CW404" s="1286"/>
      <c r="CX404" s="1286"/>
      <c r="CY404" s="1286"/>
      <c r="CZ404" s="1286"/>
      <c r="DA404" s="1286"/>
      <c r="DB404" s="1286"/>
      <c r="DC404" s="1286"/>
      <c r="DD404" s="1286"/>
      <c r="DE404" s="1286"/>
      <c r="DF404" s="1286"/>
      <c r="DG404" s="1286"/>
      <c r="DH404" s="1286"/>
      <c r="DI404" s="1286"/>
      <c r="DJ404" s="1286"/>
      <c r="DK404" s="1286"/>
      <c r="DL404" s="1286"/>
      <c r="DM404" s="1286"/>
      <c r="DN404" s="1286"/>
      <c r="DO404" s="1286"/>
      <c r="DP404" s="1286"/>
      <c r="DQ404" s="1286"/>
      <c r="DR404" s="1286"/>
      <c r="DS404" s="1286"/>
      <c r="DT404" s="1286"/>
      <c r="DU404" s="1286"/>
      <c r="DV404" s="1286"/>
      <c r="DW404" s="1286"/>
      <c r="DX404" s="1286"/>
      <c r="DY404" s="1286"/>
      <c r="DZ404" s="1286"/>
      <c r="EA404" s="1286"/>
      <c r="EB404" s="1206"/>
      <c r="EC404" s="1206"/>
      <c r="ED404" s="1206"/>
      <c r="EE404" s="1206"/>
      <c r="EF404" s="1206"/>
      <c r="EG404" s="1206"/>
      <c r="EH404" s="1206"/>
      <c r="EI404" s="1206"/>
      <c r="EJ404" s="1206"/>
      <c r="EK404" s="1206"/>
      <c r="EL404" s="1206"/>
      <c r="EM404" s="1313"/>
    </row>
    <row r="405" spans="2:143" s="1271" customFormat="1">
      <c r="B405" s="1263"/>
      <c r="C405" s="1264"/>
      <c r="D405" s="1265"/>
      <c r="E405" s="1265"/>
      <c r="F405" s="1285"/>
      <c r="G405" s="1264"/>
      <c r="H405" s="1264"/>
      <c r="I405" s="1285"/>
      <c r="J405" s="1285"/>
      <c r="K405" s="1285"/>
      <c r="L405" s="1285"/>
      <c r="M405" s="1285"/>
      <c r="N405" s="1285"/>
      <c r="O405" s="1285"/>
      <c r="P405" s="1285"/>
      <c r="Q405" s="1285"/>
      <c r="R405" s="1285"/>
      <c r="S405" s="1285"/>
      <c r="T405" s="1285"/>
      <c r="U405" s="1285"/>
      <c r="V405" s="1285"/>
      <c r="W405" s="1286"/>
      <c r="X405" s="1286"/>
      <c r="Y405" s="1286"/>
      <c r="Z405" s="1286"/>
      <c r="AA405" s="1286"/>
      <c r="AB405" s="1286"/>
      <c r="AC405" s="1286"/>
      <c r="AD405" s="1286"/>
      <c r="AE405" s="1286"/>
      <c r="AF405" s="1286"/>
      <c r="AG405" s="1286"/>
      <c r="AH405" s="1286"/>
      <c r="AI405" s="1286"/>
      <c r="AJ405" s="1286"/>
      <c r="AK405" s="1286"/>
      <c r="AL405" s="1286"/>
      <c r="AM405" s="1286"/>
      <c r="AN405" s="1286"/>
      <c r="AO405" s="1286"/>
      <c r="AP405" s="1286"/>
      <c r="AQ405" s="1286"/>
      <c r="AR405" s="1286"/>
      <c r="AS405" s="1286"/>
      <c r="AT405" s="1286"/>
      <c r="AU405" s="1286"/>
      <c r="AV405" s="1286"/>
      <c r="AW405" s="1286"/>
      <c r="AX405" s="1286"/>
      <c r="AY405" s="1286"/>
      <c r="AZ405" s="1286"/>
      <c r="BA405" s="1286"/>
      <c r="BB405" s="1286"/>
      <c r="BC405" s="1286"/>
      <c r="BD405" s="1286"/>
      <c r="BE405" s="1286"/>
      <c r="BF405" s="1286"/>
      <c r="BG405" s="1286"/>
      <c r="BH405" s="1286"/>
      <c r="BI405" s="1286"/>
      <c r="BJ405" s="1286"/>
      <c r="BK405" s="1286"/>
      <c r="BL405" s="1286"/>
      <c r="BM405" s="1286"/>
      <c r="BN405" s="1286"/>
      <c r="BO405" s="1286"/>
      <c r="BP405" s="1286"/>
      <c r="BQ405" s="1286"/>
      <c r="BR405" s="1286"/>
      <c r="BS405" s="1286"/>
      <c r="BT405" s="1286"/>
      <c r="BU405" s="1286"/>
      <c r="BV405" s="1286"/>
      <c r="BW405" s="1286"/>
      <c r="BX405" s="1286"/>
      <c r="BY405" s="1286"/>
      <c r="BZ405" s="1286"/>
      <c r="CA405" s="1286"/>
      <c r="CB405" s="1286"/>
      <c r="CC405" s="1286"/>
      <c r="CD405" s="1286"/>
      <c r="CE405" s="1286"/>
      <c r="CF405" s="1286"/>
      <c r="CG405" s="1286"/>
      <c r="CH405" s="1269"/>
      <c r="CI405" s="1286"/>
      <c r="CJ405" s="1286"/>
      <c r="CK405" s="1286"/>
      <c r="CL405" s="1286"/>
      <c r="CM405" s="1286"/>
      <c r="CN405" s="1286"/>
      <c r="CO405" s="1286"/>
      <c r="CP405" s="1286"/>
      <c r="CQ405" s="1286"/>
      <c r="CR405" s="1286"/>
      <c r="CS405" s="1286"/>
      <c r="CT405" s="1286"/>
      <c r="CU405" s="1286"/>
      <c r="CV405" s="1286"/>
      <c r="CW405" s="1286"/>
      <c r="CX405" s="1286"/>
      <c r="CY405" s="1286"/>
      <c r="CZ405" s="1286"/>
      <c r="DA405" s="1286"/>
      <c r="DB405" s="1286"/>
      <c r="DC405" s="1286"/>
      <c r="DD405" s="1286"/>
      <c r="DE405" s="1286"/>
      <c r="DF405" s="1286"/>
      <c r="DG405" s="1286"/>
      <c r="DH405" s="1286"/>
      <c r="DI405" s="1286"/>
      <c r="DJ405" s="1286"/>
      <c r="DK405" s="1286"/>
      <c r="DL405" s="1286"/>
      <c r="DM405" s="1286"/>
      <c r="DN405" s="1286"/>
      <c r="DO405" s="1286"/>
      <c r="DP405" s="1286"/>
      <c r="DQ405" s="1286"/>
      <c r="DR405" s="1286"/>
      <c r="DS405" s="1286"/>
      <c r="DT405" s="1286"/>
      <c r="DU405" s="1286"/>
      <c r="DV405" s="1286"/>
      <c r="DW405" s="1286"/>
      <c r="DX405" s="1286"/>
      <c r="DY405" s="1286"/>
      <c r="DZ405" s="1286"/>
      <c r="EA405" s="1286"/>
      <c r="EB405" s="1206"/>
      <c r="EC405" s="1206"/>
      <c r="ED405" s="1206"/>
      <c r="EE405" s="1206"/>
      <c r="EF405" s="1206"/>
      <c r="EG405" s="1206"/>
      <c r="EH405" s="1206"/>
      <c r="EI405" s="1206"/>
      <c r="EJ405" s="1206"/>
      <c r="EK405" s="1206"/>
      <c r="EL405" s="1206"/>
      <c r="EM405" s="1313"/>
    </row>
    <row r="406" spans="2:143" s="1271" customFormat="1">
      <c r="B406" s="1263"/>
      <c r="C406" s="1264"/>
      <c r="D406" s="1265"/>
      <c r="E406" s="1265"/>
      <c r="F406" s="1285"/>
      <c r="G406" s="1264"/>
      <c r="H406" s="1264"/>
      <c r="I406" s="1285"/>
      <c r="J406" s="1285"/>
      <c r="K406" s="1285"/>
      <c r="L406" s="1285"/>
      <c r="M406" s="1285"/>
      <c r="N406" s="1285"/>
      <c r="O406" s="1285"/>
      <c r="P406" s="1285"/>
      <c r="Q406" s="1285"/>
      <c r="R406" s="1285"/>
      <c r="S406" s="1285"/>
      <c r="T406" s="1285"/>
      <c r="U406" s="1285"/>
      <c r="V406" s="1285"/>
      <c r="W406" s="1286"/>
      <c r="X406" s="1286"/>
      <c r="Y406" s="1286"/>
      <c r="Z406" s="1286"/>
      <c r="AA406" s="1286"/>
      <c r="AB406" s="1286"/>
      <c r="AC406" s="1286"/>
      <c r="AD406" s="1286"/>
      <c r="AE406" s="1286"/>
      <c r="AF406" s="1286"/>
      <c r="AG406" s="1286"/>
      <c r="AH406" s="1286"/>
      <c r="AI406" s="1286"/>
      <c r="AJ406" s="1286"/>
      <c r="AK406" s="1286"/>
      <c r="AL406" s="1286"/>
      <c r="AM406" s="1286"/>
      <c r="AN406" s="1286"/>
      <c r="AO406" s="1286"/>
      <c r="AP406" s="1286"/>
      <c r="AQ406" s="1286"/>
      <c r="AR406" s="1286"/>
      <c r="AS406" s="1286"/>
      <c r="AT406" s="1286"/>
      <c r="AU406" s="1286"/>
      <c r="AV406" s="1286"/>
      <c r="AW406" s="1286"/>
      <c r="AX406" s="1286"/>
      <c r="AY406" s="1286"/>
      <c r="AZ406" s="1286"/>
      <c r="BA406" s="1286"/>
      <c r="BB406" s="1286"/>
      <c r="BC406" s="1286"/>
      <c r="BD406" s="1286"/>
      <c r="BE406" s="1286"/>
      <c r="BF406" s="1286"/>
      <c r="BG406" s="1286"/>
      <c r="BH406" s="1286"/>
      <c r="BI406" s="1286"/>
      <c r="BJ406" s="1286"/>
      <c r="BK406" s="1286"/>
      <c r="BL406" s="1286"/>
      <c r="BM406" s="1286"/>
      <c r="BN406" s="1286"/>
      <c r="BO406" s="1286"/>
      <c r="BP406" s="1286"/>
      <c r="BQ406" s="1286"/>
      <c r="BR406" s="1286"/>
      <c r="BS406" s="1286"/>
      <c r="BT406" s="1286"/>
      <c r="BU406" s="1286"/>
      <c r="BV406" s="1286"/>
      <c r="BW406" s="1286"/>
      <c r="BX406" s="1286"/>
      <c r="BY406" s="1286"/>
      <c r="BZ406" s="1286"/>
      <c r="CA406" s="1286"/>
      <c r="CB406" s="1286"/>
      <c r="CC406" s="1286"/>
      <c r="CD406" s="1286"/>
      <c r="CE406" s="1286"/>
      <c r="CF406" s="1286"/>
      <c r="CG406" s="1286"/>
      <c r="CH406" s="1269"/>
      <c r="CI406" s="1286"/>
      <c r="CJ406" s="1286"/>
      <c r="CK406" s="1286"/>
      <c r="CL406" s="1286"/>
      <c r="CM406" s="1286"/>
      <c r="CN406" s="1286"/>
      <c r="CO406" s="1286"/>
      <c r="CP406" s="1286"/>
      <c r="CQ406" s="1286"/>
      <c r="CR406" s="1286"/>
      <c r="CS406" s="1286"/>
      <c r="CT406" s="1286"/>
      <c r="CU406" s="1286"/>
      <c r="CV406" s="1286"/>
      <c r="CW406" s="1286"/>
      <c r="CX406" s="1286"/>
      <c r="CY406" s="1286"/>
      <c r="CZ406" s="1286"/>
      <c r="DA406" s="1286"/>
      <c r="DB406" s="1286"/>
      <c r="DC406" s="1286"/>
      <c r="DD406" s="1286"/>
      <c r="DE406" s="1286"/>
      <c r="DF406" s="1286"/>
      <c r="DG406" s="1286"/>
      <c r="DH406" s="1286"/>
      <c r="DI406" s="1286"/>
      <c r="DJ406" s="1286"/>
      <c r="DK406" s="1286"/>
      <c r="DL406" s="1286"/>
      <c r="DM406" s="1286"/>
      <c r="DN406" s="1286"/>
      <c r="DO406" s="1286"/>
      <c r="DP406" s="1286"/>
      <c r="DQ406" s="1286"/>
      <c r="DR406" s="1286"/>
      <c r="DS406" s="1286"/>
      <c r="DT406" s="1286"/>
      <c r="DU406" s="1286"/>
      <c r="DV406" s="1286"/>
      <c r="DW406" s="1286"/>
      <c r="DX406" s="1286"/>
      <c r="DY406" s="1286"/>
      <c r="DZ406" s="1286"/>
      <c r="EA406" s="1286"/>
      <c r="EB406" s="1206"/>
      <c r="EC406" s="1206"/>
      <c r="ED406" s="1206"/>
      <c r="EE406" s="1206"/>
      <c r="EF406" s="1206"/>
      <c r="EG406" s="1206"/>
      <c r="EH406" s="1206"/>
      <c r="EI406" s="1206"/>
      <c r="EJ406" s="1206"/>
      <c r="EK406" s="1206"/>
      <c r="EL406" s="1206"/>
      <c r="EM406" s="1313"/>
    </row>
    <row r="407" spans="2:143" s="1271" customFormat="1">
      <c r="B407" s="1263"/>
      <c r="C407" s="1264"/>
      <c r="D407" s="1265"/>
      <c r="E407" s="1265"/>
      <c r="F407" s="1285"/>
      <c r="G407" s="1264"/>
      <c r="H407" s="1264"/>
      <c r="I407" s="1285"/>
      <c r="J407" s="1285"/>
      <c r="K407" s="1285"/>
      <c r="L407" s="1285"/>
      <c r="M407" s="1285"/>
      <c r="N407" s="1285"/>
      <c r="O407" s="1285"/>
      <c r="P407" s="1285"/>
      <c r="Q407" s="1285"/>
      <c r="R407" s="1285"/>
      <c r="S407" s="1285"/>
      <c r="T407" s="1285"/>
      <c r="U407" s="1285"/>
      <c r="V407" s="1285"/>
      <c r="W407" s="1286"/>
      <c r="X407" s="1286"/>
      <c r="Y407" s="1286"/>
      <c r="Z407" s="1286"/>
      <c r="AA407" s="1286"/>
      <c r="AB407" s="1286"/>
      <c r="AC407" s="1286"/>
      <c r="AD407" s="1286"/>
      <c r="AE407" s="1286"/>
      <c r="AF407" s="1286"/>
      <c r="AG407" s="1286"/>
      <c r="AH407" s="1286"/>
      <c r="AI407" s="1286"/>
      <c r="AJ407" s="1286"/>
      <c r="AK407" s="1286"/>
      <c r="AL407" s="1286"/>
      <c r="AM407" s="1286"/>
      <c r="AN407" s="1286"/>
      <c r="AO407" s="1286"/>
      <c r="AP407" s="1286"/>
      <c r="AQ407" s="1286"/>
      <c r="AR407" s="1286"/>
      <c r="AS407" s="1286"/>
      <c r="AT407" s="1286"/>
      <c r="AU407" s="1286"/>
      <c r="AV407" s="1286"/>
      <c r="AW407" s="1286"/>
      <c r="AX407" s="1286"/>
      <c r="AY407" s="1286"/>
      <c r="AZ407" s="1286"/>
      <c r="BA407" s="1286"/>
      <c r="BB407" s="1286"/>
      <c r="BC407" s="1286"/>
      <c r="BD407" s="1286"/>
      <c r="BE407" s="1286"/>
      <c r="BF407" s="1286"/>
      <c r="BG407" s="1286"/>
      <c r="BH407" s="1286"/>
      <c r="BI407" s="1286"/>
      <c r="BJ407" s="1286"/>
      <c r="BK407" s="1286"/>
      <c r="BL407" s="1286"/>
      <c r="BM407" s="1286"/>
      <c r="BN407" s="1286"/>
      <c r="BO407" s="1286"/>
      <c r="BP407" s="1286"/>
      <c r="BQ407" s="1286"/>
      <c r="BR407" s="1286"/>
      <c r="BS407" s="1286"/>
      <c r="BT407" s="1286"/>
      <c r="BU407" s="1286"/>
      <c r="BV407" s="1286"/>
      <c r="BW407" s="1286"/>
      <c r="BX407" s="1286"/>
      <c r="BY407" s="1286"/>
      <c r="BZ407" s="1286"/>
      <c r="CA407" s="1286"/>
      <c r="CB407" s="1286"/>
      <c r="CC407" s="1286"/>
      <c r="CD407" s="1286"/>
      <c r="CE407" s="1286"/>
      <c r="CF407" s="1286"/>
      <c r="CG407" s="1286"/>
      <c r="CH407" s="1269"/>
      <c r="CI407" s="1286"/>
      <c r="CJ407" s="1286"/>
      <c r="CK407" s="1286"/>
      <c r="CL407" s="1286"/>
      <c r="CM407" s="1286"/>
      <c r="CN407" s="1286"/>
      <c r="CO407" s="1286"/>
      <c r="CP407" s="1286"/>
      <c r="CQ407" s="1286"/>
      <c r="CR407" s="1286"/>
      <c r="CS407" s="1286"/>
      <c r="CT407" s="1286"/>
      <c r="CU407" s="1286"/>
      <c r="CV407" s="1286"/>
      <c r="CW407" s="1286"/>
      <c r="CX407" s="1286"/>
      <c r="CY407" s="1286"/>
      <c r="CZ407" s="1286"/>
      <c r="DA407" s="1286"/>
      <c r="DB407" s="1286"/>
      <c r="DC407" s="1286"/>
      <c r="DD407" s="1286"/>
      <c r="DE407" s="1286"/>
      <c r="DF407" s="1286"/>
      <c r="DG407" s="1286"/>
      <c r="DH407" s="1286"/>
      <c r="DI407" s="1286"/>
      <c r="DJ407" s="1286"/>
      <c r="DK407" s="1286"/>
      <c r="DL407" s="1286"/>
      <c r="DM407" s="1286"/>
      <c r="DN407" s="1286"/>
      <c r="DO407" s="1286"/>
      <c r="DP407" s="1286"/>
      <c r="DQ407" s="1286"/>
      <c r="DR407" s="1286"/>
      <c r="DS407" s="1286"/>
      <c r="DT407" s="1286"/>
      <c r="DU407" s="1286"/>
      <c r="DV407" s="1286"/>
      <c r="DW407" s="1286"/>
      <c r="DX407" s="1286"/>
      <c r="DY407" s="1286"/>
      <c r="DZ407" s="1286"/>
      <c r="EA407" s="1286"/>
      <c r="EB407" s="1206"/>
      <c r="EC407" s="1206"/>
      <c r="ED407" s="1206"/>
      <c r="EE407" s="1206"/>
      <c r="EF407" s="1206"/>
      <c r="EG407" s="1206"/>
      <c r="EH407" s="1206"/>
      <c r="EI407" s="1206"/>
      <c r="EJ407" s="1206"/>
      <c r="EK407" s="1206"/>
      <c r="EL407" s="1206"/>
      <c r="EM407" s="1313"/>
    </row>
    <row r="408" spans="2:143" s="1271" customFormat="1">
      <c r="B408" s="1263"/>
      <c r="C408" s="1264"/>
      <c r="D408" s="1265"/>
      <c r="E408" s="1265"/>
      <c r="F408" s="1285"/>
      <c r="G408" s="1264"/>
      <c r="H408" s="1264"/>
      <c r="I408" s="1285"/>
      <c r="J408" s="1285"/>
      <c r="K408" s="1285"/>
      <c r="L408" s="1285"/>
      <c r="M408" s="1285"/>
      <c r="N408" s="1285"/>
      <c r="O408" s="1285"/>
      <c r="P408" s="1285"/>
      <c r="Q408" s="1285"/>
      <c r="R408" s="1285"/>
      <c r="S408" s="1285"/>
      <c r="T408" s="1285"/>
      <c r="U408" s="1285"/>
      <c r="V408" s="1285"/>
      <c r="W408" s="1286"/>
      <c r="X408" s="1286"/>
      <c r="Y408" s="1286"/>
      <c r="Z408" s="1286"/>
      <c r="AA408" s="1286"/>
      <c r="AB408" s="1286"/>
      <c r="AC408" s="1286"/>
      <c r="AD408" s="1286"/>
      <c r="AE408" s="1286"/>
      <c r="AF408" s="1286"/>
      <c r="AG408" s="1286"/>
      <c r="AH408" s="1286"/>
      <c r="AI408" s="1286"/>
      <c r="AJ408" s="1286"/>
      <c r="AK408" s="1286"/>
      <c r="AL408" s="1286"/>
      <c r="AM408" s="1286"/>
      <c r="AN408" s="1286"/>
      <c r="AO408" s="1286"/>
      <c r="AP408" s="1286"/>
      <c r="AQ408" s="1286"/>
      <c r="AR408" s="1286"/>
      <c r="AS408" s="1286"/>
      <c r="AT408" s="1286"/>
      <c r="AU408" s="1286"/>
      <c r="AV408" s="1286"/>
      <c r="AW408" s="1286"/>
      <c r="AX408" s="1286"/>
      <c r="AY408" s="1286"/>
      <c r="AZ408" s="1286"/>
      <c r="BA408" s="1286"/>
      <c r="BB408" s="1286"/>
      <c r="BC408" s="1286"/>
      <c r="BD408" s="1286"/>
      <c r="BE408" s="1286"/>
      <c r="BF408" s="1286"/>
      <c r="BG408" s="1286"/>
      <c r="BH408" s="1286"/>
      <c r="BI408" s="1286"/>
      <c r="BJ408" s="1286"/>
      <c r="BK408" s="1286"/>
      <c r="BL408" s="1286"/>
      <c r="BM408" s="1286"/>
      <c r="BN408" s="1286"/>
      <c r="BO408" s="1286"/>
      <c r="BP408" s="1286"/>
      <c r="BQ408" s="1286"/>
      <c r="BR408" s="1286"/>
      <c r="BS408" s="1286"/>
      <c r="BT408" s="1286"/>
      <c r="BU408" s="1286"/>
      <c r="BV408" s="1286"/>
      <c r="BW408" s="1286"/>
      <c r="BX408" s="1286"/>
      <c r="BY408" s="1286"/>
      <c r="BZ408" s="1286"/>
      <c r="CA408" s="1286"/>
      <c r="CB408" s="1286"/>
      <c r="CC408" s="1286"/>
      <c r="CD408" s="1286"/>
      <c r="CE408" s="1286"/>
      <c r="CF408" s="1286"/>
      <c r="CG408" s="1286"/>
      <c r="CH408" s="1269"/>
      <c r="CI408" s="1286"/>
      <c r="CJ408" s="1286"/>
      <c r="CK408" s="1286"/>
      <c r="CL408" s="1286"/>
      <c r="CM408" s="1286"/>
      <c r="CN408" s="1286"/>
      <c r="CO408" s="1286"/>
      <c r="CP408" s="1286"/>
      <c r="CQ408" s="1286"/>
      <c r="CR408" s="1286"/>
      <c r="CS408" s="1286"/>
      <c r="CT408" s="1286"/>
      <c r="CU408" s="1286"/>
      <c r="CV408" s="1286"/>
      <c r="CW408" s="1286"/>
      <c r="CX408" s="1286"/>
      <c r="CY408" s="1286"/>
      <c r="CZ408" s="1286"/>
      <c r="DA408" s="1286"/>
      <c r="DB408" s="1286"/>
      <c r="DC408" s="1286"/>
      <c r="DD408" s="1286"/>
      <c r="DE408" s="1286"/>
      <c r="DF408" s="1286"/>
      <c r="DG408" s="1286"/>
      <c r="DH408" s="1286"/>
      <c r="DI408" s="1286"/>
      <c r="DJ408" s="1286"/>
      <c r="DK408" s="1286"/>
      <c r="DL408" s="1286"/>
      <c r="DM408" s="1286"/>
      <c r="DN408" s="1286"/>
      <c r="DO408" s="1286"/>
      <c r="DP408" s="1286"/>
      <c r="DQ408" s="1286"/>
      <c r="DR408" s="1286"/>
      <c r="DS408" s="1286"/>
      <c r="DT408" s="1286"/>
      <c r="DU408" s="1286"/>
      <c r="DV408" s="1286"/>
      <c r="DW408" s="1286"/>
      <c r="DX408" s="1286"/>
      <c r="DY408" s="1286"/>
      <c r="DZ408" s="1286"/>
      <c r="EA408" s="1286"/>
      <c r="EB408" s="1206"/>
      <c r="EC408" s="1206"/>
      <c r="ED408" s="1206"/>
      <c r="EE408" s="1206"/>
      <c r="EF408" s="1206"/>
      <c r="EG408" s="1206"/>
      <c r="EH408" s="1206"/>
      <c r="EI408" s="1206"/>
      <c r="EJ408" s="1206"/>
      <c r="EK408" s="1206"/>
      <c r="EL408" s="1206"/>
      <c r="EM408" s="1313"/>
    </row>
    <row r="409" spans="2:143" s="1271" customFormat="1">
      <c r="B409" s="1263"/>
      <c r="C409" s="1264"/>
      <c r="D409" s="1265"/>
      <c r="E409" s="1265"/>
      <c r="F409" s="1285"/>
      <c r="G409" s="1264"/>
      <c r="H409" s="1264"/>
      <c r="I409" s="1285"/>
      <c r="J409" s="1285"/>
      <c r="K409" s="1285"/>
      <c r="L409" s="1285"/>
      <c r="M409" s="1285"/>
      <c r="N409" s="1285"/>
      <c r="O409" s="1285"/>
      <c r="P409" s="1285"/>
      <c r="Q409" s="1285"/>
      <c r="R409" s="1285"/>
      <c r="S409" s="1285"/>
      <c r="T409" s="1285"/>
      <c r="U409" s="1285"/>
      <c r="V409" s="1285"/>
      <c r="W409" s="1286"/>
      <c r="X409" s="1286"/>
      <c r="Y409" s="1286"/>
      <c r="Z409" s="1286"/>
      <c r="AA409" s="1286"/>
      <c r="AB409" s="1286"/>
      <c r="AC409" s="1286"/>
      <c r="AD409" s="1286"/>
      <c r="AE409" s="1286"/>
      <c r="AF409" s="1286"/>
      <c r="AG409" s="1286"/>
      <c r="AH409" s="1286"/>
      <c r="AI409" s="1286"/>
      <c r="AJ409" s="1286"/>
      <c r="AK409" s="1286"/>
      <c r="AL409" s="1286"/>
      <c r="AM409" s="1286"/>
      <c r="AN409" s="1286"/>
      <c r="AO409" s="1286"/>
      <c r="AP409" s="1286"/>
      <c r="AQ409" s="1286"/>
      <c r="AR409" s="1286"/>
      <c r="AS409" s="1286"/>
      <c r="AT409" s="1286"/>
      <c r="AU409" s="1286"/>
      <c r="AV409" s="1286"/>
      <c r="AW409" s="1286"/>
      <c r="AX409" s="1286"/>
      <c r="AY409" s="1286"/>
      <c r="AZ409" s="1286"/>
      <c r="BA409" s="1286"/>
      <c r="BB409" s="1286"/>
      <c r="BC409" s="1286"/>
      <c r="BD409" s="1286"/>
      <c r="BE409" s="1286"/>
      <c r="BF409" s="1286"/>
      <c r="BG409" s="1286"/>
      <c r="BH409" s="1286"/>
      <c r="BI409" s="1286"/>
      <c r="BJ409" s="1286"/>
      <c r="BK409" s="1286"/>
      <c r="BL409" s="1286"/>
      <c r="BM409" s="1286"/>
      <c r="BN409" s="1286"/>
      <c r="BO409" s="1286"/>
      <c r="BP409" s="1286"/>
      <c r="BQ409" s="1286"/>
      <c r="BR409" s="1286"/>
      <c r="BS409" s="1286"/>
      <c r="BT409" s="1286"/>
      <c r="BU409" s="1286"/>
      <c r="BV409" s="1286"/>
      <c r="BW409" s="1286"/>
      <c r="BX409" s="1286"/>
      <c r="BY409" s="1286"/>
      <c r="BZ409" s="1286"/>
      <c r="CA409" s="1286"/>
      <c r="CB409" s="1286"/>
      <c r="CC409" s="1286"/>
      <c r="CD409" s="1286"/>
      <c r="CE409" s="1286"/>
      <c r="CF409" s="1286"/>
      <c r="CG409" s="1286"/>
      <c r="CH409" s="1269"/>
      <c r="CI409" s="1286"/>
      <c r="CJ409" s="1286"/>
      <c r="CK409" s="1286"/>
      <c r="CL409" s="1286"/>
      <c r="CM409" s="1286"/>
      <c r="CN409" s="1286"/>
      <c r="CO409" s="1286"/>
      <c r="CP409" s="1286"/>
      <c r="CQ409" s="1286"/>
      <c r="CR409" s="1286"/>
      <c r="CS409" s="1286"/>
      <c r="CT409" s="1286"/>
      <c r="CU409" s="1286"/>
      <c r="CV409" s="1286"/>
      <c r="CW409" s="1286"/>
      <c r="CX409" s="1286"/>
      <c r="CY409" s="1286"/>
      <c r="CZ409" s="1286"/>
      <c r="DA409" s="1286"/>
      <c r="DB409" s="1286"/>
      <c r="DC409" s="1286"/>
      <c r="DD409" s="1286"/>
      <c r="DE409" s="1286"/>
      <c r="DF409" s="1286"/>
      <c r="DG409" s="1286"/>
      <c r="DH409" s="1286"/>
      <c r="DI409" s="1286"/>
      <c r="DJ409" s="1286"/>
      <c r="DK409" s="1286"/>
      <c r="DL409" s="1286"/>
      <c r="DM409" s="1286"/>
      <c r="DN409" s="1286"/>
      <c r="DO409" s="1286"/>
      <c r="DP409" s="1286"/>
      <c r="DQ409" s="1286"/>
      <c r="DR409" s="1286"/>
      <c r="DS409" s="1286"/>
      <c r="DT409" s="1286"/>
      <c r="DU409" s="1286"/>
      <c r="DV409" s="1286"/>
      <c r="DW409" s="1286"/>
      <c r="DX409" s="1286"/>
      <c r="DY409" s="1286"/>
      <c r="DZ409" s="1286"/>
      <c r="EA409" s="1286"/>
      <c r="EB409" s="1206"/>
      <c r="EC409" s="1206"/>
      <c r="ED409" s="1206"/>
      <c r="EE409" s="1206"/>
      <c r="EF409" s="1206"/>
      <c r="EG409" s="1206"/>
      <c r="EH409" s="1206"/>
      <c r="EI409" s="1206"/>
      <c r="EJ409" s="1206"/>
      <c r="EK409" s="1206"/>
      <c r="EL409" s="1206"/>
      <c r="EM409" s="1313"/>
    </row>
    <row r="410" spans="2:143" s="1271" customFormat="1">
      <c r="B410" s="1263"/>
      <c r="C410" s="1264"/>
      <c r="D410" s="1265"/>
      <c r="E410" s="1265"/>
      <c r="F410" s="1285"/>
      <c r="G410" s="1264"/>
      <c r="H410" s="1264"/>
      <c r="I410" s="1285"/>
      <c r="J410" s="1285"/>
      <c r="K410" s="1285"/>
      <c r="L410" s="1285"/>
      <c r="M410" s="1285"/>
      <c r="N410" s="1285"/>
      <c r="O410" s="1285"/>
      <c r="P410" s="1285"/>
      <c r="Q410" s="1285"/>
      <c r="R410" s="1285"/>
      <c r="S410" s="1285"/>
      <c r="T410" s="1285"/>
      <c r="U410" s="1285"/>
      <c r="V410" s="1285"/>
      <c r="W410" s="1286"/>
      <c r="X410" s="1286"/>
      <c r="Y410" s="1286"/>
      <c r="Z410" s="1286"/>
      <c r="AA410" s="1286"/>
      <c r="AB410" s="1286"/>
      <c r="AC410" s="1286"/>
      <c r="AD410" s="1286"/>
      <c r="AE410" s="1286"/>
      <c r="AF410" s="1286"/>
      <c r="AG410" s="1286"/>
      <c r="AH410" s="1286"/>
      <c r="AI410" s="1286"/>
      <c r="AJ410" s="1286"/>
      <c r="AK410" s="1286"/>
      <c r="AL410" s="1286"/>
      <c r="AM410" s="1286"/>
      <c r="AN410" s="1286"/>
      <c r="AO410" s="1286"/>
      <c r="AP410" s="1286"/>
      <c r="AQ410" s="1286"/>
      <c r="AR410" s="1286"/>
      <c r="AS410" s="1286"/>
      <c r="AT410" s="1286"/>
      <c r="AU410" s="1286"/>
      <c r="AV410" s="1286"/>
      <c r="AW410" s="1286"/>
      <c r="AX410" s="1286"/>
      <c r="AY410" s="1286"/>
      <c r="AZ410" s="1286"/>
      <c r="BA410" s="1286"/>
      <c r="BB410" s="1286"/>
      <c r="BC410" s="1286"/>
      <c r="BD410" s="1286"/>
      <c r="BE410" s="1286"/>
      <c r="BF410" s="1286"/>
      <c r="BG410" s="1286"/>
      <c r="BH410" s="1286"/>
      <c r="BI410" s="1286"/>
      <c r="BJ410" s="1286"/>
      <c r="BK410" s="1286"/>
      <c r="BL410" s="1286"/>
      <c r="BM410" s="1286"/>
      <c r="BN410" s="1286"/>
      <c r="BO410" s="1286"/>
      <c r="BP410" s="1286"/>
      <c r="BQ410" s="1286"/>
      <c r="BR410" s="1286"/>
      <c r="BS410" s="1286"/>
      <c r="BT410" s="1286"/>
      <c r="BU410" s="1286"/>
      <c r="BV410" s="1286"/>
      <c r="BW410" s="1286"/>
      <c r="BX410" s="1286"/>
      <c r="BY410" s="1286"/>
      <c r="BZ410" s="1286"/>
      <c r="CA410" s="1286"/>
      <c r="CB410" s="1286"/>
      <c r="CC410" s="1286"/>
      <c r="CD410" s="1286"/>
      <c r="CE410" s="1286"/>
      <c r="CF410" s="1286"/>
      <c r="CG410" s="1286"/>
      <c r="CH410" s="1269"/>
      <c r="CI410" s="1286"/>
      <c r="CJ410" s="1286"/>
      <c r="CK410" s="1286"/>
      <c r="CL410" s="1286"/>
      <c r="CM410" s="1286"/>
      <c r="CN410" s="1286"/>
      <c r="CO410" s="1286"/>
      <c r="CP410" s="1286"/>
      <c r="CQ410" s="1286"/>
      <c r="CR410" s="1286"/>
      <c r="CS410" s="1286"/>
      <c r="CT410" s="1286"/>
      <c r="CU410" s="1286"/>
      <c r="CV410" s="1286"/>
      <c r="CW410" s="1286"/>
      <c r="CX410" s="1286"/>
      <c r="CY410" s="1286"/>
      <c r="CZ410" s="1286"/>
      <c r="DA410" s="1286"/>
      <c r="DB410" s="1286"/>
      <c r="DC410" s="1286"/>
      <c r="DD410" s="1286"/>
      <c r="DE410" s="1286"/>
      <c r="DF410" s="1286"/>
      <c r="DG410" s="1286"/>
      <c r="DH410" s="1286"/>
      <c r="DI410" s="1286"/>
      <c r="DJ410" s="1286"/>
      <c r="DK410" s="1286"/>
      <c r="DL410" s="1286"/>
      <c r="DM410" s="1286"/>
      <c r="DN410" s="1286"/>
      <c r="DO410" s="1286"/>
      <c r="DP410" s="1286"/>
      <c r="DQ410" s="1286"/>
      <c r="DR410" s="1286"/>
      <c r="DS410" s="1286"/>
      <c r="DT410" s="1286"/>
      <c r="DU410" s="1286"/>
      <c r="DV410" s="1286"/>
      <c r="DW410" s="1286"/>
      <c r="DX410" s="1286"/>
      <c r="DY410" s="1286"/>
      <c r="DZ410" s="1286"/>
      <c r="EA410" s="1286"/>
      <c r="EB410" s="1206"/>
      <c r="EC410" s="1206"/>
      <c r="ED410" s="1206"/>
      <c r="EE410" s="1206"/>
      <c r="EF410" s="1206"/>
      <c r="EG410" s="1206"/>
      <c r="EH410" s="1206"/>
      <c r="EI410" s="1206"/>
      <c r="EJ410" s="1206"/>
      <c r="EK410" s="1206"/>
      <c r="EL410" s="1206"/>
      <c r="EM410" s="1313"/>
    </row>
    <row r="411" spans="2:143" s="1271" customFormat="1">
      <c r="B411" s="1263"/>
      <c r="C411" s="1264"/>
      <c r="D411" s="1265"/>
      <c r="E411" s="1265"/>
      <c r="F411" s="1285"/>
      <c r="G411" s="1264"/>
      <c r="H411" s="1264"/>
      <c r="I411" s="1285"/>
      <c r="J411" s="1285"/>
      <c r="K411" s="1285"/>
      <c r="L411" s="1285"/>
      <c r="M411" s="1285"/>
      <c r="N411" s="1285"/>
      <c r="O411" s="1285"/>
      <c r="P411" s="1285"/>
      <c r="Q411" s="1285"/>
      <c r="R411" s="1285"/>
      <c r="S411" s="1285"/>
      <c r="T411" s="1285"/>
      <c r="U411" s="1285"/>
      <c r="V411" s="1285"/>
      <c r="W411" s="1286"/>
      <c r="X411" s="1286"/>
      <c r="Y411" s="1286"/>
      <c r="Z411" s="1286"/>
      <c r="AA411" s="1286"/>
      <c r="AB411" s="1286"/>
      <c r="AC411" s="1286"/>
      <c r="AD411" s="1286"/>
      <c r="AE411" s="1286"/>
      <c r="AF411" s="1286"/>
      <c r="AG411" s="1286"/>
      <c r="AH411" s="1286"/>
      <c r="AI411" s="1286"/>
      <c r="AJ411" s="1286"/>
      <c r="AK411" s="1286"/>
      <c r="AL411" s="1286"/>
      <c r="AM411" s="1286"/>
      <c r="AN411" s="1286"/>
      <c r="AO411" s="1286"/>
      <c r="AP411" s="1286"/>
      <c r="AQ411" s="1286"/>
      <c r="AR411" s="1286"/>
      <c r="AS411" s="1286"/>
      <c r="AT411" s="1286"/>
      <c r="AU411" s="1286"/>
      <c r="AV411" s="1286"/>
      <c r="AW411" s="1286"/>
      <c r="AX411" s="1286"/>
      <c r="AY411" s="1286"/>
      <c r="AZ411" s="1286"/>
      <c r="BA411" s="1286"/>
      <c r="BB411" s="1286"/>
      <c r="BC411" s="1286"/>
      <c r="BD411" s="1286"/>
      <c r="BE411" s="1286"/>
      <c r="BF411" s="1286"/>
      <c r="BG411" s="1286"/>
      <c r="BH411" s="1286"/>
      <c r="BI411" s="1286"/>
      <c r="BJ411" s="1286"/>
      <c r="BK411" s="1286"/>
      <c r="BL411" s="1286"/>
      <c r="BM411" s="1286"/>
      <c r="BN411" s="1286"/>
      <c r="BO411" s="1286"/>
      <c r="BP411" s="1286"/>
      <c r="BQ411" s="1286"/>
      <c r="BR411" s="1286"/>
      <c r="BS411" s="1286"/>
      <c r="BT411" s="1286"/>
      <c r="BU411" s="1286"/>
      <c r="BV411" s="1286"/>
      <c r="BW411" s="1286"/>
      <c r="BX411" s="1286"/>
      <c r="BY411" s="1286"/>
      <c r="BZ411" s="1286"/>
      <c r="CA411" s="1286"/>
      <c r="CB411" s="1286"/>
      <c r="CC411" s="1286"/>
      <c r="CD411" s="1286"/>
      <c r="CE411" s="1286"/>
      <c r="CF411" s="1286"/>
      <c r="CG411" s="1286"/>
      <c r="CH411" s="1269"/>
      <c r="CI411" s="1286"/>
      <c r="CJ411" s="1286"/>
      <c r="CK411" s="1286"/>
      <c r="CL411" s="1286"/>
      <c r="CM411" s="1286"/>
      <c r="CN411" s="1286"/>
      <c r="CO411" s="1286"/>
      <c r="CP411" s="1286"/>
      <c r="CQ411" s="1286"/>
      <c r="CR411" s="1286"/>
      <c r="CS411" s="1286"/>
      <c r="CT411" s="1286"/>
      <c r="CU411" s="1286"/>
      <c r="CV411" s="1286"/>
      <c r="CW411" s="1286"/>
      <c r="CX411" s="1286"/>
      <c r="CY411" s="1286"/>
      <c r="CZ411" s="1286"/>
      <c r="DA411" s="1286"/>
      <c r="DB411" s="1286"/>
      <c r="DC411" s="1286"/>
      <c r="DD411" s="1286"/>
      <c r="DE411" s="1286"/>
      <c r="DF411" s="1286"/>
      <c r="DG411" s="1286"/>
      <c r="DH411" s="1286"/>
      <c r="DI411" s="1286"/>
      <c r="DJ411" s="1286"/>
      <c r="DK411" s="1286"/>
      <c r="DL411" s="1286"/>
      <c r="DM411" s="1286"/>
      <c r="DN411" s="1286"/>
      <c r="DO411" s="1286"/>
      <c r="DP411" s="1286"/>
      <c r="DQ411" s="1286"/>
      <c r="DR411" s="1286"/>
      <c r="DS411" s="1286"/>
      <c r="DT411" s="1286"/>
      <c r="DU411" s="1286"/>
      <c r="DV411" s="1286"/>
      <c r="DW411" s="1286"/>
      <c r="DX411" s="1286"/>
      <c r="DY411" s="1286"/>
      <c r="DZ411" s="1286"/>
      <c r="EA411" s="1286"/>
      <c r="EB411" s="1206"/>
      <c r="EC411" s="1206"/>
      <c r="ED411" s="1206"/>
      <c r="EE411" s="1206"/>
      <c r="EF411" s="1206"/>
      <c r="EG411" s="1206"/>
      <c r="EH411" s="1206"/>
      <c r="EI411" s="1206"/>
      <c r="EJ411" s="1206"/>
      <c r="EK411" s="1206"/>
      <c r="EL411" s="1206"/>
      <c r="EM411" s="1313"/>
    </row>
    <row r="412" spans="2:143" s="1271" customFormat="1">
      <c r="B412" s="1263"/>
      <c r="C412" s="1264"/>
      <c r="D412" s="1265"/>
      <c r="E412" s="1265"/>
      <c r="F412" s="1285"/>
      <c r="G412" s="1264"/>
      <c r="H412" s="1264"/>
      <c r="I412" s="1285"/>
      <c r="J412" s="1285"/>
      <c r="K412" s="1285"/>
      <c r="L412" s="1285"/>
      <c r="M412" s="1285"/>
      <c r="N412" s="1285"/>
      <c r="O412" s="1285"/>
      <c r="P412" s="1285"/>
      <c r="Q412" s="1285"/>
      <c r="R412" s="1285"/>
      <c r="S412" s="1285"/>
      <c r="T412" s="1285"/>
      <c r="U412" s="1285"/>
      <c r="V412" s="1285"/>
      <c r="W412" s="1286"/>
      <c r="X412" s="1286"/>
      <c r="Y412" s="1286"/>
      <c r="Z412" s="1286"/>
      <c r="AA412" s="1286"/>
      <c r="AB412" s="1286"/>
      <c r="AC412" s="1286"/>
      <c r="AD412" s="1286"/>
      <c r="AE412" s="1286"/>
      <c r="AF412" s="1286"/>
      <c r="AG412" s="1286"/>
      <c r="AH412" s="1286"/>
      <c r="AI412" s="1286"/>
      <c r="AJ412" s="1286"/>
      <c r="AK412" s="1286"/>
      <c r="AL412" s="1286"/>
      <c r="AM412" s="1286"/>
      <c r="AN412" s="1286"/>
      <c r="AO412" s="1286"/>
      <c r="AP412" s="1286"/>
      <c r="AQ412" s="1286"/>
      <c r="AR412" s="1286"/>
      <c r="AS412" s="1286"/>
      <c r="AT412" s="1286"/>
      <c r="AU412" s="1286"/>
      <c r="AV412" s="1286"/>
      <c r="AW412" s="1286"/>
      <c r="AX412" s="1286"/>
      <c r="AY412" s="1286"/>
      <c r="AZ412" s="1286"/>
      <c r="BA412" s="1286"/>
      <c r="BB412" s="1286"/>
      <c r="BC412" s="1286"/>
      <c r="BD412" s="1286"/>
      <c r="BE412" s="1286"/>
      <c r="BF412" s="1286"/>
      <c r="BG412" s="1286"/>
      <c r="BH412" s="1286"/>
      <c r="BI412" s="1286"/>
      <c r="BJ412" s="1286"/>
      <c r="BK412" s="1286"/>
      <c r="BL412" s="1286"/>
      <c r="BM412" s="1286"/>
      <c r="BN412" s="1286"/>
      <c r="BO412" s="1286"/>
      <c r="BP412" s="1286"/>
      <c r="BQ412" s="1286"/>
      <c r="BR412" s="1286"/>
      <c r="BS412" s="1286"/>
      <c r="BT412" s="1286"/>
      <c r="BU412" s="1286"/>
      <c r="BV412" s="1286"/>
      <c r="BW412" s="1286"/>
      <c r="BX412" s="1286"/>
      <c r="BY412" s="1286"/>
      <c r="BZ412" s="1286"/>
      <c r="CA412" s="1286"/>
      <c r="CB412" s="1286"/>
      <c r="CC412" s="1286"/>
      <c r="CD412" s="1286"/>
      <c r="CE412" s="1286"/>
      <c r="CF412" s="1286"/>
      <c r="CG412" s="1286"/>
      <c r="CH412" s="1269"/>
      <c r="CI412" s="1286"/>
      <c r="CJ412" s="1286"/>
      <c r="CK412" s="1286"/>
      <c r="CL412" s="1286"/>
      <c r="CM412" s="1286"/>
      <c r="CN412" s="1286"/>
      <c r="CO412" s="1286"/>
      <c r="CP412" s="1286"/>
      <c r="CQ412" s="1286"/>
      <c r="CR412" s="1286"/>
      <c r="CS412" s="1286"/>
      <c r="CT412" s="1286"/>
      <c r="CU412" s="1286"/>
      <c r="CV412" s="1286"/>
      <c r="CW412" s="1286"/>
      <c r="CX412" s="1286"/>
      <c r="CY412" s="1286"/>
      <c r="CZ412" s="1286"/>
      <c r="DA412" s="1286"/>
      <c r="DB412" s="1286"/>
      <c r="DC412" s="1286"/>
      <c r="DD412" s="1286"/>
      <c r="DE412" s="1286"/>
      <c r="DF412" s="1286"/>
      <c r="DG412" s="1286"/>
      <c r="DH412" s="1286"/>
      <c r="DI412" s="1286"/>
      <c r="DJ412" s="1286"/>
      <c r="DK412" s="1286"/>
      <c r="DL412" s="1286"/>
      <c r="DM412" s="1286"/>
      <c r="DN412" s="1286"/>
      <c r="DO412" s="1286"/>
      <c r="DP412" s="1286"/>
      <c r="DQ412" s="1286"/>
      <c r="DR412" s="1286"/>
      <c r="DS412" s="1286"/>
      <c r="DT412" s="1286"/>
      <c r="DU412" s="1286"/>
      <c r="DV412" s="1286"/>
      <c r="DW412" s="1286"/>
      <c r="DX412" s="1286"/>
      <c r="DY412" s="1286"/>
      <c r="DZ412" s="1286"/>
      <c r="EA412" s="1286"/>
      <c r="EB412" s="1206"/>
      <c r="EC412" s="1206"/>
      <c r="ED412" s="1206"/>
      <c r="EE412" s="1206"/>
      <c r="EF412" s="1206"/>
      <c r="EG412" s="1206"/>
      <c r="EH412" s="1206"/>
      <c r="EI412" s="1206"/>
      <c r="EJ412" s="1206"/>
      <c r="EK412" s="1206"/>
      <c r="EL412" s="1206"/>
      <c r="EM412" s="1313"/>
    </row>
    <row r="413" spans="2:143" s="1271" customFormat="1">
      <c r="B413" s="1263"/>
      <c r="C413" s="1264"/>
      <c r="D413" s="1265"/>
      <c r="E413" s="1265"/>
      <c r="F413" s="1285"/>
      <c r="G413" s="1264"/>
      <c r="H413" s="1264"/>
      <c r="I413" s="1285"/>
      <c r="J413" s="1285"/>
      <c r="K413" s="1285"/>
      <c r="L413" s="1285"/>
      <c r="M413" s="1285"/>
      <c r="N413" s="1285"/>
      <c r="O413" s="1285"/>
      <c r="P413" s="1285"/>
      <c r="Q413" s="1285"/>
      <c r="R413" s="1285"/>
      <c r="S413" s="1285"/>
      <c r="T413" s="1285"/>
      <c r="U413" s="1285"/>
      <c r="V413" s="1285"/>
      <c r="W413" s="1286"/>
      <c r="X413" s="1286"/>
      <c r="Y413" s="1286"/>
      <c r="Z413" s="1286"/>
      <c r="AA413" s="1286"/>
      <c r="AB413" s="1286"/>
      <c r="AC413" s="1286"/>
      <c r="AD413" s="1286"/>
      <c r="AE413" s="1286"/>
      <c r="AF413" s="1286"/>
      <c r="AG413" s="1286"/>
      <c r="AH413" s="1286"/>
      <c r="AI413" s="1286"/>
      <c r="AJ413" s="1286"/>
      <c r="AK413" s="1286"/>
      <c r="AL413" s="1286"/>
      <c r="AM413" s="1286"/>
      <c r="AN413" s="1286"/>
      <c r="AO413" s="1286"/>
      <c r="AP413" s="1286"/>
      <c r="AQ413" s="1286"/>
      <c r="AR413" s="1286"/>
      <c r="AS413" s="1286"/>
      <c r="AT413" s="1286"/>
      <c r="AU413" s="1286"/>
      <c r="AV413" s="1286"/>
      <c r="AW413" s="1286"/>
      <c r="AX413" s="1286"/>
      <c r="AY413" s="1286"/>
      <c r="AZ413" s="1286"/>
      <c r="BA413" s="1286"/>
      <c r="BB413" s="1286"/>
      <c r="BC413" s="1286"/>
      <c r="BD413" s="1286"/>
      <c r="BE413" s="1286"/>
      <c r="BF413" s="1286"/>
      <c r="BG413" s="1286"/>
      <c r="BH413" s="1286"/>
      <c r="BI413" s="1286"/>
      <c r="BJ413" s="1286"/>
      <c r="BK413" s="1286"/>
      <c r="BL413" s="1286"/>
      <c r="BM413" s="1286"/>
      <c r="BN413" s="1286"/>
      <c r="BO413" s="1286"/>
      <c r="BP413" s="1286"/>
      <c r="BQ413" s="1286"/>
      <c r="BR413" s="1286"/>
      <c r="BS413" s="1286"/>
      <c r="BT413" s="1286"/>
      <c r="BU413" s="1286"/>
      <c r="BV413" s="1286"/>
      <c r="BW413" s="1286"/>
      <c r="BX413" s="1286"/>
      <c r="BY413" s="1286"/>
      <c r="BZ413" s="1286"/>
      <c r="CA413" s="1286"/>
      <c r="CB413" s="1286"/>
      <c r="CC413" s="1286"/>
      <c r="CD413" s="1286"/>
      <c r="CE413" s="1286"/>
      <c r="CF413" s="1286"/>
      <c r="CG413" s="1286"/>
      <c r="CH413" s="1269"/>
      <c r="CI413" s="1286"/>
      <c r="CJ413" s="1286"/>
      <c r="CK413" s="1286"/>
      <c r="CL413" s="1286"/>
      <c r="CM413" s="1286"/>
      <c r="CN413" s="1286"/>
      <c r="CO413" s="1286"/>
      <c r="CP413" s="1286"/>
      <c r="CQ413" s="1286"/>
      <c r="CR413" s="1286"/>
      <c r="CS413" s="1286"/>
      <c r="CT413" s="1286"/>
      <c r="CU413" s="1286"/>
      <c r="CV413" s="1286"/>
      <c r="CW413" s="1286"/>
      <c r="CX413" s="1286"/>
      <c r="CY413" s="1286"/>
      <c r="CZ413" s="1286"/>
      <c r="DA413" s="1286"/>
      <c r="DB413" s="1286"/>
      <c r="DC413" s="1286"/>
      <c r="DD413" s="1286"/>
      <c r="DE413" s="1286"/>
      <c r="DF413" s="1286"/>
      <c r="DG413" s="1286"/>
      <c r="DH413" s="1286"/>
      <c r="DI413" s="1286"/>
      <c r="DJ413" s="1286"/>
      <c r="DK413" s="1286"/>
      <c r="DL413" s="1286"/>
      <c r="DM413" s="1286"/>
      <c r="DN413" s="1286"/>
      <c r="DO413" s="1286"/>
      <c r="DP413" s="1286"/>
      <c r="DQ413" s="1286"/>
      <c r="DR413" s="1286"/>
      <c r="DS413" s="1286"/>
      <c r="DT413" s="1286"/>
      <c r="DU413" s="1286"/>
      <c r="DV413" s="1286"/>
      <c r="DW413" s="1286"/>
      <c r="DX413" s="1286"/>
      <c r="DY413" s="1286"/>
      <c r="DZ413" s="1286"/>
      <c r="EA413" s="1286"/>
      <c r="EB413" s="1206"/>
      <c r="EC413" s="1206"/>
      <c r="ED413" s="1206"/>
      <c r="EE413" s="1206"/>
      <c r="EF413" s="1206"/>
      <c r="EG413" s="1206"/>
      <c r="EH413" s="1206"/>
      <c r="EI413" s="1206"/>
      <c r="EJ413" s="1206"/>
      <c r="EK413" s="1206"/>
      <c r="EL413" s="1206"/>
      <c r="EM413" s="1313"/>
    </row>
    <row r="414" spans="2:143" s="1271" customFormat="1">
      <c r="B414" s="1263"/>
      <c r="C414" s="1264"/>
      <c r="D414" s="1265"/>
      <c r="E414" s="1265"/>
      <c r="F414" s="1285"/>
      <c r="G414" s="1264"/>
      <c r="H414" s="1264"/>
      <c r="I414" s="1285"/>
      <c r="J414" s="1285"/>
      <c r="K414" s="1285"/>
      <c r="L414" s="1285"/>
      <c r="M414" s="1285"/>
      <c r="N414" s="1285"/>
      <c r="O414" s="1285"/>
      <c r="P414" s="1285"/>
      <c r="Q414" s="1285"/>
      <c r="R414" s="1285"/>
      <c r="S414" s="1285"/>
      <c r="T414" s="1285"/>
      <c r="U414" s="1285"/>
      <c r="V414" s="1285"/>
      <c r="W414" s="1286"/>
      <c r="X414" s="1286"/>
      <c r="Y414" s="1286"/>
      <c r="Z414" s="1286"/>
      <c r="AA414" s="1286"/>
      <c r="AB414" s="1286"/>
      <c r="AC414" s="1286"/>
      <c r="AD414" s="1286"/>
      <c r="AE414" s="1286"/>
      <c r="AF414" s="1286"/>
      <c r="AG414" s="1286"/>
      <c r="AH414" s="1286"/>
      <c r="AI414" s="1286"/>
      <c r="AJ414" s="1286"/>
      <c r="AK414" s="1286"/>
      <c r="AL414" s="1286"/>
      <c r="AM414" s="1286"/>
      <c r="AN414" s="1286"/>
      <c r="AO414" s="1286"/>
      <c r="AP414" s="1286"/>
      <c r="AQ414" s="1286"/>
      <c r="AR414" s="1286"/>
      <c r="AS414" s="1286"/>
      <c r="AT414" s="1286"/>
      <c r="AU414" s="1286"/>
      <c r="AV414" s="1286"/>
      <c r="AW414" s="1286"/>
      <c r="AX414" s="1286"/>
      <c r="AY414" s="1286"/>
      <c r="AZ414" s="1286"/>
      <c r="BA414" s="1286"/>
      <c r="BB414" s="1286"/>
      <c r="BC414" s="1286"/>
      <c r="BD414" s="1286"/>
      <c r="BE414" s="1286"/>
      <c r="BF414" s="1286"/>
      <c r="BG414" s="1286"/>
      <c r="BH414" s="1286"/>
      <c r="BI414" s="1286"/>
      <c r="BJ414" s="1286"/>
      <c r="BK414" s="1286"/>
      <c r="BL414" s="1286"/>
      <c r="BM414" s="1286"/>
      <c r="BN414" s="1286"/>
      <c r="BO414" s="1286"/>
      <c r="BP414" s="1286"/>
      <c r="BQ414" s="1286"/>
      <c r="BR414" s="1286"/>
      <c r="BS414" s="1286"/>
      <c r="BT414" s="1286"/>
      <c r="BU414" s="1286"/>
      <c r="BV414" s="1286"/>
      <c r="BW414" s="1286"/>
      <c r="BX414" s="1286"/>
      <c r="BY414" s="1286"/>
      <c r="BZ414" s="1286"/>
      <c r="CA414" s="1286"/>
      <c r="CB414" s="1286"/>
      <c r="CC414" s="1286"/>
      <c r="CD414" s="1286"/>
      <c r="CE414" s="1286"/>
      <c r="CF414" s="1286"/>
      <c r="CG414" s="1286"/>
      <c r="CH414" s="1269"/>
      <c r="CI414" s="1286"/>
      <c r="CJ414" s="1286"/>
      <c r="CK414" s="1286"/>
      <c r="CL414" s="1286"/>
      <c r="CM414" s="1286"/>
      <c r="CN414" s="1286"/>
      <c r="CO414" s="1286"/>
      <c r="CP414" s="1286"/>
      <c r="CQ414" s="1286"/>
      <c r="CR414" s="1286"/>
      <c r="CS414" s="1286"/>
      <c r="CT414" s="1286"/>
      <c r="CU414" s="1286"/>
      <c r="CV414" s="1286"/>
      <c r="CW414" s="1286"/>
      <c r="CX414" s="1286"/>
      <c r="CY414" s="1286"/>
      <c r="CZ414" s="1286"/>
      <c r="DA414" s="1286"/>
      <c r="DB414" s="1286"/>
      <c r="DC414" s="1286"/>
      <c r="DD414" s="1286"/>
      <c r="DE414" s="1286"/>
      <c r="DF414" s="1286"/>
      <c r="DG414" s="1286"/>
      <c r="DH414" s="1286"/>
      <c r="DI414" s="1286"/>
      <c r="DJ414" s="1286"/>
      <c r="DK414" s="1286"/>
      <c r="DL414" s="1286"/>
      <c r="DM414" s="1286"/>
      <c r="DN414" s="1286"/>
      <c r="DO414" s="1286"/>
      <c r="DP414" s="1286"/>
      <c r="DQ414" s="1286"/>
      <c r="DR414" s="1286"/>
      <c r="DS414" s="1286"/>
      <c r="DT414" s="1286"/>
      <c r="DU414" s="1286"/>
      <c r="DV414" s="1286"/>
      <c r="DW414" s="1286"/>
      <c r="DX414" s="1286"/>
      <c r="DY414" s="1286"/>
      <c r="DZ414" s="1286"/>
      <c r="EA414" s="1286"/>
      <c r="EB414" s="1206"/>
      <c r="EC414" s="1206"/>
      <c r="ED414" s="1206"/>
      <c r="EE414" s="1206"/>
      <c r="EF414" s="1206"/>
      <c r="EG414" s="1206"/>
      <c r="EH414" s="1206"/>
      <c r="EI414" s="1206"/>
      <c r="EJ414" s="1206"/>
      <c r="EK414" s="1206"/>
      <c r="EL414" s="1206"/>
      <c r="EM414" s="1313"/>
    </row>
    <row r="415" spans="2:143" s="1271" customFormat="1">
      <c r="B415" s="1263"/>
      <c r="C415" s="1264"/>
      <c r="D415" s="1265"/>
      <c r="E415" s="1265"/>
      <c r="F415" s="1285"/>
      <c r="G415" s="1264"/>
      <c r="H415" s="1264"/>
      <c r="I415" s="1285"/>
      <c r="J415" s="1285"/>
      <c r="K415" s="1285"/>
      <c r="L415" s="1285"/>
      <c r="M415" s="1285"/>
      <c r="N415" s="1285"/>
      <c r="O415" s="1285"/>
      <c r="P415" s="1285"/>
      <c r="Q415" s="1285"/>
      <c r="R415" s="1285"/>
      <c r="S415" s="1285"/>
      <c r="T415" s="1285"/>
      <c r="U415" s="1285"/>
      <c r="V415" s="1285"/>
      <c r="W415" s="1286"/>
      <c r="X415" s="1286"/>
      <c r="Y415" s="1286"/>
      <c r="Z415" s="1286"/>
      <c r="AA415" s="1286"/>
      <c r="AB415" s="1286"/>
      <c r="AC415" s="1286"/>
      <c r="AD415" s="1286"/>
      <c r="AE415" s="1286"/>
      <c r="AF415" s="1286"/>
      <c r="AG415" s="1286"/>
      <c r="AH415" s="1286"/>
      <c r="AI415" s="1286"/>
      <c r="AJ415" s="1286"/>
      <c r="AK415" s="1286"/>
      <c r="AL415" s="1286"/>
      <c r="AM415" s="1286"/>
      <c r="AN415" s="1286"/>
      <c r="AO415" s="1286"/>
      <c r="AP415" s="1286"/>
      <c r="AQ415" s="1286"/>
      <c r="AR415" s="1286"/>
      <c r="AS415" s="1286"/>
      <c r="AT415" s="1286"/>
      <c r="AU415" s="1286"/>
      <c r="AV415" s="1286"/>
      <c r="AW415" s="1286"/>
      <c r="AX415" s="1286"/>
      <c r="AY415" s="1286"/>
      <c r="AZ415" s="1286"/>
      <c r="BA415" s="1286"/>
      <c r="BB415" s="1286"/>
      <c r="BC415" s="1286"/>
      <c r="BD415" s="1286"/>
      <c r="BE415" s="1286"/>
      <c r="BF415" s="1286"/>
      <c r="BG415" s="1286"/>
      <c r="BH415" s="1286"/>
      <c r="BI415" s="1286"/>
      <c r="BJ415" s="1286"/>
      <c r="BK415" s="1286"/>
      <c r="BL415" s="1286"/>
      <c r="BM415" s="1286"/>
      <c r="BN415" s="1286"/>
      <c r="BO415" s="1286"/>
      <c r="BP415" s="1286"/>
      <c r="BQ415" s="1286"/>
      <c r="BR415" s="1286"/>
      <c r="BS415" s="1286"/>
      <c r="BT415" s="1286"/>
      <c r="BU415" s="1286"/>
      <c r="BV415" s="1286"/>
      <c r="BW415" s="1286"/>
      <c r="BX415" s="1286"/>
      <c r="BY415" s="1286"/>
      <c r="BZ415" s="1286"/>
      <c r="CA415" s="1286"/>
      <c r="CB415" s="1286"/>
      <c r="CC415" s="1286"/>
      <c r="CD415" s="1286"/>
      <c r="CE415" s="1286"/>
      <c r="CF415" s="1286"/>
      <c r="CG415" s="1286"/>
      <c r="CH415" s="1269"/>
      <c r="CI415" s="1286"/>
      <c r="CJ415" s="1286"/>
      <c r="CK415" s="1286"/>
      <c r="CL415" s="1286"/>
      <c r="CM415" s="1286"/>
      <c r="CN415" s="1286"/>
      <c r="CO415" s="1286"/>
      <c r="CP415" s="1286"/>
      <c r="CQ415" s="1286"/>
      <c r="CR415" s="1286"/>
      <c r="CS415" s="1286"/>
      <c r="CT415" s="1286"/>
      <c r="CU415" s="1286"/>
      <c r="CV415" s="1286"/>
      <c r="CW415" s="1286"/>
      <c r="CX415" s="1286"/>
      <c r="CY415" s="1286"/>
      <c r="CZ415" s="1286"/>
      <c r="DA415" s="1286"/>
      <c r="DB415" s="1286"/>
      <c r="DC415" s="1286"/>
      <c r="DD415" s="1286"/>
      <c r="DE415" s="1286"/>
      <c r="DF415" s="1286"/>
      <c r="DG415" s="1286"/>
      <c r="DH415" s="1286"/>
      <c r="DI415" s="1286"/>
      <c r="DJ415" s="1286"/>
      <c r="DK415" s="1286"/>
      <c r="DL415" s="1286"/>
      <c r="DM415" s="1286"/>
      <c r="DN415" s="1286"/>
      <c r="DO415" s="1286"/>
      <c r="DP415" s="1286"/>
      <c r="DQ415" s="1286"/>
      <c r="DR415" s="1286"/>
      <c r="DS415" s="1286"/>
      <c r="DT415" s="1286"/>
      <c r="DU415" s="1286"/>
      <c r="DV415" s="1286"/>
      <c r="DW415" s="1286"/>
      <c r="DX415" s="1286"/>
      <c r="DY415" s="1286"/>
      <c r="DZ415" s="1286"/>
      <c r="EA415" s="1286"/>
      <c r="EB415" s="1206"/>
      <c r="EC415" s="1206"/>
      <c r="ED415" s="1206"/>
      <c r="EE415" s="1206"/>
      <c r="EF415" s="1206"/>
      <c r="EG415" s="1206"/>
      <c r="EH415" s="1206"/>
      <c r="EI415" s="1206"/>
      <c r="EJ415" s="1206"/>
      <c r="EK415" s="1206"/>
      <c r="EL415" s="1206"/>
      <c r="EM415" s="1313"/>
    </row>
    <row r="416" spans="2:143" s="1271" customFormat="1">
      <c r="B416" s="1263"/>
      <c r="C416" s="1264"/>
      <c r="D416" s="1265"/>
      <c r="E416" s="1265"/>
      <c r="F416" s="1285"/>
      <c r="G416" s="1264"/>
      <c r="H416" s="1264"/>
      <c r="I416" s="1285"/>
      <c r="J416" s="1285"/>
      <c r="K416" s="1285"/>
      <c r="L416" s="1285"/>
      <c r="M416" s="1285"/>
      <c r="N416" s="1285"/>
      <c r="O416" s="1285"/>
      <c r="P416" s="1285"/>
      <c r="Q416" s="1285"/>
      <c r="R416" s="1285"/>
      <c r="S416" s="1285"/>
      <c r="T416" s="1285"/>
      <c r="U416" s="1285"/>
      <c r="V416" s="1285"/>
      <c r="W416" s="1286"/>
      <c r="X416" s="1286"/>
      <c r="Y416" s="1286"/>
      <c r="Z416" s="1286"/>
      <c r="AA416" s="1286"/>
      <c r="AB416" s="1286"/>
      <c r="AC416" s="1286"/>
      <c r="AD416" s="1286"/>
      <c r="AE416" s="1286"/>
      <c r="AF416" s="1286"/>
      <c r="AG416" s="1286"/>
      <c r="AH416" s="1286"/>
      <c r="AI416" s="1286"/>
      <c r="AJ416" s="1286"/>
      <c r="AK416" s="1286"/>
      <c r="AL416" s="1286"/>
      <c r="AM416" s="1286"/>
      <c r="AN416" s="1286"/>
      <c r="AO416" s="1286"/>
      <c r="AP416" s="1286"/>
      <c r="AQ416" s="1286"/>
      <c r="AR416" s="1286"/>
      <c r="AS416" s="1286"/>
      <c r="AT416" s="1286"/>
      <c r="AU416" s="1286"/>
      <c r="AV416" s="1286"/>
      <c r="AW416" s="1286"/>
      <c r="AX416" s="1286"/>
      <c r="AY416" s="1286"/>
      <c r="AZ416" s="1286"/>
      <c r="BA416" s="1286"/>
      <c r="BB416" s="1286"/>
      <c r="BC416" s="1286"/>
      <c r="BD416" s="1286"/>
      <c r="BE416" s="1286"/>
      <c r="BF416" s="1286"/>
      <c r="BG416" s="1286"/>
      <c r="BH416" s="1286"/>
      <c r="BI416" s="1286"/>
      <c r="BJ416" s="1286"/>
      <c r="BK416" s="1286"/>
      <c r="BL416" s="1286"/>
      <c r="BM416" s="1286"/>
      <c r="BN416" s="1286"/>
      <c r="BO416" s="1286"/>
      <c r="BP416" s="1286"/>
      <c r="BQ416" s="1286"/>
      <c r="BR416" s="1286"/>
      <c r="BS416" s="1286"/>
      <c r="BT416" s="1286"/>
      <c r="BU416" s="1286"/>
      <c r="BV416" s="1286"/>
      <c r="BW416" s="1286"/>
      <c r="BX416" s="1286"/>
      <c r="BY416" s="1286"/>
      <c r="BZ416" s="1286"/>
      <c r="CA416" s="1286"/>
      <c r="CB416" s="1286"/>
      <c r="CC416" s="1286"/>
      <c r="CD416" s="1286"/>
      <c r="CE416" s="1286"/>
      <c r="CF416" s="1286"/>
      <c r="CG416" s="1286"/>
      <c r="CH416" s="1269"/>
      <c r="CI416" s="1286"/>
      <c r="CJ416" s="1286"/>
      <c r="CK416" s="1286"/>
      <c r="CL416" s="1286"/>
      <c r="CM416" s="1286"/>
      <c r="CN416" s="1286"/>
      <c r="CO416" s="1286"/>
      <c r="CP416" s="1286"/>
      <c r="CQ416" s="1286"/>
      <c r="CR416" s="1286"/>
      <c r="CS416" s="1286"/>
      <c r="CT416" s="1286"/>
      <c r="CU416" s="1286"/>
      <c r="CV416" s="1286"/>
      <c r="CW416" s="1286"/>
      <c r="CX416" s="1286"/>
      <c r="CY416" s="1286"/>
      <c r="CZ416" s="1286"/>
      <c r="DA416" s="1286"/>
      <c r="DB416" s="1286"/>
      <c r="DC416" s="1286"/>
      <c r="DD416" s="1286"/>
      <c r="DE416" s="1286"/>
      <c r="DF416" s="1286"/>
      <c r="DG416" s="1286"/>
      <c r="DH416" s="1286"/>
      <c r="DI416" s="1286"/>
      <c r="DJ416" s="1286"/>
      <c r="DK416" s="1286"/>
      <c r="DL416" s="1286"/>
      <c r="DM416" s="1286"/>
      <c r="DN416" s="1286"/>
      <c r="DO416" s="1286"/>
      <c r="DP416" s="1286"/>
      <c r="DQ416" s="1286"/>
      <c r="DR416" s="1286"/>
      <c r="DS416" s="1286"/>
      <c r="DT416" s="1286"/>
      <c r="DU416" s="1286"/>
      <c r="DV416" s="1286"/>
      <c r="DW416" s="1286"/>
      <c r="DX416" s="1286"/>
      <c r="DY416" s="1286"/>
      <c r="DZ416" s="1286"/>
      <c r="EA416" s="1286"/>
      <c r="EB416" s="1206"/>
      <c r="EC416" s="1206"/>
      <c r="ED416" s="1206"/>
      <c r="EE416" s="1206"/>
      <c r="EF416" s="1206"/>
      <c r="EG416" s="1206"/>
      <c r="EH416" s="1206"/>
      <c r="EI416" s="1206"/>
      <c r="EJ416" s="1206"/>
      <c r="EK416" s="1206"/>
      <c r="EL416" s="1206"/>
      <c r="EM416" s="1313"/>
    </row>
    <row r="417" spans="2:143" s="1271" customFormat="1">
      <c r="B417" s="1263"/>
      <c r="C417" s="1264"/>
      <c r="D417" s="1265"/>
      <c r="E417" s="1265"/>
      <c r="F417" s="1285"/>
      <c r="G417" s="1264"/>
      <c r="H417" s="1264"/>
      <c r="I417" s="1285"/>
      <c r="J417" s="1285"/>
      <c r="K417" s="1285"/>
      <c r="L417" s="1285"/>
      <c r="M417" s="1285"/>
      <c r="N417" s="1285"/>
      <c r="O417" s="1285"/>
      <c r="P417" s="1285"/>
      <c r="Q417" s="1285"/>
      <c r="R417" s="1285"/>
      <c r="S417" s="1285"/>
      <c r="T417" s="1285"/>
      <c r="U417" s="1285"/>
      <c r="V417" s="1285"/>
      <c r="W417" s="1286"/>
      <c r="X417" s="1286"/>
      <c r="Y417" s="1286"/>
      <c r="Z417" s="1286"/>
      <c r="AA417" s="1286"/>
      <c r="AB417" s="1286"/>
      <c r="AC417" s="1286"/>
      <c r="AD417" s="1286"/>
      <c r="AE417" s="1286"/>
      <c r="AF417" s="1286"/>
      <c r="AG417" s="1286"/>
      <c r="AH417" s="1286"/>
      <c r="AI417" s="1286"/>
      <c r="AJ417" s="1286"/>
      <c r="AK417" s="1286"/>
      <c r="AL417" s="1286"/>
      <c r="AM417" s="1286"/>
      <c r="AN417" s="1286"/>
      <c r="AO417" s="1286"/>
      <c r="AP417" s="1286"/>
      <c r="AQ417" s="1286"/>
      <c r="AR417" s="1286"/>
      <c r="AS417" s="1286"/>
      <c r="AT417" s="1286"/>
      <c r="AU417" s="1286"/>
      <c r="AV417" s="1286"/>
      <c r="AW417" s="1286"/>
      <c r="AX417" s="1286"/>
      <c r="AY417" s="1286"/>
      <c r="AZ417" s="1286"/>
      <c r="BA417" s="1286"/>
      <c r="BB417" s="1286"/>
      <c r="BC417" s="1286"/>
      <c r="BD417" s="1286"/>
      <c r="BE417" s="1286"/>
      <c r="BF417" s="1286"/>
      <c r="BG417" s="1286"/>
      <c r="BH417" s="1286"/>
      <c r="BI417" s="1286"/>
      <c r="BJ417" s="1286"/>
      <c r="BK417" s="1286"/>
      <c r="BL417" s="1286"/>
      <c r="BM417" s="1286"/>
      <c r="BN417" s="1286"/>
      <c r="BO417" s="1286"/>
      <c r="BP417" s="1286"/>
      <c r="BQ417" s="1286"/>
      <c r="BR417" s="1286"/>
      <c r="BS417" s="1286"/>
      <c r="BT417" s="1286"/>
      <c r="BU417" s="1286"/>
      <c r="BV417" s="1286"/>
      <c r="BW417" s="1286"/>
      <c r="BX417" s="1286"/>
      <c r="BY417" s="1286"/>
      <c r="BZ417" s="1286"/>
      <c r="CA417" s="1286"/>
      <c r="CB417" s="1286"/>
      <c r="CC417" s="1286"/>
      <c r="CD417" s="1286"/>
      <c r="CE417" s="1286"/>
      <c r="CF417" s="1286"/>
      <c r="CG417" s="1286"/>
      <c r="CH417" s="1269"/>
      <c r="CI417" s="1286"/>
      <c r="CJ417" s="1286"/>
      <c r="CK417" s="1286"/>
      <c r="CL417" s="1286"/>
      <c r="CM417" s="1286"/>
      <c r="CN417" s="1286"/>
      <c r="CO417" s="1286"/>
      <c r="CP417" s="1286"/>
      <c r="CQ417" s="1286"/>
      <c r="CR417" s="1286"/>
      <c r="CS417" s="1286"/>
      <c r="CT417" s="1286"/>
      <c r="CU417" s="1286"/>
      <c r="CV417" s="1286"/>
      <c r="CW417" s="1286"/>
      <c r="CX417" s="1286"/>
      <c r="CY417" s="1286"/>
      <c r="CZ417" s="1286"/>
      <c r="DA417" s="1286"/>
      <c r="DB417" s="1286"/>
      <c r="DC417" s="1286"/>
      <c r="DD417" s="1286"/>
      <c r="DE417" s="1286"/>
      <c r="DF417" s="1286"/>
      <c r="DG417" s="1286"/>
      <c r="DH417" s="1286"/>
      <c r="DI417" s="1286"/>
      <c r="DJ417" s="1286"/>
      <c r="DK417" s="1286"/>
      <c r="DL417" s="1286"/>
      <c r="DM417" s="1286"/>
      <c r="DN417" s="1286"/>
      <c r="DO417" s="1286"/>
      <c r="DP417" s="1286"/>
      <c r="DQ417" s="1286"/>
      <c r="DR417" s="1286"/>
      <c r="DS417" s="1286"/>
      <c r="DT417" s="1286"/>
      <c r="DU417" s="1286"/>
      <c r="DV417" s="1286"/>
      <c r="DW417" s="1286"/>
      <c r="DX417" s="1286"/>
      <c r="DY417" s="1286"/>
      <c r="DZ417" s="1286"/>
      <c r="EA417" s="1286"/>
      <c r="EB417" s="1206"/>
      <c r="EC417" s="1206"/>
      <c r="ED417" s="1206"/>
      <c r="EE417" s="1206"/>
      <c r="EF417" s="1206"/>
      <c r="EG417" s="1206"/>
      <c r="EH417" s="1206"/>
      <c r="EI417" s="1206"/>
      <c r="EJ417" s="1206"/>
      <c r="EK417" s="1206"/>
      <c r="EL417" s="1206"/>
      <c r="EM417" s="1313"/>
    </row>
    <row r="418" spans="2:143" s="1271" customFormat="1">
      <c r="B418" s="1263"/>
      <c r="C418" s="1264"/>
      <c r="D418" s="1265"/>
      <c r="E418" s="1265"/>
      <c r="F418" s="1285"/>
      <c r="G418" s="1264"/>
      <c r="H418" s="1264"/>
      <c r="I418" s="1285"/>
      <c r="J418" s="1285"/>
      <c r="K418" s="1285"/>
      <c r="L418" s="1285"/>
      <c r="M418" s="1285"/>
      <c r="N418" s="1285"/>
      <c r="O418" s="1285"/>
      <c r="P418" s="1285"/>
      <c r="Q418" s="1285"/>
      <c r="R418" s="1285"/>
      <c r="S418" s="1285"/>
      <c r="T418" s="1285"/>
      <c r="U418" s="1285"/>
      <c r="V418" s="1285"/>
      <c r="W418" s="1286"/>
      <c r="X418" s="1286"/>
      <c r="Y418" s="1286"/>
      <c r="Z418" s="1286"/>
      <c r="AA418" s="1286"/>
      <c r="AB418" s="1286"/>
      <c r="AC418" s="1286"/>
      <c r="AD418" s="1286"/>
      <c r="AE418" s="1286"/>
      <c r="AF418" s="1286"/>
      <c r="AG418" s="1286"/>
      <c r="AH418" s="1286"/>
      <c r="AI418" s="1286"/>
      <c r="AJ418" s="1286"/>
      <c r="AK418" s="1286"/>
      <c r="AL418" s="1286"/>
      <c r="AM418" s="1286"/>
      <c r="AN418" s="1286"/>
      <c r="AO418" s="1286"/>
      <c r="AP418" s="1286"/>
      <c r="AQ418" s="1286"/>
      <c r="AR418" s="1286"/>
      <c r="AS418" s="1286"/>
      <c r="AT418" s="1286"/>
      <c r="AU418" s="1286"/>
      <c r="AV418" s="1286"/>
      <c r="AW418" s="1286"/>
      <c r="AX418" s="1286"/>
      <c r="AY418" s="1286"/>
      <c r="AZ418" s="1286"/>
      <c r="BA418" s="1286"/>
      <c r="BB418" s="1286"/>
      <c r="BC418" s="1286"/>
      <c r="BD418" s="1286"/>
      <c r="BE418" s="1286"/>
      <c r="BF418" s="1286"/>
      <c r="BG418" s="1286"/>
      <c r="BH418" s="1286"/>
      <c r="BI418" s="1286"/>
      <c r="BJ418" s="1286"/>
      <c r="BK418" s="1286"/>
      <c r="BL418" s="1286"/>
      <c r="BM418" s="1286"/>
      <c r="BN418" s="1286"/>
      <c r="BO418" s="1286"/>
      <c r="BP418" s="1286"/>
      <c r="BQ418" s="1286"/>
      <c r="BR418" s="1286"/>
      <c r="BS418" s="1286"/>
      <c r="BT418" s="1286"/>
      <c r="BU418" s="1286"/>
      <c r="BV418" s="1286"/>
      <c r="BW418" s="1286"/>
      <c r="BX418" s="1286"/>
      <c r="BY418" s="1286"/>
      <c r="BZ418" s="1286"/>
      <c r="CA418" s="1286"/>
      <c r="CB418" s="1286"/>
      <c r="CC418" s="1286"/>
      <c r="CD418" s="1286"/>
      <c r="CE418" s="1286"/>
      <c r="CF418" s="1286"/>
      <c r="CG418" s="1286"/>
      <c r="CH418" s="1269"/>
      <c r="CI418" s="1286"/>
      <c r="CJ418" s="1286"/>
      <c r="CK418" s="1286"/>
      <c r="CL418" s="1286"/>
      <c r="CM418" s="1286"/>
      <c r="CN418" s="1286"/>
      <c r="CO418" s="1286"/>
      <c r="CP418" s="1286"/>
      <c r="CQ418" s="1286"/>
      <c r="CR418" s="1286"/>
      <c r="CS418" s="1286"/>
      <c r="CT418" s="1286"/>
      <c r="CU418" s="1286"/>
      <c r="CV418" s="1286"/>
      <c r="CW418" s="1286"/>
      <c r="CX418" s="1286"/>
      <c r="CY418" s="1286"/>
      <c r="CZ418" s="1286"/>
      <c r="DA418" s="1286"/>
      <c r="DB418" s="1286"/>
      <c r="DC418" s="1286"/>
      <c r="DD418" s="1286"/>
      <c r="DE418" s="1286"/>
      <c r="DF418" s="1286"/>
      <c r="DG418" s="1286"/>
      <c r="DH418" s="1286"/>
      <c r="DI418" s="1286"/>
      <c r="DJ418" s="1286"/>
      <c r="DK418" s="1286"/>
      <c r="DL418" s="1286"/>
      <c r="DM418" s="1286"/>
      <c r="DN418" s="1286"/>
      <c r="DO418" s="1286"/>
      <c r="DP418" s="1286"/>
      <c r="DQ418" s="1286"/>
      <c r="DR418" s="1286"/>
      <c r="DS418" s="1286"/>
      <c r="DT418" s="1286"/>
      <c r="DU418" s="1286"/>
      <c r="DV418" s="1286"/>
      <c r="DW418" s="1286"/>
      <c r="DX418" s="1286"/>
      <c r="DY418" s="1286"/>
      <c r="DZ418" s="1286"/>
      <c r="EA418" s="1286"/>
      <c r="EB418" s="1206"/>
      <c r="EC418" s="1206"/>
      <c r="ED418" s="1206"/>
      <c r="EE418" s="1206"/>
      <c r="EF418" s="1206"/>
      <c r="EG418" s="1206"/>
      <c r="EH418" s="1206"/>
      <c r="EI418" s="1206"/>
      <c r="EJ418" s="1206"/>
      <c r="EK418" s="1206"/>
      <c r="EL418" s="1206"/>
      <c r="EM418" s="1313"/>
    </row>
    <row r="419" spans="2:143" s="1271" customFormat="1">
      <c r="B419" s="1263"/>
      <c r="C419" s="1264"/>
      <c r="D419" s="1265"/>
      <c r="E419" s="1265"/>
      <c r="F419" s="1285"/>
      <c r="G419" s="1264"/>
      <c r="H419" s="1264"/>
      <c r="I419" s="1285"/>
      <c r="J419" s="1285"/>
      <c r="K419" s="1285"/>
      <c r="L419" s="1285"/>
      <c r="M419" s="1285"/>
      <c r="N419" s="1285"/>
      <c r="O419" s="1285"/>
      <c r="P419" s="1285"/>
      <c r="Q419" s="1285"/>
      <c r="R419" s="1285"/>
      <c r="S419" s="1285"/>
      <c r="T419" s="1285"/>
      <c r="U419" s="1285"/>
      <c r="V419" s="1285"/>
      <c r="W419" s="1286"/>
      <c r="X419" s="1286"/>
      <c r="Y419" s="1286"/>
      <c r="Z419" s="1286"/>
      <c r="AA419" s="1286"/>
      <c r="AB419" s="1286"/>
      <c r="AC419" s="1286"/>
      <c r="AD419" s="1286"/>
      <c r="AE419" s="1286"/>
      <c r="AF419" s="1286"/>
      <c r="AG419" s="1286"/>
      <c r="AH419" s="1286"/>
      <c r="AI419" s="1286"/>
      <c r="AJ419" s="1286"/>
      <c r="AK419" s="1286"/>
      <c r="AL419" s="1286"/>
      <c r="AM419" s="1286"/>
      <c r="AN419" s="1286"/>
      <c r="AO419" s="1286"/>
      <c r="AP419" s="1286"/>
      <c r="AQ419" s="1286"/>
      <c r="AR419" s="1286"/>
      <c r="AS419" s="1286"/>
      <c r="AT419" s="1286"/>
      <c r="AU419" s="1286"/>
      <c r="AV419" s="1286"/>
      <c r="AW419" s="1286"/>
      <c r="AX419" s="1286"/>
      <c r="AY419" s="1286"/>
      <c r="AZ419" s="1286"/>
      <c r="BA419" s="1286"/>
      <c r="BB419" s="1286"/>
      <c r="BC419" s="1286"/>
      <c r="BD419" s="1286"/>
      <c r="BE419" s="1286"/>
      <c r="BF419" s="1286"/>
      <c r="BG419" s="1286"/>
      <c r="BH419" s="1286"/>
      <c r="BI419" s="1286"/>
      <c r="BJ419" s="1286"/>
      <c r="BK419" s="1286"/>
      <c r="BL419" s="1286"/>
      <c r="BM419" s="1286"/>
      <c r="BN419" s="1286"/>
      <c r="BO419" s="1286"/>
      <c r="BP419" s="1286"/>
      <c r="BQ419" s="1286"/>
      <c r="BR419" s="1286"/>
      <c r="BS419" s="1286"/>
      <c r="BT419" s="1286"/>
      <c r="BU419" s="1286"/>
      <c r="BV419" s="1286"/>
      <c r="BW419" s="1286"/>
      <c r="BX419" s="1286"/>
      <c r="BY419" s="1286"/>
      <c r="BZ419" s="1286"/>
      <c r="CA419" s="1286"/>
      <c r="CB419" s="1286"/>
      <c r="CC419" s="1286"/>
      <c r="CD419" s="1286"/>
      <c r="CE419" s="1286"/>
      <c r="CF419" s="1286"/>
      <c r="CG419" s="1286"/>
      <c r="CH419" s="1269"/>
      <c r="CI419" s="1286"/>
      <c r="CJ419" s="1286"/>
      <c r="CK419" s="1286"/>
      <c r="CL419" s="1286"/>
      <c r="CM419" s="1286"/>
      <c r="CN419" s="1286"/>
      <c r="CO419" s="1286"/>
      <c r="CP419" s="1286"/>
      <c r="CQ419" s="1286"/>
      <c r="CR419" s="1286"/>
      <c r="CS419" s="1286"/>
      <c r="CT419" s="1286"/>
      <c r="CU419" s="1286"/>
      <c r="CV419" s="1286"/>
      <c r="CW419" s="1286"/>
      <c r="CX419" s="1286"/>
      <c r="CY419" s="1286"/>
      <c r="CZ419" s="1286"/>
      <c r="DA419" s="1286"/>
      <c r="DB419" s="1286"/>
      <c r="DC419" s="1286"/>
      <c r="DD419" s="1286"/>
      <c r="DE419" s="1286"/>
      <c r="DF419" s="1286"/>
      <c r="DG419" s="1286"/>
      <c r="DH419" s="1286"/>
      <c r="DI419" s="1286"/>
      <c r="DJ419" s="1286"/>
      <c r="DK419" s="1286"/>
      <c r="DL419" s="1286"/>
      <c r="DM419" s="1286"/>
      <c r="DN419" s="1286"/>
      <c r="DO419" s="1286"/>
      <c r="DP419" s="1286"/>
      <c r="DQ419" s="1286"/>
      <c r="DR419" s="1286"/>
      <c r="DS419" s="1286"/>
      <c r="DT419" s="1286"/>
      <c r="DU419" s="1286"/>
      <c r="DV419" s="1286"/>
      <c r="DW419" s="1286"/>
      <c r="DX419" s="1286"/>
      <c r="DY419" s="1286"/>
      <c r="DZ419" s="1286"/>
      <c r="EA419" s="1286"/>
      <c r="EB419" s="1206"/>
      <c r="EC419" s="1206"/>
      <c r="ED419" s="1206"/>
      <c r="EE419" s="1206"/>
      <c r="EF419" s="1206"/>
      <c r="EG419" s="1206"/>
      <c r="EH419" s="1206"/>
      <c r="EI419" s="1206"/>
      <c r="EJ419" s="1206"/>
      <c r="EK419" s="1206"/>
      <c r="EL419" s="1206"/>
      <c r="EM419" s="1313"/>
    </row>
    <row r="420" spans="2:143" s="1271" customFormat="1">
      <c r="B420" s="1263"/>
      <c r="C420" s="1264"/>
      <c r="D420" s="1265"/>
      <c r="E420" s="1265"/>
      <c r="F420" s="1285"/>
      <c r="G420" s="1264"/>
      <c r="H420" s="1264"/>
      <c r="I420" s="1285"/>
      <c r="J420" s="1285"/>
      <c r="K420" s="1285"/>
      <c r="L420" s="1285"/>
      <c r="M420" s="1285"/>
      <c r="N420" s="1285"/>
      <c r="O420" s="1285"/>
      <c r="P420" s="1285"/>
      <c r="Q420" s="1285"/>
      <c r="R420" s="1285"/>
      <c r="S420" s="1285"/>
      <c r="T420" s="1285"/>
      <c r="U420" s="1285"/>
      <c r="V420" s="1285"/>
      <c r="W420" s="1286"/>
      <c r="X420" s="1286"/>
      <c r="Y420" s="1286"/>
      <c r="Z420" s="1286"/>
      <c r="AA420" s="1286"/>
      <c r="AB420" s="1286"/>
      <c r="AC420" s="1286"/>
      <c r="AD420" s="1286"/>
      <c r="AE420" s="1286"/>
      <c r="AF420" s="1286"/>
      <c r="AG420" s="1286"/>
      <c r="AH420" s="1286"/>
      <c r="AI420" s="1286"/>
      <c r="AJ420" s="1286"/>
      <c r="AK420" s="1286"/>
      <c r="AL420" s="1286"/>
      <c r="AM420" s="1286"/>
      <c r="AN420" s="1286"/>
      <c r="AO420" s="1286"/>
      <c r="AP420" s="1286"/>
      <c r="AQ420" s="1286"/>
      <c r="AR420" s="1286"/>
      <c r="AS420" s="1286"/>
      <c r="AT420" s="1286"/>
      <c r="AU420" s="1286"/>
      <c r="AV420" s="1286"/>
      <c r="AW420" s="1286"/>
      <c r="AX420" s="1286"/>
      <c r="AY420" s="1286"/>
      <c r="AZ420" s="1286"/>
      <c r="BA420" s="1286"/>
      <c r="BB420" s="1286"/>
      <c r="BC420" s="1286"/>
      <c r="BD420" s="1286"/>
      <c r="BE420" s="1286"/>
      <c r="BF420" s="1286"/>
      <c r="BG420" s="1286"/>
      <c r="BH420" s="1286"/>
      <c r="BI420" s="1286"/>
      <c r="BJ420" s="1286"/>
      <c r="BK420" s="1286"/>
      <c r="BL420" s="1286"/>
      <c r="BM420" s="1286"/>
      <c r="BN420" s="1286"/>
      <c r="BO420" s="1286"/>
      <c r="BP420" s="1286"/>
      <c r="BQ420" s="1286"/>
      <c r="BR420" s="1286"/>
      <c r="BS420" s="1286"/>
      <c r="BT420" s="1286"/>
      <c r="BU420" s="1286"/>
      <c r="BV420" s="1286"/>
      <c r="BW420" s="1286"/>
      <c r="BX420" s="1286"/>
      <c r="BY420" s="1286"/>
      <c r="BZ420" s="1286"/>
      <c r="CA420" s="1286"/>
      <c r="CB420" s="1286"/>
      <c r="CC420" s="1286"/>
      <c r="CD420" s="1286"/>
      <c r="CE420" s="1286"/>
      <c r="CF420" s="1286"/>
      <c r="CG420" s="1286"/>
      <c r="CH420" s="1269"/>
      <c r="CI420" s="1286"/>
      <c r="CJ420" s="1286"/>
      <c r="CK420" s="1286"/>
      <c r="CL420" s="1286"/>
      <c r="CM420" s="1286"/>
      <c r="CN420" s="1286"/>
      <c r="CO420" s="1286"/>
      <c r="CP420" s="1286"/>
      <c r="CQ420" s="1286"/>
      <c r="CR420" s="1286"/>
      <c r="CS420" s="1286"/>
      <c r="CT420" s="1286"/>
      <c r="CU420" s="1286"/>
      <c r="CV420" s="1286"/>
      <c r="CW420" s="1286"/>
      <c r="CX420" s="1286"/>
      <c r="CY420" s="1286"/>
      <c r="CZ420" s="1286"/>
      <c r="DA420" s="1286"/>
      <c r="DB420" s="1286"/>
      <c r="DC420" s="1286"/>
      <c r="DD420" s="1286"/>
      <c r="DE420" s="1286"/>
      <c r="DF420" s="1286"/>
      <c r="DG420" s="1286"/>
      <c r="DH420" s="1286"/>
      <c r="DI420" s="1286"/>
      <c r="DJ420" s="1286"/>
      <c r="DK420" s="1286"/>
      <c r="DL420" s="1286"/>
      <c r="DM420" s="1286"/>
      <c r="DN420" s="1286"/>
      <c r="DO420" s="1286"/>
      <c r="DP420" s="1286"/>
      <c r="DQ420" s="1286"/>
      <c r="DR420" s="1286"/>
      <c r="DS420" s="1286"/>
      <c r="DT420" s="1286"/>
      <c r="DU420" s="1286"/>
      <c r="DV420" s="1286"/>
      <c r="DW420" s="1286"/>
      <c r="DX420" s="1286"/>
      <c r="DY420" s="1286"/>
      <c r="DZ420" s="1286"/>
      <c r="EA420" s="1286"/>
      <c r="EB420" s="1206"/>
      <c r="EC420" s="1206"/>
      <c r="ED420" s="1206"/>
      <c r="EE420" s="1206"/>
      <c r="EF420" s="1206"/>
      <c r="EG420" s="1206"/>
      <c r="EH420" s="1206"/>
      <c r="EI420" s="1206"/>
      <c r="EJ420" s="1206"/>
      <c r="EK420" s="1206"/>
      <c r="EL420" s="1206"/>
      <c r="EM420" s="1313"/>
    </row>
    <row r="421" spans="2:143" s="1271" customFormat="1">
      <c r="B421" s="1263"/>
      <c r="C421" s="1264"/>
      <c r="D421" s="1265"/>
      <c r="E421" s="1265"/>
      <c r="F421" s="1285"/>
      <c r="G421" s="1264"/>
      <c r="H421" s="1264"/>
      <c r="I421" s="1285"/>
      <c r="J421" s="1285"/>
      <c r="K421" s="1285"/>
      <c r="L421" s="1285"/>
      <c r="M421" s="1285"/>
      <c r="N421" s="1285"/>
      <c r="O421" s="1285"/>
      <c r="P421" s="1285"/>
      <c r="Q421" s="1285"/>
      <c r="R421" s="1285"/>
      <c r="S421" s="1285"/>
      <c r="T421" s="1285"/>
      <c r="U421" s="1285"/>
      <c r="V421" s="1285"/>
      <c r="W421" s="1286"/>
      <c r="X421" s="1286"/>
      <c r="Y421" s="1286"/>
      <c r="Z421" s="1286"/>
      <c r="AA421" s="1286"/>
      <c r="AB421" s="1286"/>
      <c r="AC421" s="1286"/>
      <c r="AD421" s="1286"/>
      <c r="AE421" s="1286"/>
      <c r="AF421" s="1286"/>
      <c r="AG421" s="1286"/>
      <c r="AH421" s="1286"/>
      <c r="AI421" s="1286"/>
      <c r="AJ421" s="1286"/>
      <c r="AK421" s="1286"/>
      <c r="AL421" s="1286"/>
      <c r="AM421" s="1286"/>
      <c r="AN421" s="1286"/>
      <c r="AO421" s="1286"/>
      <c r="AP421" s="1286"/>
      <c r="AQ421" s="1286"/>
      <c r="AR421" s="1286"/>
      <c r="AS421" s="1286"/>
      <c r="AT421" s="1286"/>
      <c r="AU421" s="1286"/>
      <c r="AV421" s="1286"/>
      <c r="AW421" s="1286"/>
      <c r="AX421" s="1286"/>
      <c r="AY421" s="1286"/>
      <c r="AZ421" s="1286"/>
      <c r="BA421" s="1286"/>
      <c r="BB421" s="1286"/>
      <c r="BC421" s="1286"/>
      <c r="BD421" s="1286"/>
      <c r="BE421" s="1286"/>
      <c r="BF421" s="1286"/>
      <c r="BG421" s="1286"/>
      <c r="BH421" s="1286"/>
      <c r="BI421" s="1286"/>
      <c r="BJ421" s="1286"/>
      <c r="BK421" s="1286"/>
      <c r="BL421" s="1286"/>
      <c r="BM421" s="1286"/>
      <c r="BN421" s="1286"/>
      <c r="BO421" s="1286"/>
      <c r="BP421" s="1286"/>
      <c r="BQ421" s="1286"/>
      <c r="BR421" s="1286"/>
      <c r="BS421" s="1286"/>
      <c r="BT421" s="1286"/>
      <c r="BU421" s="1286"/>
      <c r="BV421" s="1286"/>
      <c r="BW421" s="1286"/>
      <c r="BX421" s="1286"/>
      <c r="BY421" s="1286"/>
      <c r="BZ421" s="1286"/>
      <c r="CA421" s="1286"/>
      <c r="CB421" s="1286"/>
      <c r="CC421" s="1286"/>
      <c r="CD421" s="1286"/>
      <c r="CE421" s="1286"/>
      <c r="CF421" s="1286"/>
      <c r="CG421" s="1286"/>
      <c r="CH421" s="1269"/>
      <c r="CI421" s="1286"/>
      <c r="CJ421" s="1286"/>
      <c r="CK421" s="1286"/>
      <c r="CL421" s="1286"/>
      <c r="CM421" s="1286"/>
      <c r="CN421" s="1286"/>
      <c r="CO421" s="1286"/>
      <c r="CP421" s="1286"/>
      <c r="CQ421" s="1286"/>
      <c r="CR421" s="1286"/>
      <c r="CS421" s="1286"/>
      <c r="CT421" s="1286"/>
      <c r="CU421" s="1286"/>
      <c r="CV421" s="1286"/>
      <c r="CW421" s="1286"/>
      <c r="CX421" s="1286"/>
      <c r="CY421" s="1286"/>
      <c r="CZ421" s="1286"/>
      <c r="DA421" s="1286"/>
      <c r="DB421" s="1286"/>
      <c r="DC421" s="1286"/>
      <c r="DD421" s="1286"/>
      <c r="DE421" s="1286"/>
      <c r="DF421" s="1286"/>
      <c r="DG421" s="1286"/>
      <c r="DH421" s="1286"/>
      <c r="DI421" s="1286"/>
      <c r="DJ421" s="1286"/>
      <c r="DK421" s="1286"/>
      <c r="DL421" s="1286"/>
      <c r="DM421" s="1286"/>
      <c r="DN421" s="1286"/>
      <c r="DO421" s="1286"/>
      <c r="DP421" s="1286"/>
      <c r="DQ421" s="1286"/>
      <c r="DR421" s="1286"/>
      <c r="DS421" s="1286"/>
      <c r="DT421" s="1286"/>
      <c r="DU421" s="1286"/>
      <c r="DV421" s="1286"/>
      <c r="DW421" s="1286"/>
      <c r="DX421" s="1286"/>
      <c r="DY421" s="1286"/>
      <c r="DZ421" s="1286"/>
      <c r="EA421" s="1286"/>
      <c r="EB421" s="1206"/>
      <c r="EC421" s="1206"/>
      <c r="ED421" s="1206"/>
      <c r="EE421" s="1206"/>
      <c r="EF421" s="1206"/>
      <c r="EG421" s="1206"/>
      <c r="EH421" s="1206"/>
      <c r="EI421" s="1206"/>
      <c r="EJ421" s="1206"/>
      <c r="EK421" s="1206"/>
      <c r="EL421" s="1206"/>
      <c r="EM421" s="1313"/>
    </row>
    <row r="422" spans="2:143" s="1271" customFormat="1">
      <c r="B422" s="1263"/>
      <c r="C422" s="1264"/>
      <c r="D422" s="1265"/>
      <c r="E422" s="1265"/>
      <c r="F422" s="1285"/>
      <c r="G422" s="1264"/>
      <c r="H422" s="1264"/>
      <c r="I422" s="1285"/>
      <c r="J422" s="1285"/>
      <c r="K422" s="1285"/>
      <c r="L422" s="1285"/>
      <c r="M422" s="1285"/>
      <c r="N422" s="1285"/>
      <c r="O422" s="1285"/>
      <c r="P422" s="1285"/>
      <c r="Q422" s="1285"/>
      <c r="R422" s="1285"/>
      <c r="S422" s="1285"/>
      <c r="T422" s="1285"/>
      <c r="U422" s="1285"/>
      <c r="V422" s="1285"/>
      <c r="W422" s="1286"/>
      <c r="X422" s="1286"/>
      <c r="Y422" s="1286"/>
      <c r="Z422" s="1286"/>
      <c r="AA422" s="1286"/>
      <c r="AB422" s="1286"/>
      <c r="AC422" s="1286"/>
      <c r="AD422" s="1286"/>
      <c r="AE422" s="1286"/>
      <c r="AF422" s="1286"/>
      <c r="AG422" s="1286"/>
      <c r="AH422" s="1286"/>
      <c r="AI422" s="1286"/>
      <c r="AJ422" s="1286"/>
      <c r="AK422" s="1286"/>
      <c r="AL422" s="1286"/>
      <c r="AM422" s="1286"/>
      <c r="AN422" s="1286"/>
      <c r="AO422" s="1286"/>
      <c r="AP422" s="1286"/>
      <c r="AQ422" s="1286"/>
      <c r="AR422" s="1286"/>
      <c r="AS422" s="1286"/>
      <c r="AT422" s="1286"/>
      <c r="AU422" s="1286"/>
      <c r="AV422" s="1286"/>
      <c r="AW422" s="1286"/>
      <c r="AX422" s="1286"/>
      <c r="AY422" s="1286"/>
      <c r="AZ422" s="1286"/>
      <c r="BA422" s="1286"/>
      <c r="BB422" s="1286"/>
      <c r="BC422" s="1286"/>
      <c r="BD422" s="1286"/>
      <c r="BE422" s="1286"/>
      <c r="BF422" s="1286"/>
      <c r="BG422" s="1286"/>
      <c r="BH422" s="1286"/>
      <c r="BI422" s="1286"/>
      <c r="BJ422" s="1286"/>
      <c r="BK422" s="1286"/>
      <c r="BL422" s="1286"/>
      <c r="BM422" s="1286"/>
      <c r="BN422" s="1286"/>
      <c r="BO422" s="1286"/>
      <c r="BP422" s="1286"/>
      <c r="BQ422" s="1286"/>
      <c r="BR422" s="1286"/>
      <c r="BS422" s="1286"/>
      <c r="BT422" s="1286"/>
      <c r="BU422" s="1286"/>
      <c r="BV422" s="1286"/>
      <c r="BW422" s="1286"/>
      <c r="BX422" s="1286"/>
      <c r="BY422" s="1286"/>
      <c r="BZ422" s="1286"/>
      <c r="CA422" s="1286"/>
      <c r="CB422" s="1286"/>
      <c r="CC422" s="1286"/>
      <c r="CD422" s="1286"/>
      <c r="CE422" s="1286"/>
      <c r="CF422" s="1286"/>
      <c r="CG422" s="1286"/>
      <c r="CH422" s="1269"/>
      <c r="CI422" s="1286"/>
      <c r="CJ422" s="1286"/>
      <c r="CK422" s="1286"/>
      <c r="CL422" s="1286"/>
      <c r="CM422" s="1286"/>
      <c r="CN422" s="1286"/>
      <c r="CO422" s="1286"/>
      <c r="CP422" s="1286"/>
      <c r="CQ422" s="1286"/>
      <c r="CR422" s="1286"/>
      <c r="CS422" s="1286"/>
      <c r="CT422" s="1286"/>
      <c r="CU422" s="1286"/>
      <c r="CV422" s="1286"/>
      <c r="CW422" s="1286"/>
      <c r="CX422" s="1286"/>
      <c r="CY422" s="1286"/>
      <c r="CZ422" s="1286"/>
      <c r="DA422" s="1286"/>
      <c r="DB422" s="1286"/>
      <c r="DC422" s="1286"/>
      <c r="DD422" s="1286"/>
      <c r="DE422" s="1286"/>
      <c r="DF422" s="1286"/>
      <c r="DG422" s="1286"/>
      <c r="DH422" s="1286"/>
      <c r="DI422" s="1286"/>
      <c r="DJ422" s="1286"/>
      <c r="DK422" s="1286"/>
      <c r="DL422" s="1286"/>
      <c r="DM422" s="1286"/>
      <c r="DN422" s="1286"/>
      <c r="DO422" s="1286"/>
      <c r="DP422" s="1286"/>
      <c r="DQ422" s="1286"/>
      <c r="DR422" s="1286"/>
      <c r="DS422" s="1286"/>
      <c r="DT422" s="1286"/>
      <c r="DU422" s="1286"/>
      <c r="DV422" s="1286"/>
      <c r="DW422" s="1286"/>
      <c r="DX422" s="1286"/>
      <c r="DY422" s="1286"/>
      <c r="DZ422" s="1286"/>
      <c r="EA422" s="1286"/>
      <c r="EB422" s="1206"/>
      <c r="EC422" s="1206"/>
      <c r="ED422" s="1206"/>
      <c r="EE422" s="1206"/>
      <c r="EF422" s="1206"/>
      <c r="EG422" s="1206"/>
      <c r="EH422" s="1206"/>
      <c r="EI422" s="1206"/>
      <c r="EJ422" s="1206"/>
      <c r="EK422" s="1206"/>
      <c r="EL422" s="1206"/>
      <c r="EM422" s="1313"/>
    </row>
    <row r="423" spans="2:143" s="1271" customFormat="1">
      <c r="B423" s="1263"/>
      <c r="C423" s="1264"/>
      <c r="D423" s="1265"/>
      <c r="E423" s="1265"/>
      <c r="F423" s="1285"/>
      <c r="G423" s="1264"/>
      <c r="H423" s="1264"/>
      <c r="I423" s="1285"/>
      <c r="J423" s="1285"/>
      <c r="K423" s="1285"/>
      <c r="L423" s="1285"/>
      <c r="M423" s="1285"/>
      <c r="N423" s="1285"/>
      <c r="O423" s="1285"/>
      <c r="P423" s="1285"/>
      <c r="Q423" s="1285"/>
      <c r="R423" s="1285"/>
      <c r="S423" s="1285"/>
      <c r="T423" s="1285"/>
      <c r="U423" s="1285"/>
      <c r="V423" s="1285"/>
      <c r="W423" s="1286"/>
      <c r="X423" s="1286"/>
      <c r="Y423" s="1286"/>
      <c r="Z423" s="1286"/>
      <c r="AA423" s="1286"/>
      <c r="AB423" s="1286"/>
      <c r="AC423" s="1286"/>
      <c r="AD423" s="1286"/>
      <c r="AE423" s="1286"/>
      <c r="AF423" s="1286"/>
      <c r="AG423" s="1286"/>
      <c r="AH423" s="1286"/>
      <c r="AI423" s="1286"/>
      <c r="AJ423" s="1286"/>
      <c r="AK423" s="1286"/>
      <c r="AL423" s="1286"/>
      <c r="AM423" s="1286"/>
      <c r="AN423" s="1286"/>
      <c r="AO423" s="1286"/>
      <c r="AP423" s="1286"/>
      <c r="AQ423" s="1286"/>
      <c r="AR423" s="1286"/>
      <c r="AS423" s="1286"/>
      <c r="AT423" s="1286"/>
      <c r="AU423" s="1286"/>
      <c r="AV423" s="1286"/>
      <c r="AW423" s="1286"/>
      <c r="AX423" s="1286"/>
      <c r="AY423" s="1286"/>
      <c r="AZ423" s="1286"/>
      <c r="BA423" s="1286"/>
      <c r="BB423" s="1286"/>
      <c r="BC423" s="1286"/>
      <c r="BD423" s="1286"/>
      <c r="BE423" s="1286"/>
      <c r="BF423" s="1286"/>
      <c r="BG423" s="1286"/>
      <c r="BH423" s="1286"/>
      <c r="BI423" s="1286"/>
      <c r="BJ423" s="1286"/>
      <c r="BK423" s="1286"/>
      <c r="BL423" s="1286"/>
      <c r="BM423" s="1286"/>
      <c r="BN423" s="1286"/>
      <c r="BO423" s="1286"/>
      <c r="BP423" s="1286"/>
      <c r="BQ423" s="1286"/>
      <c r="BR423" s="1286"/>
      <c r="BS423" s="1286"/>
      <c r="BT423" s="1286"/>
      <c r="BU423" s="1286"/>
      <c r="BV423" s="1286"/>
      <c r="BW423" s="1286"/>
      <c r="BX423" s="1286"/>
      <c r="BY423" s="1286"/>
      <c r="BZ423" s="1286"/>
      <c r="CA423" s="1286"/>
      <c r="CB423" s="1286"/>
      <c r="CC423" s="1286"/>
      <c r="CD423" s="1286"/>
      <c r="CE423" s="1286"/>
      <c r="CF423" s="1286"/>
      <c r="CG423" s="1286"/>
      <c r="CH423" s="1269"/>
      <c r="CI423" s="1286"/>
      <c r="CJ423" s="1286"/>
      <c r="CK423" s="1286"/>
      <c r="CL423" s="1286"/>
      <c r="CM423" s="1286"/>
      <c r="CN423" s="1286"/>
      <c r="CO423" s="1286"/>
      <c r="CP423" s="1286"/>
      <c r="CQ423" s="1286"/>
      <c r="CR423" s="1286"/>
      <c r="CS423" s="1286"/>
      <c r="CT423" s="1286"/>
      <c r="CU423" s="1286"/>
      <c r="CV423" s="1286"/>
      <c r="CW423" s="1286"/>
      <c r="CX423" s="1286"/>
      <c r="CY423" s="1286"/>
      <c r="CZ423" s="1286"/>
      <c r="DA423" s="1286"/>
      <c r="DB423" s="1286"/>
      <c r="DC423" s="1286"/>
      <c r="DD423" s="1286"/>
      <c r="DE423" s="1286"/>
      <c r="DF423" s="1286"/>
      <c r="DG423" s="1286"/>
      <c r="DH423" s="1286"/>
      <c r="DI423" s="1286"/>
      <c r="DJ423" s="1286"/>
      <c r="DK423" s="1286"/>
      <c r="DL423" s="1286"/>
      <c r="DM423" s="1286"/>
      <c r="DN423" s="1286"/>
      <c r="DO423" s="1286"/>
      <c r="DP423" s="1286"/>
      <c r="DQ423" s="1286"/>
      <c r="DR423" s="1286"/>
      <c r="DS423" s="1286"/>
      <c r="DT423" s="1286"/>
      <c r="DU423" s="1286"/>
      <c r="DV423" s="1286"/>
      <c r="DW423" s="1286"/>
      <c r="DX423" s="1286"/>
      <c r="DY423" s="1286"/>
      <c r="DZ423" s="1286"/>
      <c r="EA423" s="1286"/>
      <c r="EB423" s="1206"/>
      <c r="EC423" s="1206"/>
      <c r="ED423" s="1206"/>
      <c r="EE423" s="1206"/>
      <c r="EF423" s="1206"/>
      <c r="EG423" s="1206"/>
      <c r="EH423" s="1206"/>
      <c r="EI423" s="1206"/>
      <c r="EJ423" s="1206"/>
      <c r="EK423" s="1206"/>
      <c r="EL423" s="1206"/>
      <c r="EM423" s="1313"/>
    </row>
    <row r="424" spans="2:143" s="1271" customFormat="1">
      <c r="B424" s="1263"/>
      <c r="C424" s="1264"/>
      <c r="D424" s="1265"/>
      <c r="E424" s="1265"/>
      <c r="F424" s="1285"/>
      <c r="G424" s="1264"/>
      <c r="H424" s="1264"/>
      <c r="I424" s="1285"/>
      <c r="J424" s="1285"/>
      <c r="K424" s="1285"/>
      <c r="L424" s="1285"/>
      <c r="M424" s="1285"/>
      <c r="N424" s="1285"/>
      <c r="O424" s="1285"/>
      <c r="P424" s="1285"/>
      <c r="Q424" s="1285"/>
      <c r="R424" s="1285"/>
      <c r="S424" s="1285"/>
      <c r="T424" s="1285"/>
      <c r="U424" s="1285"/>
      <c r="V424" s="1285"/>
      <c r="W424" s="1286"/>
      <c r="X424" s="1286"/>
      <c r="Y424" s="1286"/>
      <c r="Z424" s="1286"/>
      <c r="AA424" s="1286"/>
      <c r="AB424" s="1286"/>
      <c r="AC424" s="1286"/>
      <c r="AD424" s="1286"/>
      <c r="AE424" s="1286"/>
      <c r="AF424" s="1286"/>
      <c r="AG424" s="1286"/>
      <c r="AH424" s="1286"/>
      <c r="AI424" s="1286"/>
      <c r="AJ424" s="1286"/>
      <c r="AK424" s="1286"/>
      <c r="AL424" s="1286"/>
      <c r="AM424" s="1286"/>
      <c r="AN424" s="1286"/>
      <c r="AO424" s="1286"/>
      <c r="AP424" s="1286"/>
      <c r="AQ424" s="1286"/>
      <c r="AR424" s="1286"/>
      <c r="AS424" s="1286"/>
      <c r="AT424" s="1286"/>
      <c r="AU424" s="1286"/>
      <c r="AV424" s="1286"/>
      <c r="AW424" s="1286"/>
      <c r="AX424" s="1286"/>
      <c r="AY424" s="1286"/>
      <c r="AZ424" s="1286"/>
      <c r="BA424" s="1286"/>
      <c r="BB424" s="1286"/>
      <c r="BC424" s="1286"/>
      <c r="BD424" s="1286"/>
      <c r="BE424" s="1286"/>
      <c r="BF424" s="1286"/>
      <c r="BG424" s="1286"/>
      <c r="BH424" s="1286"/>
      <c r="BI424" s="1286"/>
      <c r="BJ424" s="1286"/>
      <c r="BK424" s="1286"/>
      <c r="BL424" s="1286"/>
      <c r="BM424" s="1286"/>
      <c r="BN424" s="1286"/>
      <c r="BO424" s="1286"/>
      <c r="BP424" s="1286"/>
      <c r="BQ424" s="1286"/>
      <c r="BR424" s="1286"/>
      <c r="BS424" s="1286"/>
      <c r="BT424" s="1286"/>
      <c r="BU424" s="1286"/>
      <c r="BV424" s="1286"/>
      <c r="BW424" s="1286"/>
      <c r="BX424" s="1286"/>
      <c r="BY424" s="1286"/>
      <c r="BZ424" s="1286"/>
      <c r="CA424" s="1286"/>
      <c r="CB424" s="1286"/>
      <c r="CC424" s="1286"/>
      <c r="CD424" s="1286"/>
      <c r="CE424" s="1286"/>
      <c r="CF424" s="1286"/>
      <c r="CG424" s="1286"/>
      <c r="CH424" s="1269"/>
      <c r="CI424" s="1286"/>
      <c r="CJ424" s="1286"/>
      <c r="CK424" s="1286"/>
      <c r="CL424" s="1286"/>
      <c r="CM424" s="1286"/>
      <c r="CN424" s="1286"/>
      <c r="CO424" s="1286"/>
      <c r="CP424" s="1286"/>
      <c r="CQ424" s="1286"/>
      <c r="CR424" s="1286"/>
      <c r="CS424" s="1286"/>
      <c r="CT424" s="1286"/>
      <c r="CU424" s="1286"/>
      <c r="CV424" s="1286"/>
      <c r="CW424" s="1286"/>
      <c r="CX424" s="1286"/>
      <c r="CY424" s="1286"/>
      <c r="CZ424" s="1286"/>
      <c r="DA424" s="1286"/>
      <c r="DB424" s="1286"/>
      <c r="DC424" s="1286"/>
      <c r="DD424" s="1286"/>
      <c r="DE424" s="1286"/>
      <c r="DF424" s="1286"/>
      <c r="DG424" s="1286"/>
      <c r="DH424" s="1286"/>
      <c r="DI424" s="1286"/>
      <c r="DJ424" s="1286"/>
      <c r="DK424" s="1286"/>
      <c r="DL424" s="1286"/>
      <c r="DM424" s="1286"/>
      <c r="DN424" s="1286"/>
      <c r="DO424" s="1286"/>
      <c r="DP424" s="1286"/>
      <c r="DQ424" s="1286"/>
      <c r="DR424" s="1286"/>
      <c r="DS424" s="1286"/>
      <c r="DT424" s="1286"/>
      <c r="DU424" s="1286"/>
      <c r="DV424" s="1286"/>
      <c r="DW424" s="1286"/>
      <c r="DX424" s="1286"/>
      <c r="DY424" s="1286"/>
      <c r="DZ424" s="1286"/>
      <c r="EA424" s="1286"/>
      <c r="EB424" s="1206"/>
      <c r="EC424" s="1206"/>
      <c r="ED424" s="1206"/>
      <c r="EE424" s="1206"/>
      <c r="EF424" s="1206"/>
      <c r="EG424" s="1206"/>
      <c r="EH424" s="1206"/>
      <c r="EI424" s="1206"/>
      <c r="EJ424" s="1206"/>
      <c r="EK424" s="1206"/>
      <c r="EL424" s="1206"/>
      <c r="EM424" s="1313"/>
    </row>
    <row r="425" spans="2:143" s="1271" customFormat="1">
      <c r="B425" s="1263"/>
      <c r="C425" s="1264"/>
      <c r="D425" s="1265"/>
      <c r="E425" s="1265"/>
      <c r="F425" s="1285"/>
      <c r="G425" s="1264"/>
      <c r="H425" s="1264"/>
      <c r="I425" s="1285"/>
      <c r="J425" s="1285"/>
      <c r="K425" s="1285"/>
      <c r="L425" s="1285"/>
      <c r="M425" s="1285"/>
      <c r="N425" s="1285"/>
      <c r="O425" s="1285"/>
      <c r="P425" s="1285"/>
      <c r="Q425" s="1285"/>
      <c r="R425" s="1285"/>
      <c r="S425" s="1285"/>
      <c r="T425" s="1285"/>
      <c r="U425" s="1285"/>
      <c r="V425" s="1285"/>
      <c r="W425" s="1286"/>
      <c r="X425" s="1286"/>
      <c r="Y425" s="1286"/>
      <c r="Z425" s="1286"/>
      <c r="AA425" s="1286"/>
      <c r="AB425" s="1286"/>
      <c r="AC425" s="1286"/>
      <c r="AD425" s="1286"/>
      <c r="AE425" s="1286"/>
      <c r="AF425" s="1286"/>
      <c r="AG425" s="1286"/>
      <c r="AH425" s="1286"/>
      <c r="AI425" s="1286"/>
      <c r="AJ425" s="1286"/>
      <c r="AK425" s="1286"/>
      <c r="AL425" s="1286"/>
      <c r="AM425" s="1286"/>
      <c r="AN425" s="1286"/>
      <c r="AO425" s="1286"/>
      <c r="AP425" s="1286"/>
      <c r="AQ425" s="1286"/>
      <c r="AR425" s="1286"/>
      <c r="AS425" s="1286"/>
      <c r="AT425" s="1286"/>
      <c r="AU425" s="1286"/>
      <c r="AV425" s="1286"/>
      <c r="AW425" s="1286"/>
      <c r="AX425" s="1286"/>
      <c r="AY425" s="1286"/>
      <c r="AZ425" s="1286"/>
      <c r="BA425" s="1286"/>
      <c r="BB425" s="1286"/>
      <c r="BC425" s="1286"/>
      <c r="BD425" s="1286"/>
      <c r="BE425" s="1286"/>
      <c r="BF425" s="1286"/>
      <c r="BG425" s="1286"/>
      <c r="BH425" s="1286"/>
      <c r="BI425" s="1286"/>
      <c r="BJ425" s="1286"/>
      <c r="BK425" s="1286"/>
      <c r="BL425" s="1286"/>
      <c r="BM425" s="1286"/>
      <c r="BN425" s="1286"/>
      <c r="BO425" s="1286"/>
      <c r="BP425" s="1286"/>
      <c r="BQ425" s="1286"/>
      <c r="BR425" s="1286"/>
      <c r="BS425" s="1286"/>
      <c r="BT425" s="1286"/>
      <c r="BU425" s="1286"/>
      <c r="BV425" s="1286"/>
      <c r="BW425" s="1286"/>
      <c r="BX425" s="1286"/>
      <c r="BY425" s="1286"/>
      <c r="BZ425" s="1286"/>
      <c r="CA425" s="1286"/>
      <c r="CB425" s="1286"/>
      <c r="CC425" s="1286"/>
      <c r="CD425" s="1286"/>
      <c r="CE425" s="1286"/>
      <c r="CF425" s="1286"/>
      <c r="CG425" s="1286"/>
      <c r="CH425" s="1269"/>
      <c r="CI425" s="1286"/>
      <c r="CJ425" s="1286"/>
      <c r="CK425" s="1286"/>
      <c r="CL425" s="1286"/>
      <c r="CM425" s="1286"/>
      <c r="CN425" s="1286"/>
      <c r="CO425" s="1286"/>
      <c r="CP425" s="1286"/>
      <c r="CQ425" s="1286"/>
      <c r="CR425" s="1286"/>
      <c r="CS425" s="1286"/>
      <c r="CT425" s="1286"/>
      <c r="CU425" s="1286"/>
      <c r="CV425" s="1286"/>
      <c r="CW425" s="1286"/>
      <c r="CX425" s="1286"/>
      <c r="CY425" s="1286"/>
      <c r="CZ425" s="1286"/>
      <c r="DA425" s="1286"/>
      <c r="DB425" s="1286"/>
      <c r="DC425" s="1286"/>
      <c r="DD425" s="1286"/>
      <c r="DE425" s="1286"/>
      <c r="DF425" s="1286"/>
      <c r="DG425" s="1286"/>
      <c r="DH425" s="1286"/>
      <c r="DI425" s="1286"/>
      <c r="DJ425" s="1286"/>
      <c r="DK425" s="1286"/>
      <c r="DL425" s="1286"/>
      <c r="DM425" s="1286"/>
      <c r="DN425" s="1286"/>
      <c r="DO425" s="1286"/>
      <c r="DP425" s="1286"/>
      <c r="DQ425" s="1286"/>
      <c r="DR425" s="1286"/>
      <c r="DS425" s="1286"/>
      <c r="DT425" s="1286"/>
      <c r="DU425" s="1286"/>
      <c r="DV425" s="1286"/>
      <c r="DW425" s="1286"/>
      <c r="DX425" s="1286"/>
      <c r="DY425" s="1286"/>
      <c r="DZ425" s="1286"/>
      <c r="EA425" s="1286"/>
      <c r="EB425" s="1206"/>
      <c r="EC425" s="1206"/>
      <c r="ED425" s="1206"/>
      <c r="EE425" s="1206"/>
      <c r="EF425" s="1206"/>
      <c r="EG425" s="1206"/>
      <c r="EH425" s="1206"/>
      <c r="EI425" s="1206"/>
      <c r="EJ425" s="1206"/>
      <c r="EK425" s="1206"/>
      <c r="EL425" s="1206"/>
      <c r="EM425" s="1313"/>
    </row>
    <row r="426" spans="2:143" s="1271" customFormat="1">
      <c r="B426" s="1263"/>
      <c r="C426" s="1264"/>
      <c r="D426" s="1265"/>
      <c r="E426" s="1265"/>
      <c r="F426" s="1285"/>
      <c r="G426" s="1264"/>
      <c r="H426" s="1264"/>
      <c r="I426" s="1285"/>
      <c r="J426" s="1285"/>
      <c r="K426" s="1285"/>
      <c r="L426" s="1285"/>
      <c r="M426" s="1285"/>
      <c r="N426" s="1285"/>
      <c r="O426" s="1285"/>
      <c r="P426" s="1285"/>
      <c r="Q426" s="1285"/>
      <c r="R426" s="1285"/>
      <c r="S426" s="1285"/>
      <c r="T426" s="1285"/>
      <c r="U426" s="1285"/>
      <c r="V426" s="1285"/>
      <c r="W426" s="1286"/>
      <c r="X426" s="1286"/>
      <c r="Y426" s="1286"/>
      <c r="Z426" s="1286"/>
      <c r="AA426" s="1286"/>
      <c r="AB426" s="1286"/>
      <c r="AC426" s="1286"/>
      <c r="AD426" s="1286"/>
      <c r="AE426" s="1286"/>
      <c r="AF426" s="1286"/>
      <c r="AG426" s="1286"/>
      <c r="AH426" s="1286"/>
      <c r="AI426" s="1286"/>
      <c r="AJ426" s="1286"/>
      <c r="AK426" s="1286"/>
      <c r="AL426" s="1286"/>
      <c r="AM426" s="1286"/>
      <c r="AN426" s="1286"/>
      <c r="AO426" s="1286"/>
      <c r="AP426" s="1286"/>
      <c r="AQ426" s="1286"/>
      <c r="AR426" s="1286"/>
      <c r="AS426" s="1286"/>
      <c r="AT426" s="1286"/>
      <c r="AU426" s="1286"/>
      <c r="AV426" s="1286"/>
      <c r="AW426" s="1286"/>
      <c r="AX426" s="1286"/>
      <c r="AY426" s="1286"/>
      <c r="AZ426" s="1286"/>
      <c r="BA426" s="1286"/>
      <c r="BB426" s="1286"/>
      <c r="BC426" s="1286"/>
      <c r="BD426" s="1286"/>
      <c r="BE426" s="1286"/>
      <c r="BF426" s="1286"/>
      <c r="BG426" s="1286"/>
      <c r="BH426" s="1286"/>
      <c r="BI426" s="1286"/>
      <c r="BJ426" s="1286"/>
      <c r="BK426" s="1286"/>
      <c r="BL426" s="1286"/>
      <c r="BM426" s="1286"/>
      <c r="BN426" s="1286"/>
      <c r="BO426" s="1286"/>
      <c r="BP426" s="1286"/>
      <c r="BQ426" s="1286"/>
      <c r="BR426" s="1286"/>
      <c r="BS426" s="1286"/>
      <c r="BT426" s="1286"/>
      <c r="BU426" s="1286"/>
      <c r="BV426" s="1286"/>
      <c r="BW426" s="1286"/>
      <c r="BX426" s="1286"/>
      <c r="BY426" s="1286"/>
      <c r="BZ426" s="1286"/>
      <c r="CA426" s="1286"/>
      <c r="CB426" s="1286"/>
      <c r="CC426" s="1286"/>
      <c r="CD426" s="1286"/>
      <c r="CE426" s="1286"/>
      <c r="CF426" s="1286"/>
      <c r="CG426" s="1286"/>
      <c r="CH426" s="1269"/>
      <c r="CI426" s="1286"/>
      <c r="CJ426" s="1286"/>
      <c r="CK426" s="1286"/>
      <c r="CL426" s="1286"/>
      <c r="CM426" s="1286"/>
      <c r="CN426" s="1286"/>
      <c r="CO426" s="1286"/>
      <c r="CP426" s="1286"/>
      <c r="CQ426" s="1286"/>
      <c r="CR426" s="1286"/>
      <c r="CS426" s="1286"/>
      <c r="CT426" s="1286"/>
      <c r="CU426" s="1286"/>
      <c r="CV426" s="1286"/>
      <c r="CW426" s="1286"/>
      <c r="CX426" s="1286"/>
      <c r="CY426" s="1286"/>
      <c r="CZ426" s="1286"/>
      <c r="DA426" s="1286"/>
      <c r="DB426" s="1286"/>
      <c r="DC426" s="1286"/>
      <c r="DD426" s="1286"/>
      <c r="DE426" s="1286"/>
      <c r="DF426" s="1286"/>
      <c r="DG426" s="1286"/>
      <c r="DH426" s="1286"/>
      <c r="DI426" s="1286"/>
      <c r="DJ426" s="1286"/>
      <c r="DK426" s="1286"/>
      <c r="DL426" s="1286"/>
      <c r="DM426" s="1286"/>
      <c r="DN426" s="1286"/>
      <c r="DO426" s="1286"/>
      <c r="DP426" s="1286"/>
      <c r="DQ426" s="1286"/>
      <c r="DR426" s="1286"/>
      <c r="DS426" s="1286"/>
      <c r="DT426" s="1286"/>
      <c r="DU426" s="1286"/>
      <c r="DV426" s="1286"/>
      <c r="DW426" s="1286"/>
      <c r="DX426" s="1286"/>
      <c r="DY426" s="1286"/>
      <c r="DZ426" s="1286"/>
      <c r="EA426" s="1286"/>
      <c r="EB426" s="1206"/>
      <c r="EC426" s="1206"/>
      <c r="ED426" s="1206"/>
      <c r="EE426" s="1206"/>
      <c r="EF426" s="1206"/>
      <c r="EG426" s="1206"/>
      <c r="EH426" s="1206"/>
      <c r="EI426" s="1206"/>
      <c r="EJ426" s="1206"/>
      <c r="EK426" s="1206"/>
      <c r="EL426" s="1206"/>
      <c r="EM426" s="1313"/>
    </row>
    <row r="427" spans="2:143" s="1271" customFormat="1">
      <c r="B427" s="1263"/>
      <c r="C427" s="1264"/>
      <c r="D427" s="1265"/>
      <c r="E427" s="1265"/>
      <c r="F427" s="1285"/>
      <c r="G427" s="1264"/>
      <c r="H427" s="1264"/>
      <c r="I427" s="1285"/>
      <c r="J427" s="1285"/>
      <c r="K427" s="1285"/>
      <c r="L427" s="1285"/>
      <c r="M427" s="1285"/>
      <c r="N427" s="1285"/>
      <c r="O427" s="1285"/>
      <c r="P427" s="1285"/>
      <c r="Q427" s="1285"/>
      <c r="R427" s="1285"/>
      <c r="S427" s="1285"/>
      <c r="T427" s="1285"/>
      <c r="U427" s="1285"/>
      <c r="V427" s="1285"/>
      <c r="W427" s="1286"/>
      <c r="X427" s="1286"/>
      <c r="Y427" s="1286"/>
      <c r="Z427" s="1286"/>
      <c r="AA427" s="1286"/>
      <c r="AB427" s="1286"/>
      <c r="AC427" s="1286"/>
      <c r="AD427" s="1286"/>
      <c r="AE427" s="1286"/>
      <c r="AF427" s="1286"/>
      <c r="AG427" s="1286"/>
      <c r="AH427" s="1286"/>
      <c r="AI427" s="1286"/>
      <c r="AJ427" s="1286"/>
      <c r="AK427" s="1286"/>
      <c r="AL427" s="1286"/>
      <c r="AM427" s="1286"/>
      <c r="AN427" s="1286"/>
      <c r="AO427" s="1286"/>
      <c r="AP427" s="1286"/>
      <c r="AQ427" s="1286"/>
      <c r="AR427" s="1286"/>
      <c r="AS427" s="1286"/>
      <c r="AT427" s="1286"/>
      <c r="AU427" s="1286"/>
      <c r="AV427" s="1286"/>
      <c r="AW427" s="1286"/>
      <c r="AX427" s="1286"/>
      <c r="AY427" s="1286"/>
      <c r="AZ427" s="1286"/>
      <c r="BA427" s="1286"/>
      <c r="BB427" s="1286"/>
      <c r="BC427" s="1286"/>
      <c r="BD427" s="1286"/>
      <c r="BE427" s="1286"/>
      <c r="BF427" s="1286"/>
      <c r="BG427" s="1286"/>
      <c r="BH427" s="1286"/>
      <c r="BI427" s="1286"/>
      <c r="BJ427" s="1286"/>
      <c r="BK427" s="1286"/>
      <c r="BL427" s="1286"/>
      <c r="BM427" s="1286"/>
      <c r="BN427" s="1286"/>
      <c r="BO427" s="1286"/>
      <c r="BP427" s="1286"/>
      <c r="BQ427" s="1286"/>
      <c r="BR427" s="1286"/>
      <c r="BS427" s="1286"/>
      <c r="BT427" s="1286"/>
      <c r="BU427" s="1286"/>
      <c r="BV427" s="1286"/>
      <c r="BW427" s="1286"/>
      <c r="BX427" s="1286"/>
      <c r="BY427" s="1286"/>
      <c r="BZ427" s="1286"/>
      <c r="CA427" s="1286"/>
      <c r="CB427" s="1286"/>
      <c r="CC427" s="1286"/>
      <c r="CD427" s="1286"/>
      <c r="CE427" s="1286"/>
      <c r="CF427" s="1286"/>
      <c r="CG427" s="1286"/>
      <c r="CH427" s="1269"/>
      <c r="CI427" s="1286"/>
      <c r="CJ427" s="1286"/>
      <c r="CK427" s="1286"/>
      <c r="CL427" s="1286"/>
      <c r="CM427" s="1286"/>
      <c r="CN427" s="1286"/>
      <c r="CO427" s="1286"/>
      <c r="CP427" s="1286"/>
      <c r="CQ427" s="1286"/>
      <c r="CR427" s="1286"/>
      <c r="CS427" s="1286"/>
      <c r="CT427" s="1286"/>
      <c r="CU427" s="1286"/>
      <c r="CV427" s="1286"/>
      <c r="CW427" s="1286"/>
      <c r="CX427" s="1286"/>
      <c r="CY427" s="1286"/>
      <c r="CZ427" s="1286"/>
      <c r="DA427" s="1286"/>
      <c r="DB427" s="1286"/>
      <c r="DC427" s="1286"/>
      <c r="DD427" s="1286"/>
      <c r="DE427" s="1286"/>
      <c r="DF427" s="1286"/>
      <c r="DG427" s="1286"/>
      <c r="DH427" s="1286"/>
      <c r="DI427" s="1286"/>
      <c r="DJ427" s="1286"/>
      <c r="DK427" s="1286"/>
      <c r="DL427" s="1286"/>
      <c r="DM427" s="1286"/>
      <c r="DN427" s="1286"/>
      <c r="DO427" s="1286"/>
      <c r="DP427" s="1286"/>
      <c r="DQ427" s="1286"/>
      <c r="DR427" s="1286"/>
      <c r="DS427" s="1286"/>
      <c r="DT427" s="1286"/>
      <c r="DU427" s="1286"/>
      <c r="DV427" s="1286"/>
      <c r="DW427" s="1286"/>
      <c r="DX427" s="1286"/>
      <c r="DY427" s="1286"/>
      <c r="DZ427" s="1286"/>
      <c r="EA427" s="1286"/>
      <c r="EB427" s="1206"/>
      <c r="EC427" s="1206"/>
      <c r="ED427" s="1206"/>
      <c r="EE427" s="1206"/>
      <c r="EF427" s="1206"/>
      <c r="EG427" s="1206"/>
      <c r="EH427" s="1206"/>
      <c r="EI427" s="1206"/>
      <c r="EJ427" s="1206"/>
      <c r="EK427" s="1206"/>
      <c r="EL427" s="1206"/>
      <c r="EM427" s="1313"/>
    </row>
    <row r="428" spans="2:143" s="1271" customFormat="1">
      <c r="B428" s="1263"/>
      <c r="C428" s="1264"/>
      <c r="D428" s="1265"/>
      <c r="E428" s="1265"/>
      <c r="F428" s="1285"/>
      <c r="G428" s="1264"/>
      <c r="H428" s="1264"/>
      <c r="I428" s="1285"/>
      <c r="J428" s="1285"/>
      <c r="K428" s="1285"/>
      <c r="L428" s="1285"/>
      <c r="M428" s="1285"/>
      <c r="N428" s="1285"/>
      <c r="O428" s="1285"/>
      <c r="P428" s="1285"/>
      <c r="Q428" s="1285"/>
      <c r="R428" s="1285"/>
      <c r="S428" s="1285"/>
      <c r="T428" s="1285"/>
      <c r="U428" s="1285"/>
      <c r="V428" s="1285"/>
      <c r="W428" s="1286"/>
      <c r="X428" s="1286"/>
      <c r="Y428" s="1286"/>
      <c r="Z428" s="1286"/>
      <c r="AA428" s="1286"/>
      <c r="AB428" s="1286"/>
      <c r="AC428" s="1286"/>
      <c r="AD428" s="1286"/>
      <c r="AE428" s="1286"/>
      <c r="AF428" s="1286"/>
      <c r="AG428" s="1286"/>
      <c r="AH428" s="1286"/>
      <c r="AI428" s="1286"/>
      <c r="AJ428" s="1286"/>
      <c r="AK428" s="1286"/>
      <c r="AL428" s="1286"/>
      <c r="AM428" s="1286"/>
      <c r="AN428" s="1286"/>
      <c r="AO428" s="1286"/>
      <c r="AP428" s="1286"/>
      <c r="AQ428" s="1286"/>
      <c r="AR428" s="1286"/>
      <c r="AS428" s="1286"/>
      <c r="AT428" s="1286"/>
      <c r="AU428" s="1286"/>
      <c r="AV428" s="1286"/>
      <c r="AW428" s="1286"/>
      <c r="AX428" s="1286"/>
      <c r="AY428" s="1286"/>
      <c r="AZ428" s="1286"/>
      <c r="BA428" s="1286"/>
      <c r="BB428" s="1286"/>
      <c r="BC428" s="1286"/>
      <c r="BD428" s="1286"/>
      <c r="BE428" s="1286"/>
      <c r="BF428" s="1286"/>
      <c r="BG428" s="1286"/>
      <c r="BH428" s="1286"/>
      <c r="BI428" s="1286"/>
      <c r="BJ428" s="1286"/>
      <c r="BK428" s="1286"/>
      <c r="BL428" s="1286"/>
      <c r="BM428" s="1286"/>
      <c r="BN428" s="1286"/>
      <c r="BO428" s="1286"/>
      <c r="BP428" s="1286"/>
      <c r="BQ428" s="1286"/>
      <c r="BR428" s="1286"/>
      <c r="BS428" s="1286"/>
      <c r="BT428" s="1286"/>
      <c r="BU428" s="1286"/>
      <c r="BV428" s="1286"/>
      <c r="BW428" s="1286"/>
      <c r="BX428" s="1286"/>
      <c r="BY428" s="1286"/>
      <c r="BZ428" s="1286"/>
      <c r="CA428" s="1286"/>
      <c r="CB428" s="1286"/>
      <c r="CC428" s="1286"/>
      <c r="CD428" s="1286"/>
      <c r="CE428" s="1286"/>
      <c r="CF428" s="1286"/>
      <c r="CG428" s="1286"/>
      <c r="CH428" s="1269"/>
      <c r="CI428" s="1286"/>
      <c r="CJ428" s="1286"/>
      <c r="CK428" s="1286"/>
      <c r="CL428" s="1286"/>
      <c r="CM428" s="1286"/>
      <c r="CN428" s="1286"/>
      <c r="CO428" s="1286"/>
      <c r="CP428" s="1286"/>
      <c r="CQ428" s="1286"/>
      <c r="CR428" s="1286"/>
      <c r="CS428" s="1286"/>
      <c r="CT428" s="1286"/>
      <c r="CU428" s="1286"/>
      <c r="CV428" s="1286"/>
      <c r="CW428" s="1286"/>
      <c r="CX428" s="1286"/>
      <c r="CY428" s="1286"/>
      <c r="CZ428" s="1286"/>
      <c r="DA428" s="1286"/>
      <c r="DB428" s="1286"/>
      <c r="DC428" s="1286"/>
      <c r="DD428" s="1286"/>
      <c r="DE428" s="1286"/>
      <c r="DF428" s="1286"/>
      <c r="DG428" s="1286"/>
      <c r="DH428" s="1286"/>
      <c r="DI428" s="1286"/>
      <c r="DJ428" s="1286"/>
      <c r="DK428" s="1286"/>
      <c r="DL428" s="1286"/>
      <c r="DM428" s="1286"/>
      <c r="DN428" s="1286"/>
      <c r="DO428" s="1286"/>
      <c r="DP428" s="1286"/>
      <c r="DQ428" s="1286"/>
      <c r="DR428" s="1286"/>
      <c r="DS428" s="1286"/>
      <c r="DT428" s="1286"/>
      <c r="DU428" s="1286"/>
      <c r="DV428" s="1286"/>
      <c r="DW428" s="1286"/>
      <c r="DX428" s="1286"/>
      <c r="DY428" s="1286"/>
      <c r="DZ428" s="1286"/>
      <c r="EA428" s="1286"/>
      <c r="EB428" s="1206"/>
      <c r="EC428" s="1206"/>
      <c r="ED428" s="1206"/>
      <c r="EE428" s="1206"/>
      <c r="EF428" s="1206"/>
      <c r="EG428" s="1206"/>
      <c r="EH428" s="1206"/>
      <c r="EI428" s="1206"/>
      <c r="EJ428" s="1206"/>
      <c r="EK428" s="1206"/>
      <c r="EL428" s="1206"/>
      <c r="EM428" s="1313"/>
    </row>
    <row r="429" spans="2:143" s="1271" customFormat="1">
      <c r="B429" s="1263"/>
      <c r="C429" s="1264"/>
      <c r="D429" s="1265"/>
      <c r="E429" s="1265"/>
      <c r="F429" s="1285"/>
      <c r="G429" s="1264"/>
      <c r="H429" s="1264"/>
      <c r="I429" s="1285"/>
      <c r="J429" s="1285"/>
      <c r="K429" s="1285"/>
      <c r="L429" s="1285"/>
      <c r="M429" s="1285"/>
      <c r="N429" s="1285"/>
      <c r="O429" s="1285"/>
      <c r="P429" s="1285"/>
      <c r="Q429" s="1285"/>
      <c r="R429" s="1285"/>
      <c r="S429" s="1285"/>
      <c r="T429" s="1285"/>
      <c r="U429" s="1285"/>
      <c r="V429" s="1285"/>
      <c r="W429" s="1286"/>
      <c r="X429" s="1286"/>
      <c r="Y429" s="1286"/>
      <c r="Z429" s="1286"/>
      <c r="AA429" s="1286"/>
      <c r="AB429" s="1286"/>
      <c r="AC429" s="1286"/>
      <c r="AD429" s="1286"/>
      <c r="AE429" s="1286"/>
      <c r="AF429" s="1286"/>
      <c r="AG429" s="1286"/>
      <c r="AH429" s="1286"/>
      <c r="AI429" s="1286"/>
      <c r="AJ429" s="1286"/>
      <c r="AK429" s="1286"/>
      <c r="AL429" s="1286"/>
      <c r="AM429" s="1286"/>
      <c r="AN429" s="1286"/>
      <c r="AO429" s="1286"/>
      <c r="AP429" s="1286"/>
      <c r="AQ429" s="1286"/>
      <c r="AR429" s="1286"/>
      <c r="AS429" s="1286"/>
      <c r="AT429" s="1286"/>
      <c r="AU429" s="1286"/>
      <c r="AV429" s="1286"/>
      <c r="AW429" s="1286"/>
      <c r="AX429" s="1286"/>
      <c r="AY429" s="1286"/>
      <c r="AZ429" s="1286"/>
      <c r="BA429" s="1286"/>
      <c r="BB429" s="1286"/>
      <c r="BC429" s="1286"/>
      <c r="BD429" s="1286"/>
      <c r="BE429" s="1286"/>
      <c r="BF429" s="1286"/>
      <c r="BG429" s="1286"/>
      <c r="BH429" s="1286"/>
      <c r="BI429" s="1286"/>
      <c r="BJ429" s="1286"/>
      <c r="BK429" s="1286"/>
      <c r="BL429" s="1286"/>
      <c r="BM429" s="1286"/>
      <c r="BN429" s="1286"/>
      <c r="BO429" s="1286"/>
      <c r="BP429" s="1286"/>
      <c r="BQ429" s="1286"/>
      <c r="BR429" s="1286"/>
      <c r="BS429" s="1286"/>
      <c r="BT429" s="1286"/>
      <c r="BU429" s="1286"/>
      <c r="BV429" s="1286"/>
      <c r="BW429" s="1286"/>
      <c r="BX429" s="1286"/>
      <c r="BY429" s="1286"/>
      <c r="BZ429" s="1286"/>
      <c r="CA429" s="1286"/>
      <c r="CB429" s="1286"/>
      <c r="CC429" s="1286"/>
      <c r="CD429" s="1286"/>
      <c r="CE429" s="1286"/>
      <c r="CF429" s="1286"/>
      <c r="CG429" s="1286"/>
      <c r="CH429" s="1269"/>
      <c r="CI429" s="1286"/>
      <c r="CJ429" s="1286"/>
      <c r="CK429" s="1286"/>
      <c r="CL429" s="1286"/>
      <c r="CM429" s="1286"/>
      <c r="CN429" s="1286"/>
      <c r="CO429" s="1286"/>
      <c r="CP429" s="1286"/>
      <c r="CQ429" s="1286"/>
      <c r="CR429" s="1286"/>
      <c r="CS429" s="1286"/>
      <c r="CT429" s="1286"/>
      <c r="CU429" s="1286"/>
      <c r="CV429" s="1286"/>
      <c r="CW429" s="1286"/>
      <c r="CX429" s="1286"/>
      <c r="CY429" s="1286"/>
      <c r="CZ429" s="1286"/>
      <c r="DA429" s="1286"/>
      <c r="DB429" s="1286"/>
      <c r="DC429" s="1286"/>
      <c r="DD429" s="1286"/>
      <c r="DE429" s="1286"/>
      <c r="DF429" s="1286"/>
      <c r="DG429" s="1286"/>
      <c r="DH429" s="1286"/>
      <c r="DI429" s="1286"/>
      <c r="DJ429" s="1286"/>
      <c r="DK429" s="1286"/>
      <c r="DL429" s="1286"/>
      <c r="DM429" s="1286"/>
      <c r="DN429" s="1286"/>
      <c r="DO429" s="1286"/>
      <c r="DP429" s="1286"/>
      <c r="DQ429" s="1286"/>
      <c r="DR429" s="1286"/>
      <c r="DS429" s="1286"/>
      <c r="DT429" s="1286"/>
      <c r="DU429" s="1286"/>
      <c r="DV429" s="1286"/>
      <c r="DW429" s="1286"/>
      <c r="DX429" s="1286"/>
      <c r="DY429" s="1286"/>
      <c r="DZ429" s="1286"/>
      <c r="EA429" s="1286"/>
      <c r="EB429" s="1206"/>
      <c r="EC429" s="1206"/>
      <c r="ED429" s="1206"/>
      <c r="EE429" s="1206"/>
      <c r="EF429" s="1206"/>
      <c r="EG429" s="1206"/>
      <c r="EH429" s="1206"/>
      <c r="EI429" s="1206"/>
      <c r="EJ429" s="1206"/>
      <c r="EK429" s="1206"/>
      <c r="EL429" s="1206"/>
      <c r="EM429" s="1313"/>
    </row>
    <row r="430" spans="2:143" s="1271" customFormat="1">
      <c r="B430" s="1263"/>
      <c r="C430" s="1264"/>
      <c r="D430" s="1265"/>
      <c r="E430" s="1265"/>
      <c r="F430" s="1285"/>
      <c r="G430" s="1264"/>
      <c r="H430" s="1264"/>
      <c r="I430" s="1285"/>
      <c r="J430" s="1285"/>
      <c r="K430" s="1285"/>
      <c r="L430" s="1285"/>
      <c r="M430" s="1285"/>
      <c r="N430" s="1285"/>
      <c r="O430" s="1285"/>
      <c r="P430" s="1285"/>
      <c r="Q430" s="1285"/>
      <c r="R430" s="1285"/>
      <c r="S430" s="1285"/>
      <c r="T430" s="1285"/>
      <c r="U430" s="1285"/>
      <c r="V430" s="1285"/>
      <c r="W430" s="1286"/>
      <c r="X430" s="1286"/>
      <c r="Y430" s="1286"/>
      <c r="Z430" s="1286"/>
      <c r="AA430" s="1286"/>
      <c r="AB430" s="1286"/>
      <c r="AC430" s="1286"/>
      <c r="AD430" s="1286"/>
      <c r="AE430" s="1286"/>
      <c r="AF430" s="1286"/>
      <c r="AG430" s="1286"/>
      <c r="AH430" s="1286"/>
      <c r="AI430" s="1286"/>
      <c r="AJ430" s="1286"/>
      <c r="AK430" s="1286"/>
      <c r="AL430" s="1286"/>
      <c r="AM430" s="1286"/>
      <c r="AN430" s="1286"/>
      <c r="AO430" s="1286"/>
      <c r="AP430" s="1286"/>
      <c r="AQ430" s="1286"/>
      <c r="AR430" s="1286"/>
      <c r="AS430" s="1286"/>
      <c r="AT430" s="1286"/>
      <c r="AU430" s="1286"/>
      <c r="AV430" s="1286"/>
      <c r="AW430" s="1286"/>
      <c r="AX430" s="1286"/>
      <c r="AY430" s="1286"/>
      <c r="AZ430" s="1286"/>
      <c r="BA430" s="1286"/>
      <c r="BB430" s="1286"/>
      <c r="BC430" s="1286"/>
      <c r="BD430" s="1286"/>
      <c r="BE430" s="1286"/>
      <c r="BF430" s="1286"/>
      <c r="BG430" s="1286"/>
      <c r="BH430" s="1286"/>
      <c r="BI430" s="1286"/>
      <c r="BJ430" s="1286"/>
      <c r="BK430" s="1286"/>
      <c r="BL430" s="1286"/>
      <c r="BM430" s="1286"/>
      <c r="BN430" s="1286"/>
      <c r="BO430" s="1286"/>
      <c r="BP430" s="1286"/>
      <c r="BQ430" s="1286"/>
      <c r="BR430" s="1286"/>
      <c r="BS430" s="1286"/>
      <c r="BT430" s="1286"/>
      <c r="BU430" s="1286"/>
      <c r="BV430" s="1286"/>
      <c r="BW430" s="1286"/>
      <c r="BX430" s="1286"/>
      <c r="BY430" s="1286"/>
      <c r="BZ430" s="1286"/>
      <c r="CA430" s="1286"/>
      <c r="CB430" s="1286"/>
      <c r="CC430" s="1286"/>
      <c r="CD430" s="1286"/>
      <c r="CE430" s="1286"/>
      <c r="CF430" s="1286"/>
      <c r="CG430" s="1286"/>
      <c r="CH430" s="1269"/>
      <c r="CI430" s="1286"/>
      <c r="CJ430" s="1286"/>
      <c r="CK430" s="1286"/>
      <c r="CL430" s="1286"/>
      <c r="CM430" s="1286"/>
      <c r="CN430" s="1286"/>
      <c r="CO430" s="1286"/>
      <c r="CP430" s="1286"/>
      <c r="CQ430" s="1286"/>
      <c r="CR430" s="1286"/>
      <c r="CS430" s="1286"/>
      <c r="CT430" s="1286"/>
      <c r="CU430" s="1286"/>
      <c r="CV430" s="1286"/>
      <c r="CW430" s="1286"/>
      <c r="CX430" s="1286"/>
      <c r="CY430" s="1286"/>
      <c r="CZ430" s="1286"/>
      <c r="DA430" s="1286"/>
      <c r="DB430" s="1286"/>
      <c r="DC430" s="1286"/>
      <c r="DD430" s="1286"/>
      <c r="DE430" s="1286"/>
      <c r="DF430" s="1286"/>
      <c r="DG430" s="1286"/>
      <c r="DH430" s="1286"/>
      <c r="DI430" s="1286"/>
      <c r="DJ430" s="1286"/>
      <c r="DK430" s="1286"/>
      <c r="DL430" s="1286"/>
      <c r="DM430" s="1286"/>
      <c r="DN430" s="1286"/>
      <c r="DO430" s="1286"/>
      <c r="DP430" s="1286"/>
      <c r="DQ430" s="1286"/>
      <c r="DR430" s="1286"/>
      <c r="DS430" s="1286"/>
      <c r="DT430" s="1286"/>
      <c r="DU430" s="1286"/>
      <c r="DV430" s="1286"/>
      <c r="DW430" s="1286"/>
      <c r="DX430" s="1286"/>
      <c r="DY430" s="1286"/>
      <c r="DZ430" s="1286"/>
      <c r="EA430" s="1286"/>
      <c r="EB430" s="1206"/>
      <c r="EC430" s="1206"/>
      <c r="ED430" s="1206"/>
      <c r="EE430" s="1206"/>
      <c r="EF430" s="1206"/>
      <c r="EG430" s="1206"/>
      <c r="EH430" s="1206"/>
      <c r="EI430" s="1206"/>
      <c r="EJ430" s="1206"/>
      <c r="EK430" s="1206"/>
      <c r="EL430" s="1206"/>
      <c r="EM430" s="1313"/>
    </row>
    <row r="431" spans="2:143" s="1271" customFormat="1">
      <c r="B431" s="1263"/>
      <c r="C431" s="1264"/>
      <c r="D431" s="1265"/>
      <c r="E431" s="1265"/>
      <c r="F431" s="1285"/>
      <c r="G431" s="1264"/>
      <c r="H431" s="1264"/>
      <c r="I431" s="1285"/>
      <c r="J431" s="1285"/>
      <c r="K431" s="1285"/>
      <c r="L431" s="1285"/>
      <c r="M431" s="1285"/>
      <c r="N431" s="1285"/>
      <c r="O431" s="1285"/>
      <c r="P431" s="1285"/>
      <c r="Q431" s="1285"/>
      <c r="R431" s="1285"/>
      <c r="S431" s="1285"/>
      <c r="T431" s="1285"/>
      <c r="U431" s="1285"/>
      <c r="V431" s="1285"/>
      <c r="W431" s="1286"/>
      <c r="X431" s="1286"/>
      <c r="Y431" s="1286"/>
      <c r="Z431" s="1286"/>
      <c r="AA431" s="1286"/>
      <c r="AB431" s="1286"/>
      <c r="AC431" s="1286"/>
      <c r="AD431" s="1286"/>
      <c r="AE431" s="1286"/>
      <c r="AF431" s="1286"/>
      <c r="AG431" s="1286"/>
      <c r="AH431" s="1286"/>
      <c r="AI431" s="1286"/>
      <c r="AJ431" s="1286"/>
      <c r="AK431" s="1286"/>
      <c r="AL431" s="1286"/>
      <c r="AM431" s="1286"/>
      <c r="AN431" s="1286"/>
      <c r="AO431" s="1286"/>
      <c r="AP431" s="1286"/>
      <c r="AQ431" s="1286"/>
      <c r="AR431" s="1286"/>
      <c r="AS431" s="1286"/>
      <c r="AT431" s="1286"/>
      <c r="AU431" s="1286"/>
      <c r="AV431" s="1286"/>
      <c r="AW431" s="1286"/>
      <c r="AX431" s="1286"/>
      <c r="AY431" s="1286"/>
      <c r="AZ431" s="1286"/>
      <c r="BA431" s="1286"/>
      <c r="BB431" s="1286"/>
      <c r="BC431" s="1286"/>
      <c r="BD431" s="1286"/>
      <c r="BE431" s="1286"/>
      <c r="BF431" s="1286"/>
      <c r="BG431" s="1286"/>
      <c r="BH431" s="1286"/>
      <c r="BI431" s="1286"/>
      <c r="BJ431" s="1286"/>
      <c r="BK431" s="1286"/>
      <c r="BL431" s="1286"/>
      <c r="BM431" s="1286"/>
      <c r="BN431" s="1286"/>
      <c r="BO431" s="1286"/>
      <c r="BP431" s="1286"/>
      <c r="BQ431" s="1286"/>
      <c r="BR431" s="1286"/>
      <c r="BS431" s="1286"/>
      <c r="BT431" s="1286"/>
      <c r="BU431" s="1286"/>
      <c r="BV431" s="1286"/>
      <c r="BW431" s="1286"/>
      <c r="BX431" s="1286"/>
      <c r="BY431" s="1286"/>
      <c r="BZ431" s="1286"/>
      <c r="CA431" s="1286"/>
      <c r="CB431" s="1286"/>
      <c r="CC431" s="1286"/>
      <c r="CD431" s="1286"/>
      <c r="CE431" s="1286"/>
      <c r="CF431" s="1286"/>
      <c r="CG431" s="1286"/>
      <c r="CH431" s="1269"/>
      <c r="CI431" s="1286"/>
      <c r="CJ431" s="1286"/>
      <c r="CK431" s="1286"/>
      <c r="CL431" s="1286"/>
      <c r="CM431" s="1286"/>
      <c r="CN431" s="1286"/>
      <c r="CO431" s="1286"/>
      <c r="CP431" s="1286"/>
      <c r="CQ431" s="1286"/>
      <c r="CR431" s="1286"/>
      <c r="CS431" s="1286"/>
      <c r="CT431" s="1286"/>
      <c r="CU431" s="1286"/>
      <c r="CV431" s="1286"/>
      <c r="CW431" s="1286"/>
      <c r="CX431" s="1286"/>
      <c r="CY431" s="1286"/>
      <c r="CZ431" s="1286"/>
      <c r="DA431" s="1286"/>
      <c r="DB431" s="1286"/>
      <c r="DC431" s="1286"/>
      <c r="DD431" s="1286"/>
      <c r="DE431" s="1286"/>
      <c r="DF431" s="1286"/>
      <c r="DG431" s="1286"/>
      <c r="DH431" s="1286"/>
      <c r="DI431" s="1286"/>
      <c r="DJ431" s="1286"/>
      <c r="DK431" s="1286"/>
      <c r="DL431" s="1286"/>
      <c r="DM431" s="1286"/>
      <c r="DN431" s="1286"/>
      <c r="DO431" s="1286"/>
      <c r="DP431" s="1286"/>
      <c r="DQ431" s="1286"/>
      <c r="DR431" s="1286"/>
      <c r="DS431" s="1286"/>
      <c r="DT431" s="1286"/>
      <c r="DU431" s="1286"/>
      <c r="DV431" s="1286"/>
      <c r="DW431" s="1286"/>
      <c r="DX431" s="1286"/>
      <c r="DY431" s="1286"/>
      <c r="DZ431" s="1286"/>
      <c r="EA431" s="1286"/>
      <c r="EB431" s="1206"/>
      <c r="EC431" s="1206"/>
      <c r="ED431" s="1206"/>
      <c r="EE431" s="1206"/>
      <c r="EF431" s="1206"/>
      <c r="EG431" s="1206"/>
      <c r="EH431" s="1206"/>
      <c r="EI431" s="1206"/>
      <c r="EJ431" s="1206"/>
      <c r="EK431" s="1206"/>
      <c r="EL431" s="1206"/>
      <c r="EM431" s="1313"/>
    </row>
    <row r="432" spans="2:143" s="1271" customFormat="1">
      <c r="B432" s="1263"/>
      <c r="C432" s="1264"/>
      <c r="D432" s="1265"/>
      <c r="E432" s="1265"/>
      <c r="F432" s="1285"/>
      <c r="G432" s="1264"/>
      <c r="H432" s="1264"/>
      <c r="I432" s="1285"/>
      <c r="J432" s="1285"/>
      <c r="K432" s="1285"/>
      <c r="L432" s="1285"/>
      <c r="M432" s="1285"/>
      <c r="N432" s="1285"/>
      <c r="O432" s="1285"/>
      <c r="P432" s="1285"/>
      <c r="Q432" s="1285"/>
      <c r="R432" s="1285"/>
      <c r="S432" s="1285"/>
      <c r="T432" s="1285"/>
      <c r="U432" s="1285"/>
      <c r="V432" s="1285"/>
      <c r="W432" s="1286"/>
      <c r="X432" s="1286"/>
      <c r="Y432" s="1286"/>
      <c r="Z432" s="1286"/>
      <c r="AA432" s="1286"/>
      <c r="AB432" s="1286"/>
      <c r="AC432" s="1286"/>
      <c r="AD432" s="1286"/>
      <c r="AE432" s="1286"/>
      <c r="AF432" s="1286"/>
      <c r="AG432" s="1286"/>
      <c r="AH432" s="1286"/>
      <c r="AI432" s="1286"/>
      <c r="AJ432" s="1286"/>
      <c r="AK432" s="1286"/>
      <c r="AL432" s="1286"/>
      <c r="AM432" s="1286"/>
      <c r="AN432" s="1286"/>
      <c r="AO432" s="1286"/>
      <c r="AP432" s="1286"/>
      <c r="AQ432" s="1286"/>
      <c r="AR432" s="1286"/>
      <c r="AS432" s="1286"/>
      <c r="AT432" s="1286"/>
      <c r="AU432" s="1286"/>
      <c r="AV432" s="1286"/>
      <c r="AW432" s="1286"/>
      <c r="AX432" s="1286"/>
      <c r="AY432" s="1286"/>
      <c r="AZ432" s="1286"/>
      <c r="BA432" s="1286"/>
      <c r="BB432" s="1286"/>
      <c r="BC432" s="1286"/>
      <c r="BD432" s="1286"/>
      <c r="BE432" s="1286"/>
      <c r="BF432" s="1286"/>
      <c r="BG432" s="1286"/>
      <c r="BH432" s="1286"/>
      <c r="BI432" s="1286"/>
      <c r="BJ432" s="1286"/>
      <c r="BK432" s="1286"/>
      <c r="BL432" s="1286"/>
      <c r="BM432" s="1286"/>
      <c r="BN432" s="1286"/>
      <c r="BO432" s="1286"/>
      <c r="BP432" s="1286"/>
      <c r="BQ432" s="1286"/>
      <c r="BR432" s="1286"/>
      <c r="BS432" s="1286"/>
      <c r="BT432" s="1286"/>
      <c r="BU432" s="1286"/>
      <c r="BV432" s="1286"/>
      <c r="BW432" s="1286"/>
      <c r="BX432" s="1286"/>
      <c r="BY432" s="1286"/>
      <c r="BZ432" s="1286"/>
      <c r="CA432" s="1286"/>
      <c r="CB432" s="1286"/>
      <c r="CC432" s="1286"/>
      <c r="CD432" s="1286"/>
      <c r="CE432" s="1286"/>
      <c r="CF432" s="1286"/>
      <c r="CG432" s="1286"/>
      <c r="CH432" s="1269"/>
      <c r="CI432" s="1286"/>
      <c r="CJ432" s="1286"/>
      <c r="CK432" s="1286"/>
      <c r="CL432" s="1286"/>
      <c r="CM432" s="1286"/>
      <c r="CN432" s="1286"/>
      <c r="CO432" s="1286"/>
      <c r="CP432" s="1286"/>
      <c r="CQ432" s="1286"/>
      <c r="CR432" s="1286"/>
      <c r="CS432" s="1286"/>
      <c r="CT432" s="1286"/>
      <c r="CU432" s="1286"/>
      <c r="CV432" s="1286"/>
      <c r="CW432" s="1286"/>
      <c r="CX432" s="1286"/>
      <c r="CY432" s="1286"/>
      <c r="CZ432" s="1286"/>
      <c r="DA432" s="1286"/>
      <c r="DB432" s="1286"/>
      <c r="DC432" s="1286"/>
      <c r="DD432" s="1286"/>
      <c r="DE432" s="1286"/>
      <c r="DF432" s="1286"/>
      <c r="DG432" s="1286"/>
      <c r="DH432" s="1286"/>
      <c r="DI432" s="1286"/>
      <c r="DJ432" s="1286"/>
      <c r="DK432" s="1286"/>
      <c r="DL432" s="1286"/>
      <c r="DM432" s="1286"/>
      <c r="DN432" s="1286"/>
      <c r="DO432" s="1286"/>
      <c r="DP432" s="1286"/>
      <c r="DQ432" s="1286"/>
      <c r="DR432" s="1286"/>
      <c r="DS432" s="1286"/>
      <c r="DT432" s="1286"/>
      <c r="DU432" s="1286"/>
      <c r="DV432" s="1286"/>
      <c r="DW432" s="1286"/>
      <c r="DX432" s="1286"/>
      <c r="DY432" s="1286"/>
      <c r="DZ432" s="1286"/>
      <c r="EA432" s="1286"/>
      <c r="EB432" s="1206"/>
      <c r="EC432" s="1206"/>
      <c r="ED432" s="1206"/>
      <c r="EE432" s="1206"/>
      <c r="EF432" s="1206"/>
      <c r="EG432" s="1206"/>
      <c r="EH432" s="1206"/>
      <c r="EI432" s="1206"/>
      <c r="EJ432" s="1206"/>
      <c r="EK432" s="1206"/>
      <c r="EL432" s="1206"/>
      <c r="EM432" s="1313"/>
    </row>
    <row r="433" spans="2:143" s="1271" customFormat="1">
      <c r="B433" s="1263"/>
      <c r="C433" s="1264"/>
      <c r="D433" s="1265"/>
      <c r="E433" s="1265"/>
      <c r="F433" s="1285"/>
      <c r="G433" s="1264"/>
      <c r="H433" s="1264"/>
      <c r="I433" s="1285"/>
      <c r="J433" s="1285"/>
      <c r="K433" s="1285"/>
      <c r="L433" s="1285"/>
      <c r="M433" s="1285"/>
      <c r="N433" s="1285"/>
      <c r="O433" s="1285"/>
      <c r="P433" s="1285"/>
      <c r="Q433" s="1285"/>
      <c r="R433" s="1285"/>
      <c r="S433" s="1285"/>
      <c r="T433" s="1285"/>
      <c r="U433" s="1285"/>
      <c r="V433" s="1285"/>
      <c r="W433" s="1286"/>
      <c r="X433" s="1286"/>
      <c r="Y433" s="1286"/>
      <c r="Z433" s="1286"/>
      <c r="AA433" s="1286"/>
      <c r="AB433" s="1286"/>
      <c r="AC433" s="1286"/>
      <c r="AD433" s="1286"/>
      <c r="AE433" s="1286"/>
      <c r="AF433" s="1286"/>
      <c r="AG433" s="1286"/>
      <c r="AH433" s="1286"/>
      <c r="AI433" s="1286"/>
      <c r="AJ433" s="1286"/>
      <c r="AK433" s="1286"/>
      <c r="AL433" s="1286"/>
      <c r="AM433" s="1286"/>
      <c r="AN433" s="1286"/>
      <c r="AO433" s="1286"/>
      <c r="AP433" s="1286"/>
      <c r="AQ433" s="1286"/>
      <c r="AR433" s="1286"/>
      <c r="AS433" s="1286"/>
      <c r="AT433" s="1286"/>
      <c r="AU433" s="1286"/>
      <c r="AV433" s="1286"/>
      <c r="AW433" s="1286"/>
      <c r="AX433" s="1286"/>
      <c r="AY433" s="1286"/>
      <c r="AZ433" s="1286"/>
      <c r="BA433" s="1286"/>
      <c r="BB433" s="1286"/>
      <c r="BC433" s="1286"/>
      <c r="BD433" s="1286"/>
      <c r="BE433" s="1286"/>
      <c r="BF433" s="1286"/>
      <c r="BG433" s="1286"/>
      <c r="BH433" s="1286"/>
      <c r="BI433" s="1286"/>
      <c r="BJ433" s="1286"/>
      <c r="BK433" s="1286"/>
      <c r="BL433" s="1286"/>
      <c r="BM433" s="1286"/>
      <c r="BN433" s="1286"/>
      <c r="BO433" s="1286"/>
      <c r="BP433" s="1286"/>
      <c r="BQ433" s="1286"/>
      <c r="BR433" s="1286"/>
      <c r="BS433" s="1286"/>
      <c r="BT433" s="1286"/>
      <c r="BU433" s="1286"/>
      <c r="BV433" s="1286"/>
      <c r="BW433" s="1286"/>
      <c r="BX433" s="1286"/>
      <c r="BY433" s="1286"/>
      <c r="BZ433" s="1286"/>
      <c r="CA433" s="1286"/>
      <c r="CB433" s="1286"/>
      <c r="CC433" s="1286"/>
      <c r="CD433" s="1286"/>
      <c r="CE433" s="1286"/>
      <c r="CF433" s="1286"/>
      <c r="CG433" s="1286"/>
      <c r="CH433" s="1269"/>
      <c r="CI433" s="1286"/>
      <c r="CJ433" s="1286"/>
      <c r="CK433" s="1286"/>
      <c r="CL433" s="1286"/>
      <c r="CM433" s="1286"/>
      <c r="CN433" s="1286"/>
      <c r="CO433" s="1286"/>
      <c r="CP433" s="1286"/>
      <c r="CQ433" s="1286"/>
      <c r="CR433" s="1286"/>
      <c r="CS433" s="1286"/>
      <c r="CT433" s="1286"/>
      <c r="CU433" s="1286"/>
      <c r="CV433" s="1286"/>
      <c r="CW433" s="1286"/>
      <c r="CX433" s="1286"/>
      <c r="CY433" s="1286"/>
      <c r="CZ433" s="1286"/>
      <c r="DA433" s="1286"/>
      <c r="DB433" s="1286"/>
      <c r="DC433" s="1286"/>
      <c r="DD433" s="1286"/>
      <c r="DE433" s="1286"/>
      <c r="DF433" s="1286"/>
      <c r="DG433" s="1286"/>
      <c r="DH433" s="1286"/>
      <c r="DI433" s="1286"/>
      <c r="DJ433" s="1286"/>
      <c r="DK433" s="1286"/>
      <c r="DL433" s="1286"/>
      <c r="DM433" s="1286"/>
      <c r="DN433" s="1286"/>
      <c r="DO433" s="1286"/>
      <c r="DP433" s="1286"/>
      <c r="DQ433" s="1286"/>
      <c r="DR433" s="1286"/>
      <c r="DS433" s="1286"/>
      <c r="DT433" s="1286"/>
      <c r="DU433" s="1286"/>
      <c r="DV433" s="1286"/>
      <c r="DW433" s="1286"/>
      <c r="DX433" s="1286"/>
      <c r="DY433" s="1286"/>
      <c r="DZ433" s="1286"/>
      <c r="EA433" s="1286"/>
      <c r="EB433" s="1206"/>
      <c r="EC433" s="1206"/>
      <c r="ED433" s="1206"/>
      <c r="EE433" s="1206"/>
      <c r="EF433" s="1206"/>
      <c r="EG433" s="1206"/>
      <c r="EH433" s="1206"/>
      <c r="EI433" s="1206"/>
      <c r="EJ433" s="1206"/>
      <c r="EK433" s="1206"/>
      <c r="EL433" s="1206"/>
      <c r="EM433" s="1313"/>
    </row>
    <row r="434" spans="2:143" s="1271" customFormat="1">
      <c r="B434" s="1263"/>
      <c r="C434" s="1264"/>
      <c r="D434" s="1265"/>
      <c r="E434" s="1265"/>
      <c r="F434" s="1285"/>
      <c r="G434" s="1264"/>
      <c r="H434" s="1264"/>
      <c r="I434" s="1285"/>
      <c r="J434" s="1285"/>
      <c r="K434" s="1285"/>
      <c r="L434" s="1285"/>
      <c r="M434" s="1285"/>
      <c r="N434" s="1285"/>
      <c r="O434" s="1285"/>
      <c r="P434" s="1285"/>
      <c r="Q434" s="1285"/>
      <c r="R434" s="1285"/>
      <c r="S434" s="1285"/>
      <c r="T434" s="1285"/>
      <c r="U434" s="1285"/>
      <c r="V434" s="1285"/>
      <c r="W434" s="1286"/>
      <c r="X434" s="1286"/>
      <c r="Y434" s="1286"/>
      <c r="Z434" s="1286"/>
      <c r="AA434" s="1286"/>
      <c r="AB434" s="1286"/>
      <c r="AC434" s="1286"/>
      <c r="AD434" s="1286"/>
      <c r="AE434" s="1286"/>
      <c r="AF434" s="1286"/>
      <c r="AG434" s="1286"/>
      <c r="AH434" s="1286"/>
      <c r="AI434" s="1286"/>
      <c r="AJ434" s="1286"/>
      <c r="AK434" s="1286"/>
      <c r="AL434" s="1286"/>
      <c r="AM434" s="1286"/>
      <c r="AN434" s="1286"/>
      <c r="AO434" s="1286"/>
      <c r="AP434" s="1286"/>
      <c r="AQ434" s="1286"/>
      <c r="AR434" s="1286"/>
      <c r="AS434" s="1286"/>
      <c r="AT434" s="1286"/>
      <c r="AU434" s="1286"/>
      <c r="AV434" s="1286"/>
      <c r="AW434" s="1286"/>
      <c r="AX434" s="1286"/>
      <c r="AY434" s="1286"/>
      <c r="AZ434" s="1286"/>
      <c r="BA434" s="1286"/>
      <c r="BB434" s="1286"/>
      <c r="BC434" s="1286"/>
      <c r="BD434" s="1286"/>
      <c r="BE434" s="1286"/>
      <c r="BF434" s="1286"/>
      <c r="BG434" s="1286"/>
      <c r="BH434" s="1286"/>
      <c r="BI434" s="1286"/>
      <c r="BJ434" s="1286"/>
      <c r="BK434" s="1286"/>
      <c r="BL434" s="1286"/>
      <c r="BM434" s="1286"/>
      <c r="BN434" s="1286"/>
      <c r="BO434" s="1286"/>
      <c r="BP434" s="1286"/>
      <c r="BQ434" s="1286"/>
      <c r="BR434" s="1286"/>
      <c r="BS434" s="1286"/>
      <c r="BT434" s="1286"/>
      <c r="BU434" s="1286"/>
      <c r="BV434" s="1286"/>
      <c r="BW434" s="1286"/>
      <c r="BX434" s="1286"/>
      <c r="BY434" s="1286"/>
      <c r="BZ434" s="1286"/>
      <c r="CA434" s="1286"/>
      <c r="CB434" s="1286"/>
      <c r="CC434" s="1286"/>
      <c r="CD434" s="1286"/>
      <c r="CE434" s="1286"/>
      <c r="CF434" s="1286"/>
      <c r="CG434" s="1286"/>
      <c r="CH434" s="1269"/>
      <c r="CI434" s="1286"/>
      <c r="CJ434" s="1286"/>
      <c r="CK434" s="1286"/>
      <c r="CL434" s="1286"/>
      <c r="CM434" s="1286"/>
      <c r="CN434" s="1286"/>
      <c r="CO434" s="1286"/>
      <c r="CP434" s="1286"/>
      <c r="CQ434" s="1286"/>
      <c r="CR434" s="1286"/>
      <c r="CS434" s="1286"/>
      <c r="CT434" s="1286"/>
      <c r="CU434" s="1286"/>
      <c r="CV434" s="1286"/>
      <c r="CW434" s="1286"/>
      <c r="CX434" s="1286"/>
      <c r="CY434" s="1286"/>
      <c r="CZ434" s="1286"/>
      <c r="DA434" s="1286"/>
      <c r="DB434" s="1286"/>
      <c r="DC434" s="1286"/>
      <c r="DD434" s="1286"/>
      <c r="DE434" s="1286"/>
      <c r="DF434" s="1286"/>
      <c r="DG434" s="1286"/>
      <c r="DH434" s="1286"/>
      <c r="DI434" s="1286"/>
      <c r="DJ434" s="1286"/>
      <c r="DK434" s="1286"/>
      <c r="DL434" s="1286"/>
      <c r="DM434" s="1286"/>
      <c r="DN434" s="1286"/>
      <c r="DO434" s="1286"/>
      <c r="DP434" s="1286"/>
      <c r="DQ434" s="1286"/>
      <c r="DR434" s="1286"/>
      <c r="DS434" s="1286"/>
      <c r="DT434" s="1286"/>
      <c r="DU434" s="1286"/>
      <c r="DV434" s="1286"/>
      <c r="DW434" s="1286"/>
      <c r="DX434" s="1286"/>
      <c r="DY434" s="1286"/>
      <c r="DZ434" s="1286"/>
      <c r="EA434" s="1286"/>
      <c r="EB434" s="1206"/>
      <c r="EC434" s="1206"/>
      <c r="ED434" s="1206"/>
      <c r="EE434" s="1206"/>
      <c r="EF434" s="1206"/>
      <c r="EG434" s="1206"/>
      <c r="EH434" s="1206"/>
      <c r="EI434" s="1206"/>
      <c r="EJ434" s="1206"/>
      <c r="EK434" s="1206"/>
      <c r="EL434" s="1206"/>
      <c r="EM434" s="1313"/>
    </row>
    <row r="435" spans="2:143" s="1271" customFormat="1">
      <c r="B435" s="1263"/>
      <c r="C435" s="1264"/>
      <c r="D435" s="1265"/>
      <c r="E435" s="1265"/>
      <c r="F435" s="1285"/>
      <c r="G435" s="1264"/>
      <c r="H435" s="1264"/>
      <c r="I435" s="1285"/>
      <c r="J435" s="1285"/>
      <c r="K435" s="1285"/>
      <c r="L435" s="1285"/>
      <c r="M435" s="1285"/>
      <c r="N435" s="1285"/>
      <c r="O435" s="1285"/>
      <c r="P435" s="1285"/>
      <c r="Q435" s="1285"/>
      <c r="R435" s="1285"/>
      <c r="S435" s="1285"/>
      <c r="T435" s="1285"/>
      <c r="U435" s="1285"/>
      <c r="V435" s="1285"/>
      <c r="W435" s="1286"/>
      <c r="X435" s="1286"/>
      <c r="Y435" s="1286"/>
      <c r="Z435" s="1286"/>
      <c r="AA435" s="1286"/>
      <c r="AB435" s="1286"/>
      <c r="AC435" s="1286"/>
      <c r="AD435" s="1286"/>
      <c r="AE435" s="1286"/>
      <c r="AF435" s="1286"/>
      <c r="AG435" s="1286"/>
      <c r="AH435" s="1286"/>
      <c r="AI435" s="1286"/>
      <c r="AJ435" s="1286"/>
      <c r="AK435" s="1286"/>
      <c r="AL435" s="1286"/>
      <c r="AM435" s="1286"/>
      <c r="AN435" s="1286"/>
      <c r="AO435" s="1286"/>
      <c r="AP435" s="1286"/>
      <c r="AQ435" s="1286"/>
      <c r="AR435" s="1286"/>
      <c r="AS435" s="1286"/>
      <c r="AT435" s="1286"/>
      <c r="AU435" s="1286"/>
      <c r="AV435" s="1286"/>
      <c r="AW435" s="1286"/>
      <c r="AX435" s="1286"/>
      <c r="AY435" s="1286"/>
      <c r="AZ435" s="1286"/>
      <c r="BA435" s="1286"/>
      <c r="BB435" s="1286"/>
      <c r="BC435" s="1286"/>
      <c r="BD435" s="1286"/>
      <c r="BE435" s="1286"/>
      <c r="BF435" s="1286"/>
      <c r="BG435" s="1286"/>
      <c r="BH435" s="1286"/>
      <c r="BI435" s="1286"/>
      <c r="BJ435" s="1286"/>
      <c r="BK435" s="1286"/>
      <c r="BL435" s="1286"/>
      <c r="BM435" s="1286"/>
      <c r="BN435" s="1286"/>
      <c r="BO435" s="1286"/>
      <c r="BP435" s="1286"/>
      <c r="BQ435" s="1286"/>
      <c r="BR435" s="1286"/>
      <c r="BS435" s="1286"/>
      <c r="BT435" s="1286"/>
      <c r="BU435" s="1286"/>
      <c r="BV435" s="1286"/>
      <c r="BW435" s="1286"/>
      <c r="BX435" s="1286"/>
      <c r="BY435" s="1286"/>
      <c r="BZ435" s="1286"/>
      <c r="CA435" s="1286"/>
      <c r="CB435" s="1286"/>
      <c r="CC435" s="1286"/>
      <c r="CD435" s="1286"/>
      <c r="CE435" s="1286"/>
      <c r="CF435" s="1286"/>
      <c r="CG435" s="1286"/>
      <c r="CH435" s="1269"/>
      <c r="CI435" s="1286"/>
      <c r="CJ435" s="1286"/>
      <c r="CK435" s="1286"/>
      <c r="CL435" s="1286"/>
      <c r="CM435" s="1286"/>
      <c r="CN435" s="1286"/>
      <c r="CO435" s="1286"/>
      <c r="CP435" s="1286"/>
      <c r="CQ435" s="1286"/>
      <c r="CR435" s="1286"/>
      <c r="CS435" s="1286"/>
      <c r="CT435" s="1286"/>
      <c r="CU435" s="1286"/>
      <c r="CV435" s="1286"/>
      <c r="CW435" s="1286"/>
      <c r="CX435" s="1286"/>
      <c r="CY435" s="1286"/>
      <c r="CZ435" s="1286"/>
      <c r="DA435" s="1286"/>
      <c r="DB435" s="1286"/>
      <c r="DC435" s="1286"/>
      <c r="DD435" s="1286"/>
      <c r="DE435" s="1286"/>
      <c r="DF435" s="1286"/>
      <c r="DG435" s="1286"/>
      <c r="DH435" s="1286"/>
      <c r="DI435" s="1286"/>
      <c r="DJ435" s="1286"/>
      <c r="DK435" s="1286"/>
      <c r="DL435" s="1286"/>
      <c r="DM435" s="1286"/>
      <c r="DN435" s="1286"/>
      <c r="DO435" s="1286"/>
      <c r="DP435" s="1286"/>
      <c r="DQ435" s="1286"/>
      <c r="DR435" s="1286"/>
      <c r="DS435" s="1286"/>
      <c r="DT435" s="1286"/>
      <c r="DU435" s="1286"/>
      <c r="DV435" s="1286"/>
      <c r="DW435" s="1286"/>
      <c r="DX435" s="1286"/>
      <c r="DY435" s="1286"/>
      <c r="DZ435" s="1286"/>
      <c r="EA435" s="1286"/>
      <c r="EB435" s="1206"/>
      <c r="EC435" s="1206"/>
      <c r="ED435" s="1206"/>
      <c r="EE435" s="1206"/>
      <c r="EF435" s="1206"/>
      <c r="EG435" s="1206"/>
      <c r="EH435" s="1206"/>
      <c r="EI435" s="1206"/>
      <c r="EJ435" s="1206"/>
      <c r="EK435" s="1206"/>
      <c r="EL435" s="1206"/>
      <c r="EM435" s="1313"/>
    </row>
    <row r="436" spans="2:143" s="1271" customFormat="1">
      <c r="B436" s="1263"/>
      <c r="C436" s="1264"/>
      <c r="D436" s="1265"/>
      <c r="E436" s="1265"/>
      <c r="F436" s="1285"/>
      <c r="G436" s="1264"/>
      <c r="H436" s="1264"/>
      <c r="I436" s="1285"/>
      <c r="J436" s="1285"/>
      <c r="K436" s="1285"/>
      <c r="L436" s="1285"/>
      <c r="M436" s="1285"/>
      <c r="N436" s="1285"/>
      <c r="O436" s="1285"/>
      <c r="P436" s="1285"/>
      <c r="Q436" s="1285"/>
      <c r="R436" s="1285"/>
      <c r="S436" s="1285"/>
      <c r="T436" s="1285"/>
      <c r="U436" s="1285"/>
      <c r="V436" s="1285"/>
      <c r="W436" s="1286"/>
      <c r="X436" s="1286"/>
      <c r="Y436" s="1286"/>
      <c r="Z436" s="1286"/>
      <c r="AA436" s="1286"/>
      <c r="AB436" s="1286"/>
      <c r="AC436" s="1286"/>
      <c r="AD436" s="1286"/>
      <c r="AE436" s="1286"/>
      <c r="AF436" s="1286"/>
      <c r="AG436" s="1286"/>
      <c r="AH436" s="1286"/>
      <c r="AI436" s="1286"/>
      <c r="AJ436" s="1286"/>
      <c r="AK436" s="1286"/>
      <c r="AL436" s="1286"/>
      <c r="AM436" s="1286"/>
      <c r="AN436" s="1286"/>
      <c r="AO436" s="1286"/>
      <c r="AP436" s="1286"/>
      <c r="AQ436" s="1286"/>
      <c r="AR436" s="1286"/>
      <c r="AS436" s="1286"/>
      <c r="AT436" s="1286"/>
      <c r="AU436" s="1286"/>
      <c r="AV436" s="1286"/>
      <c r="AW436" s="1286"/>
      <c r="AX436" s="1286"/>
      <c r="AY436" s="1286"/>
      <c r="AZ436" s="1286"/>
      <c r="BA436" s="1286"/>
      <c r="BB436" s="1286"/>
      <c r="BC436" s="1286"/>
      <c r="BD436" s="1286"/>
      <c r="BE436" s="1286"/>
      <c r="BF436" s="1286"/>
      <c r="BG436" s="1286"/>
      <c r="BH436" s="1286"/>
      <c r="BI436" s="1286"/>
      <c r="BJ436" s="1286"/>
      <c r="BK436" s="1286"/>
      <c r="BL436" s="1286"/>
      <c r="BM436" s="1286"/>
      <c r="BN436" s="1286"/>
      <c r="BO436" s="1286"/>
      <c r="BP436" s="1286"/>
      <c r="BQ436" s="1286"/>
      <c r="BR436" s="1286"/>
      <c r="BS436" s="1286"/>
      <c r="BT436" s="1286"/>
      <c r="BU436" s="1286"/>
      <c r="BV436" s="1286"/>
      <c r="BW436" s="1286"/>
      <c r="BX436" s="1286"/>
      <c r="BY436" s="1286"/>
      <c r="BZ436" s="1286"/>
      <c r="CA436" s="1286"/>
      <c r="CB436" s="1286"/>
      <c r="CC436" s="1286"/>
      <c r="CD436" s="1286"/>
      <c r="CE436" s="1286"/>
      <c r="CF436" s="1286"/>
      <c r="CG436" s="1286"/>
      <c r="CH436" s="1269"/>
      <c r="CI436" s="1286"/>
      <c r="CJ436" s="1286"/>
      <c r="CK436" s="1286"/>
      <c r="CL436" s="1286"/>
      <c r="CM436" s="1286"/>
      <c r="CN436" s="1286"/>
      <c r="CO436" s="1286"/>
      <c r="CP436" s="1286"/>
      <c r="CQ436" s="1286"/>
      <c r="CR436" s="1286"/>
      <c r="CS436" s="1286"/>
      <c r="CT436" s="1286"/>
      <c r="CU436" s="1286"/>
      <c r="CV436" s="1286"/>
      <c r="CW436" s="1286"/>
      <c r="CX436" s="1286"/>
      <c r="CY436" s="1286"/>
      <c r="CZ436" s="1286"/>
      <c r="DA436" s="1286"/>
      <c r="DB436" s="1286"/>
      <c r="DC436" s="1286"/>
      <c r="DD436" s="1286"/>
      <c r="DE436" s="1286"/>
      <c r="DF436" s="1286"/>
      <c r="DG436" s="1286"/>
      <c r="DH436" s="1286"/>
      <c r="DI436" s="1286"/>
      <c r="DJ436" s="1286"/>
      <c r="DK436" s="1286"/>
      <c r="DL436" s="1286"/>
      <c r="DM436" s="1286"/>
      <c r="DN436" s="1286"/>
      <c r="DO436" s="1286"/>
      <c r="DP436" s="1286"/>
      <c r="DQ436" s="1286"/>
      <c r="DR436" s="1286"/>
      <c r="DS436" s="1286"/>
      <c r="DT436" s="1286"/>
      <c r="DU436" s="1286"/>
      <c r="DV436" s="1286"/>
      <c r="DW436" s="1286"/>
      <c r="DX436" s="1286"/>
      <c r="DY436" s="1286"/>
      <c r="DZ436" s="1286"/>
      <c r="EA436" s="1286"/>
      <c r="EB436" s="1206"/>
      <c r="EC436" s="1206"/>
      <c r="ED436" s="1206"/>
      <c r="EE436" s="1206"/>
      <c r="EF436" s="1206"/>
      <c r="EG436" s="1206"/>
      <c r="EH436" s="1206"/>
      <c r="EI436" s="1206"/>
      <c r="EJ436" s="1206"/>
      <c r="EK436" s="1206"/>
      <c r="EL436" s="1206"/>
      <c r="EM436" s="1313"/>
    </row>
    <row r="437" spans="2:143" s="1271" customFormat="1">
      <c r="B437" s="1263"/>
      <c r="C437" s="1264"/>
      <c r="D437" s="1265"/>
      <c r="E437" s="1265"/>
      <c r="F437" s="1285"/>
      <c r="G437" s="1264"/>
      <c r="H437" s="1264"/>
      <c r="I437" s="1285"/>
      <c r="J437" s="1285"/>
      <c r="K437" s="1285"/>
      <c r="L437" s="1285"/>
      <c r="M437" s="1285"/>
      <c r="N437" s="1285"/>
      <c r="O437" s="1285"/>
      <c r="P437" s="1285"/>
      <c r="Q437" s="1285"/>
      <c r="R437" s="1285"/>
      <c r="S437" s="1285"/>
      <c r="T437" s="1285"/>
      <c r="U437" s="1285"/>
      <c r="V437" s="1285"/>
      <c r="W437" s="1286"/>
      <c r="X437" s="1286"/>
      <c r="Y437" s="1286"/>
      <c r="Z437" s="1286"/>
      <c r="AA437" s="1286"/>
      <c r="AB437" s="1286"/>
      <c r="AC437" s="1286"/>
      <c r="AD437" s="1286"/>
      <c r="AE437" s="1286"/>
      <c r="AF437" s="1286"/>
      <c r="AG437" s="1286"/>
      <c r="AH437" s="1286"/>
      <c r="AI437" s="1286"/>
      <c r="AJ437" s="1286"/>
      <c r="AK437" s="1286"/>
      <c r="AL437" s="1286"/>
      <c r="AM437" s="1286"/>
      <c r="AN437" s="1286"/>
      <c r="AO437" s="1286"/>
      <c r="AP437" s="1286"/>
      <c r="AQ437" s="1286"/>
      <c r="AR437" s="1286"/>
      <c r="AS437" s="1286"/>
      <c r="AT437" s="1286"/>
      <c r="AU437" s="1286"/>
      <c r="AV437" s="1286"/>
      <c r="AW437" s="1286"/>
      <c r="AX437" s="1286"/>
      <c r="AY437" s="1286"/>
      <c r="AZ437" s="1286"/>
      <c r="BA437" s="1286"/>
      <c r="BB437" s="1286"/>
      <c r="BC437" s="1286"/>
      <c r="BD437" s="1286"/>
      <c r="BE437" s="1286"/>
      <c r="BF437" s="1286"/>
      <c r="BG437" s="1286"/>
      <c r="BH437" s="1286"/>
      <c r="BI437" s="1286"/>
      <c r="BJ437" s="1286"/>
      <c r="BK437" s="1286"/>
      <c r="BL437" s="1286"/>
      <c r="BM437" s="1286"/>
      <c r="BN437" s="1286"/>
      <c r="BO437" s="1286"/>
      <c r="BP437" s="1286"/>
      <c r="BQ437" s="1286"/>
      <c r="BR437" s="1286"/>
      <c r="BS437" s="1286"/>
      <c r="BT437" s="1286"/>
      <c r="BU437" s="1286"/>
      <c r="BV437" s="1286"/>
      <c r="BW437" s="1286"/>
      <c r="BX437" s="1286"/>
      <c r="BY437" s="1286"/>
      <c r="BZ437" s="1286"/>
      <c r="CA437" s="1286"/>
      <c r="CB437" s="1286"/>
      <c r="CC437" s="1286"/>
      <c r="CD437" s="1286"/>
      <c r="CE437" s="1286"/>
      <c r="CF437" s="1286"/>
      <c r="CG437" s="1286"/>
      <c r="CH437" s="1269"/>
      <c r="CI437" s="1286"/>
      <c r="CJ437" s="1286"/>
      <c r="CK437" s="1286"/>
      <c r="CL437" s="1286"/>
      <c r="CM437" s="1286"/>
      <c r="CN437" s="1286"/>
      <c r="CO437" s="1286"/>
      <c r="CP437" s="1286"/>
      <c r="CQ437" s="1286"/>
      <c r="CR437" s="1286"/>
      <c r="CS437" s="1286"/>
      <c r="CT437" s="1286"/>
      <c r="CU437" s="1286"/>
      <c r="CV437" s="1286"/>
      <c r="CW437" s="1286"/>
      <c r="CX437" s="1286"/>
      <c r="CY437" s="1286"/>
      <c r="CZ437" s="1286"/>
      <c r="DA437" s="1286"/>
      <c r="DB437" s="1286"/>
      <c r="DC437" s="1286"/>
      <c r="DD437" s="1286"/>
      <c r="DE437" s="1286"/>
      <c r="DF437" s="1286"/>
      <c r="DG437" s="1286"/>
      <c r="DH437" s="1286"/>
      <c r="DI437" s="1286"/>
      <c r="DJ437" s="1286"/>
      <c r="DK437" s="1286"/>
      <c r="DL437" s="1286"/>
      <c r="DM437" s="1286"/>
      <c r="DN437" s="1286"/>
      <c r="DO437" s="1286"/>
      <c r="DP437" s="1286"/>
      <c r="DQ437" s="1286"/>
      <c r="DR437" s="1286"/>
      <c r="DS437" s="1286"/>
      <c r="DT437" s="1286"/>
      <c r="DU437" s="1286"/>
      <c r="DV437" s="1286"/>
      <c r="DW437" s="1286"/>
      <c r="DX437" s="1286"/>
      <c r="DY437" s="1286"/>
      <c r="DZ437" s="1286"/>
      <c r="EA437" s="1286"/>
      <c r="EB437" s="1206"/>
      <c r="EC437" s="1206"/>
      <c r="ED437" s="1206"/>
      <c r="EE437" s="1206"/>
      <c r="EF437" s="1206"/>
      <c r="EG437" s="1206"/>
      <c r="EH437" s="1206"/>
      <c r="EI437" s="1206"/>
      <c r="EJ437" s="1206"/>
      <c r="EK437" s="1206"/>
      <c r="EL437" s="1206"/>
      <c r="EM437" s="1313"/>
    </row>
    <row r="438" spans="2:143" s="1271" customFormat="1">
      <c r="B438" s="1263"/>
      <c r="C438" s="1264"/>
      <c r="D438" s="1265"/>
      <c r="E438" s="1265"/>
      <c r="F438" s="1285"/>
      <c r="G438" s="1264"/>
      <c r="H438" s="1264"/>
      <c r="I438" s="1285"/>
      <c r="J438" s="1285"/>
      <c r="K438" s="1285"/>
      <c r="L438" s="1285"/>
      <c r="M438" s="1285"/>
      <c r="N438" s="1285"/>
      <c r="O438" s="1285"/>
      <c r="P438" s="1285"/>
      <c r="Q438" s="1285"/>
      <c r="R438" s="1285"/>
      <c r="S438" s="1285"/>
      <c r="T438" s="1285"/>
      <c r="U438" s="1285"/>
      <c r="V438" s="1285"/>
      <c r="W438" s="1286"/>
      <c r="X438" s="1286"/>
      <c r="Y438" s="1286"/>
      <c r="Z438" s="1286"/>
      <c r="AA438" s="1286"/>
      <c r="AB438" s="1286"/>
      <c r="AC438" s="1286"/>
      <c r="AD438" s="1286"/>
      <c r="AE438" s="1286"/>
      <c r="AF438" s="1286"/>
      <c r="AG438" s="1286"/>
      <c r="AH438" s="1286"/>
      <c r="AI438" s="1286"/>
      <c r="AJ438" s="1286"/>
      <c r="AK438" s="1286"/>
      <c r="AL438" s="1286"/>
      <c r="AM438" s="1286"/>
      <c r="AN438" s="1286"/>
      <c r="AO438" s="1286"/>
      <c r="AP438" s="1286"/>
      <c r="AQ438" s="1286"/>
      <c r="AR438" s="1286"/>
      <c r="AS438" s="1286"/>
      <c r="AT438" s="1286"/>
      <c r="AU438" s="1286"/>
      <c r="AV438" s="1286"/>
      <c r="AW438" s="1286"/>
      <c r="AX438" s="1286"/>
      <c r="AY438" s="1286"/>
      <c r="AZ438" s="1286"/>
      <c r="BA438" s="1286"/>
      <c r="BB438" s="1286"/>
      <c r="BC438" s="1286"/>
      <c r="BD438" s="1286"/>
      <c r="BE438" s="1286"/>
      <c r="BF438" s="1286"/>
      <c r="BG438" s="1286"/>
      <c r="BH438" s="1286"/>
      <c r="BI438" s="1286"/>
      <c r="BJ438" s="1286"/>
      <c r="BK438" s="1286"/>
      <c r="BL438" s="1286"/>
      <c r="BM438" s="1286"/>
      <c r="BN438" s="1286"/>
      <c r="BO438" s="1286"/>
      <c r="BP438" s="1286"/>
      <c r="BQ438" s="1286"/>
      <c r="BR438" s="1286"/>
      <c r="BS438" s="1286"/>
      <c r="BT438" s="1286"/>
      <c r="BU438" s="1286"/>
      <c r="BV438" s="1286"/>
      <c r="BW438" s="1286"/>
      <c r="BX438" s="1286"/>
      <c r="BY438" s="1286"/>
      <c r="BZ438" s="1286"/>
      <c r="CA438" s="1286"/>
      <c r="CB438" s="1286"/>
      <c r="CC438" s="1286"/>
      <c r="CD438" s="1286"/>
      <c r="CE438" s="1286"/>
      <c r="CF438" s="1286"/>
      <c r="CG438" s="1286"/>
      <c r="CH438" s="1269"/>
      <c r="CI438" s="1286"/>
      <c r="CJ438" s="1286"/>
      <c r="CK438" s="1286"/>
      <c r="CL438" s="1286"/>
      <c r="CM438" s="1286"/>
      <c r="CN438" s="1286"/>
      <c r="CO438" s="1286"/>
      <c r="CP438" s="1286"/>
      <c r="CQ438" s="1286"/>
      <c r="CR438" s="1286"/>
      <c r="CS438" s="1286"/>
      <c r="CT438" s="1286"/>
      <c r="CU438" s="1286"/>
      <c r="CV438" s="1286"/>
      <c r="CW438" s="1286"/>
      <c r="CX438" s="1286"/>
      <c r="CY438" s="1286"/>
      <c r="CZ438" s="1286"/>
      <c r="DA438" s="1286"/>
      <c r="DB438" s="1286"/>
      <c r="DC438" s="1286"/>
      <c r="DD438" s="1286"/>
      <c r="DE438" s="1286"/>
      <c r="DF438" s="1286"/>
      <c r="DG438" s="1286"/>
      <c r="DH438" s="1286"/>
      <c r="DI438" s="1286"/>
      <c r="DJ438" s="1286"/>
      <c r="DK438" s="1286"/>
      <c r="DL438" s="1286"/>
      <c r="DM438" s="1286"/>
      <c r="DN438" s="1286"/>
      <c r="DO438" s="1286"/>
      <c r="DP438" s="1286"/>
      <c r="DQ438" s="1286"/>
      <c r="DR438" s="1286"/>
      <c r="DS438" s="1286"/>
      <c r="DT438" s="1286"/>
      <c r="DU438" s="1286"/>
      <c r="DV438" s="1286"/>
      <c r="DW438" s="1286"/>
      <c r="DX438" s="1286"/>
      <c r="DY438" s="1286"/>
      <c r="DZ438" s="1286"/>
      <c r="EA438" s="1286"/>
      <c r="EB438" s="1206"/>
      <c r="EC438" s="1206"/>
      <c r="ED438" s="1206"/>
      <c r="EE438" s="1206"/>
      <c r="EF438" s="1206"/>
      <c r="EG438" s="1206"/>
      <c r="EH438" s="1206"/>
      <c r="EI438" s="1206"/>
      <c r="EJ438" s="1206"/>
      <c r="EK438" s="1206"/>
      <c r="EL438" s="1206"/>
      <c r="EM438" s="1313"/>
    </row>
    <row r="439" spans="2:143" s="1271" customFormat="1">
      <c r="B439" s="1263"/>
      <c r="C439" s="1264"/>
      <c r="D439" s="1265"/>
      <c r="E439" s="1265"/>
      <c r="F439" s="1285"/>
      <c r="G439" s="1264"/>
      <c r="H439" s="1264"/>
      <c r="I439" s="1285"/>
      <c r="J439" s="1285"/>
      <c r="K439" s="1285"/>
      <c r="L439" s="1285"/>
      <c r="M439" s="1285"/>
      <c r="N439" s="1285"/>
      <c r="O439" s="1285"/>
      <c r="P439" s="1285"/>
      <c r="Q439" s="1285"/>
      <c r="R439" s="1285"/>
      <c r="S439" s="1285"/>
      <c r="T439" s="1285"/>
      <c r="U439" s="1285"/>
      <c r="V439" s="1285"/>
      <c r="W439" s="1286"/>
      <c r="X439" s="1286"/>
      <c r="Y439" s="1286"/>
      <c r="Z439" s="1286"/>
      <c r="AA439" s="1286"/>
      <c r="AB439" s="1286"/>
      <c r="AC439" s="1286"/>
      <c r="AD439" s="1286"/>
      <c r="AE439" s="1286"/>
      <c r="AF439" s="1286"/>
      <c r="AG439" s="1286"/>
      <c r="AH439" s="1286"/>
      <c r="AI439" s="1286"/>
      <c r="AJ439" s="1286"/>
      <c r="AK439" s="1286"/>
      <c r="AL439" s="1286"/>
      <c r="AM439" s="1286"/>
      <c r="AN439" s="1286"/>
      <c r="AO439" s="1286"/>
      <c r="AP439" s="1286"/>
      <c r="AQ439" s="1286"/>
      <c r="AR439" s="1286"/>
      <c r="AS439" s="1286"/>
      <c r="AT439" s="1286"/>
      <c r="AU439" s="1286"/>
      <c r="AV439" s="1286"/>
      <c r="AW439" s="1286"/>
      <c r="AX439" s="1286"/>
      <c r="AY439" s="1286"/>
      <c r="AZ439" s="1286"/>
      <c r="BA439" s="1286"/>
      <c r="BB439" s="1286"/>
      <c r="BC439" s="1286"/>
      <c r="BD439" s="1286"/>
      <c r="BE439" s="1286"/>
      <c r="BF439" s="1286"/>
      <c r="BG439" s="1286"/>
      <c r="BH439" s="1286"/>
      <c r="BI439" s="1286"/>
      <c r="BJ439" s="1286"/>
      <c r="BK439" s="1286"/>
      <c r="BL439" s="1286"/>
      <c r="BM439" s="1286"/>
      <c r="BN439" s="1286"/>
      <c r="BO439" s="1286"/>
      <c r="BP439" s="1286"/>
      <c r="BQ439" s="1286"/>
      <c r="BR439" s="1286"/>
      <c r="BS439" s="1286"/>
      <c r="BT439" s="1286"/>
      <c r="BU439" s="1286"/>
      <c r="BV439" s="1286"/>
      <c r="BW439" s="1286"/>
      <c r="BX439" s="1286"/>
      <c r="BY439" s="1286"/>
      <c r="BZ439" s="1286"/>
      <c r="CA439" s="1286"/>
      <c r="CB439" s="1286"/>
      <c r="CC439" s="1286"/>
      <c r="CD439" s="1286"/>
      <c r="CE439" s="1286"/>
      <c r="CF439" s="1286"/>
      <c r="CG439" s="1286"/>
      <c r="CH439" s="1269"/>
      <c r="CI439" s="1286"/>
      <c r="CJ439" s="1286"/>
      <c r="CK439" s="1286"/>
      <c r="CL439" s="1286"/>
      <c r="CM439" s="1286"/>
      <c r="CN439" s="1286"/>
      <c r="CO439" s="1286"/>
      <c r="CP439" s="1286"/>
      <c r="CQ439" s="1286"/>
      <c r="CR439" s="1286"/>
      <c r="CS439" s="1286"/>
      <c r="CT439" s="1286"/>
      <c r="CU439" s="1286"/>
      <c r="CV439" s="1286"/>
      <c r="CW439" s="1286"/>
      <c r="CX439" s="1286"/>
      <c r="CY439" s="1286"/>
      <c r="CZ439" s="1286"/>
      <c r="DA439" s="1286"/>
      <c r="DB439" s="1286"/>
      <c r="DC439" s="1286"/>
      <c r="DD439" s="1286"/>
      <c r="DE439" s="1286"/>
      <c r="DF439" s="1286"/>
      <c r="DG439" s="1286"/>
      <c r="DH439" s="1286"/>
      <c r="DI439" s="1286"/>
      <c r="DJ439" s="1286"/>
      <c r="DK439" s="1286"/>
      <c r="DL439" s="1286"/>
      <c r="DM439" s="1286"/>
      <c r="DN439" s="1286"/>
      <c r="DO439" s="1286"/>
      <c r="DP439" s="1286"/>
      <c r="DQ439" s="1286"/>
      <c r="DR439" s="1286"/>
      <c r="DS439" s="1286"/>
      <c r="DT439" s="1286"/>
      <c r="DU439" s="1286"/>
      <c r="DV439" s="1286"/>
      <c r="DW439" s="1286"/>
      <c r="DX439" s="1286"/>
      <c r="DY439" s="1286"/>
      <c r="DZ439" s="1286"/>
      <c r="EA439" s="1286"/>
      <c r="EB439" s="1206"/>
      <c r="EC439" s="1206"/>
      <c r="ED439" s="1206"/>
      <c r="EE439" s="1206"/>
      <c r="EF439" s="1206"/>
      <c r="EG439" s="1206"/>
      <c r="EH439" s="1206"/>
      <c r="EI439" s="1206"/>
      <c r="EJ439" s="1206"/>
      <c r="EK439" s="1206"/>
      <c r="EL439" s="1206"/>
      <c r="EM439" s="1313"/>
    </row>
    <row r="440" spans="2:143" s="1271" customFormat="1">
      <c r="B440" s="1263"/>
      <c r="C440" s="1264"/>
      <c r="D440" s="1265"/>
      <c r="E440" s="1265"/>
      <c r="F440" s="1285"/>
      <c r="G440" s="1264"/>
      <c r="H440" s="1264"/>
      <c r="I440" s="1285"/>
      <c r="J440" s="1285"/>
      <c r="K440" s="1285"/>
      <c r="L440" s="1285"/>
      <c r="M440" s="1285"/>
      <c r="N440" s="1285"/>
      <c r="O440" s="1285"/>
      <c r="P440" s="1285"/>
      <c r="Q440" s="1285"/>
      <c r="R440" s="1285"/>
      <c r="S440" s="1285"/>
      <c r="T440" s="1285"/>
      <c r="U440" s="1285"/>
      <c r="V440" s="1285"/>
      <c r="W440" s="1286"/>
      <c r="X440" s="1286"/>
      <c r="Y440" s="1286"/>
      <c r="Z440" s="1286"/>
      <c r="AA440" s="1286"/>
      <c r="AB440" s="1286"/>
      <c r="AC440" s="1286"/>
      <c r="AD440" s="1286"/>
      <c r="AE440" s="1286"/>
      <c r="AF440" s="1286"/>
      <c r="AG440" s="1286"/>
      <c r="AH440" s="1286"/>
      <c r="AI440" s="1286"/>
      <c r="AJ440" s="1286"/>
      <c r="AK440" s="1286"/>
      <c r="AL440" s="1286"/>
      <c r="AM440" s="1286"/>
      <c r="AN440" s="1286"/>
      <c r="AO440" s="1286"/>
      <c r="AP440" s="1286"/>
      <c r="AQ440" s="1286"/>
      <c r="AR440" s="1286"/>
      <c r="AS440" s="1286"/>
      <c r="AT440" s="1286"/>
      <c r="AU440" s="1286"/>
      <c r="AV440" s="1286"/>
      <c r="AW440" s="1286"/>
      <c r="AX440" s="1286"/>
      <c r="AY440" s="1286"/>
      <c r="AZ440" s="1286"/>
      <c r="BA440" s="1286"/>
      <c r="BB440" s="1286"/>
      <c r="BC440" s="1286"/>
      <c r="BD440" s="1286"/>
      <c r="BE440" s="1286"/>
      <c r="BF440" s="1286"/>
      <c r="BG440" s="1286"/>
      <c r="BH440" s="1286"/>
      <c r="BI440" s="1286"/>
      <c r="BJ440" s="1286"/>
      <c r="BK440" s="1286"/>
      <c r="BL440" s="1286"/>
      <c r="BM440" s="1286"/>
      <c r="BN440" s="1286"/>
      <c r="BO440" s="1286"/>
      <c r="BP440" s="1286"/>
      <c r="BQ440" s="1286"/>
      <c r="BR440" s="1286"/>
      <c r="BS440" s="1286"/>
      <c r="BT440" s="1286"/>
      <c r="BU440" s="1286"/>
      <c r="BV440" s="1286"/>
      <c r="BW440" s="1286"/>
      <c r="BX440" s="1286"/>
      <c r="BY440" s="1286"/>
      <c r="BZ440" s="1286"/>
      <c r="CA440" s="1286"/>
      <c r="CB440" s="1286"/>
      <c r="CC440" s="1286"/>
      <c r="CD440" s="1286"/>
      <c r="CE440" s="1286"/>
      <c r="CF440" s="1286"/>
      <c r="CG440" s="1286"/>
      <c r="CH440" s="1269"/>
      <c r="CI440" s="1286"/>
      <c r="CJ440" s="1286"/>
      <c r="CK440" s="1286"/>
      <c r="CL440" s="1286"/>
      <c r="CM440" s="1286"/>
      <c r="CN440" s="1286"/>
      <c r="CO440" s="1286"/>
      <c r="CP440" s="1286"/>
      <c r="CQ440" s="1286"/>
      <c r="CR440" s="1286"/>
      <c r="CS440" s="1286"/>
      <c r="CT440" s="1286"/>
      <c r="CU440" s="1286"/>
      <c r="CV440" s="1286"/>
      <c r="CW440" s="1286"/>
      <c r="CX440" s="1286"/>
      <c r="CY440" s="1286"/>
      <c r="CZ440" s="1286"/>
      <c r="DA440" s="1286"/>
      <c r="DB440" s="1286"/>
      <c r="DC440" s="1286"/>
      <c r="DD440" s="1286"/>
      <c r="DE440" s="1286"/>
      <c r="DF440" s="1286"/>
      <c r="DG440" s="1286"/>
      <c r="DH440" s="1286"/>
      <c r="DI440" s="1286"/>
      <c r="DJ440" s="1286"/>
      <c r="DK440" s="1286"/>
      <c r="DL440" s="1286"/>
      <c r="DM440" s="1286"/>
      <c r="DN440" s="1286"/>
      <c r="DO440" s="1286"/>
      <c r="DP440" s="1286"/>
      <c r="DQ440" s="1286"/>
      <c r="DR440" s="1286"/>
      <c r="DS440" s="1286"/>
      <c r="DT440" s="1286"/>
      <c r="DU440" s="1286"/>
      <c r="DV440" s="1286"/>
      <c r="DW440" s="1286"/>
      <c r="DX440" s="1286"/>
      <c r="DY440" s="1286"/>
      <c r="DZ440" s="1286"/>
      <c r="EA440" s="1286"/>
      <c r="EB440" s="1206"/>
      <c r="EC440" s="1206"/>
      <c r="ED440" s="1206"/>
      <c r="EE440" s="1206"/>
      <c r="EF440" s="1206"/>
      <c r="EG440" s="1206"/>
      <c r="EH440" s="1206"/>
      <c r="EI440" s="1206"/>
      <c r="EJ440" s="1206"/>
      <c r="EK440" s="1206"/>
      <c r="EL440" s="1206"/>
      <c r="EM440" s="1313"/>
    </row>
    <row r="441" spans="2:143" s="1271" customFormat="1">
      <c r="B441" s="1263"/>
      <c r="C441" s="1264"/>
      <c r="D441" s="1265"/>
      <c r="E441" s="1265"/>
      <c r="F441" s="1285"/>
      <c r="G441" s="1264"/>
      <c r="H441" s="1264"/>
      <c r="I441" s="1285"/>
      <c r="J441" s="1285"/>
      <c r="K441" s="1285"/>
      <c r="L441" s="1285"/>
      <c r="M441" s="1285"/>
      <c r="N441" s="1285"/>
      <c r="O441" s="1285"/>
      <c r="P441" s="1285"/>
      <c r="Q441" s="1285"/>
      <c r="R441" s="1285"/>
      <c r="S441" s="1285"/>
      <c r="T441" s="1285"/>
      <c r="U441" s="1285"/>
      <c r="V441" s="1285"/>
      <c r="W441" s="1286"/>
      <c r="X441" s="1286"/>
      <c r="Y441" s="1286"/>
      <c r="Z441" s="1286"/>
      <c r="AA441" s="1286"/>
      <c r="AB441" s="1286"/>
      <c r="AC441" s="1286"/>
      <c r="AD441" s="1286"/>
      <c r="AE441" s="1286"/>
      <c r="AF441" s="1286"/>
      <c r="AG441" s="1286"/>
      <c r="AH441" s="1286"/>
      <c r="AI441" s="1286"/>
      <c r="AJ441" s="1286"/>
      <c r="AK441" s="1286"/>
      <c r="AL441" s="1286"/>
      <c r="AM441" s="1286"/>
      <c r="AN441" s="1286"/>
      <c r="AO441" s="1286"/>
      <c r="AP441" s="1286"/>
      <c r="AQ441" s="1286"/>
      <c r="AR441" s="1286"/>
      <c r="AS441" s="1286"/>
      <c r="AT441" s="1286"/>
      <c r="AU441" s="1286"/>
      <c r="AV441" s="1286"/>
      <c r="AW441" s="1286"/>
      <c r="AX441" s="1286"/>
      <c r="AY441" s="1286"/>
      <c r="AZ441" s="1286"/>
      <c r="BA441" s="1286"/>
      <c r="BB441" s="1286"/>
      <c r="BC441" s="1286"/>
      <c r="BD441" s="1286"/>
      <c r="BE441" s="1286"/>
      <c r="BF441" s="1286"/>
      <c r="BG441" s="1286"/>
      <c r="BH441" s="1286"/>
      <c r="BI441" s="1286"/>
      <c r="BJ441" s="1286"/>
      <c r="BK441" s="1286"/>
      <c r="BL441" s="1286"/>
      <c r="BM441" s="1286"/>
      <c r="BN441" s="1286"/>
      <c r="BO441" s="1286"/>
      <c r="BP441" s="1286"/>
      <c r="BQ441" s="1286"/>
      <c r="BR441" s="1286"/>
      <c r="BS441" s="1286"/>
      <c r="BT441" s="1286"/>
      <c r="BU441" s="1286"/>
      <c r="BV441" s="1286"/>
      <c r="BW441" s="1286"/>
      <c r="BX441" s="1286"/>
      <c r="BY441" s="1286"/>
      <c r="BZ441" s="1286"/>
      <c r="CA441" s="1286"/>
      <c r="CB441" s="1286"/>
      <c r="CC441" s="1286"/>
      <c r="CD441" s="1286"/>
      <c r="CE441" s="1286"/>
      <c r="CF441" s="1286"/>
      <c r="CG441" s="1286"/>
      <c r="CH441" s="1269"/>
      <c r="CI441" s="1286"/>
      <c r="CJ441" s="1286"/>
      <c r="CK441" s="1286"/>
      <c r="CL441" s="1286"/>
      <c r="CM441" s="1286"/>
      <c r="CN441" s="1286"/>
      <c r="CO441" s="1286"/>
      <c r="CP441" s="1286"/>
      <c r="CQ441" s="1286"/>
      <c r="CR441" s="1286"/>
      <c r="CS441" s="1286"/>
      <c r="CT441" s="1286"/>
      <c r="CU441" s="1286"/>
      <c r="CV441" s="1286"/>
      <c r="CW441" s="1286"/>
      <c r="CX441" s="1286"/>
      <c r="CY441" s="1286"/>
      <c r="CZ441" s="1286"/>
      <c r="DA441" s="1286"/>
      <c r="DB441" s="1286"/>
      <c r="DC441" s="1286"/>
      <c r="DD441" s="1286"/>
      <c r="DE441" s="1286"/>
      <c r="DF441" s="1286"/>
      <c r="DG441" s="1286"/>
      <c r="DH441" s="1286"/>
      <c r="DI441" s="1286"/>
      <c r="DJ441" s="1286"/>
      <c r="DK441" s="1286"/>
      <c r="DL441" s="1286"/>
      <c r="DM441" s="1286"/>
      <c r="DN441" s="1286"/>
      <c r="DO441" s="1286"/>
      <c r="DP441" s="1286"/>
      <c r="DQ441" s="1286"/>
      <c r="DR441" s="1286"/>
      <c r="DS441" s="1286"/>
      <c r="DT441" s="1286"/>
      <c r="DU441" s="1286"/>
      <c r="DV441" s="1286"/>
      <c r="DW441" s="1286"/>
      <c r="DX441" s="1286"/>
      <c r="DY441" s="1286"/>
      <c r="DZ441" s="1286"/>
      <c r="EA441" s="1286"/>
      <c r="EB441" s="1206"/>
      <c r="EC441" s="1206"/>
      <c r="ED441" s="1206"/>
      <c r="EE441" s="1206"/>
      <c r="EF441" s="1206"/>
      <c r="EG441" s="1206"/>
      <c r="EH441" s="1206"/>
      <c r="EI441" s="1206"/>
      <c r="EJ441" s="1206"/>
      <c r="EK441" s="1206"/>
      <c r="EL441" s="1206"/>
      <c r="EM441" s="1313"/>
    </row>
    <row r="442" spans="2:143" s="1271" customFormat="1">
      <c r="B442" s="1263"/>
      <c r="C442" s="1264"/>
      <c r="D442" s="1265"/>
      <c r="E442" s="1265"/>
      <c r="F442" s="1285"/>
      <c r="G442" s="1264"/>
      <c r="H442" s="1264"/>
      <c r="I442" s="1285"/>
      <c r="J442" s="1285"/>
      <c r="K442" s="1285"/>
      <c r="L442" s="1285"/>
      <c r="M442" s="1285"/>
      <c r="N442" s="1285"/>
      <c r="O442" s="1285"/>
      <c r="P442" s="1285"/>
      <c r="Q442" s="1285"/>
      <c r="R442" s="1285"/>
      <c r="S442" s="1285"/>
      <c r="T442" s="1285"/>
      <c r="U442" s="1285"/>
      <c r="V442" s="1285"/>
      <c r="W442" s="1286"/>
      <c r="X442" s="1286"/>
      <c r="Y442" s="1286"/>
      <c r="Z442" s="1286"/>
      <c r="AA442" s="1286"/>
      <c r="AB442" s="1286"/>
      <c r="AC442" s="1286"/>
      <c r="AD442" s="1286"/>
      <c r="AE442" s="1286"/>
      <c r="AF442" s="1286"/>
      <c r="AG442" s="1286"/>
      <c r="AH442" s="1286"/>
      <c r="AI442" s="1286"/>
      <c r="AJ442" s="1286"/>
      <c r="AK442" s="1286"/>
      <c r="AL442" s="1286"/>
      <c r="AM442" s="1286"/>
      <c r="AN442" s="1286"/>
      <c r="AO442" s="1286"/>
      <c r="AP442" s="1286"/>
      <c r="AQ442" s="1286"/>
      <c r="AR442" s="1286"/>
      <c r="AS442" s="1286"/>
      <c r="AT442" s="1286"/>
      <c r="AU442" s="1286"/>
      <c r="AV442" s="1286"/>
      <c r="AW442" s="1286"/>
      <c r="AX442" s="1286"/>
      <c r="AY442" s="1286"/>
      <c r="AZ442" s="1286"/>
      <c r="BA442" s="1286"/>
      <c r="BB442" s="1286"/>
      <c r="BC442" s="1286"/>
      <c r="BD442" s="1286"/>
      <c r="BE442" s="1286"/>
      <c r="BF442" s="1286"/>
      <c r="BG442" s="1286"/>
      <c r="BH442" s="1286"/>
      <c r="BI442" s="1286"/>
      <c r="BJ442" s="1286"/>
      <c r="BK442" s="1286"/>
      <c r="BL442" s="1286"/>
      <c r="BM442" s="1286"/>
      <c r="BN442" s="1286"/>
      <c r="BO442" s="1286"/>
      <c r="BP442" s="1286"/>
      <c r="BQ442" s="1286"/>
      <c r="BR442" s="1286"/>
      <c r="BS442" s="1286"/>
      <c r="BT442" s="1286"/>
      <c r="BU442" s="1286"/>
      <c r="BV442" s="1286"/>
      <c r="BW442" s="1286"/>
      <c r="BX442" s="1286"/>
      <c r="BY442" s="1286"/>
      <c r="BZ442" s="1286"/>
      <c r="CA442" s="1286"/>
      <c r="CB442" s="1286"/>
      <c r="CC442" s="1286"/>
      <c r="CD442" s="1286"/>
      <c r="CE442" s="1286"/>
      <c r="CF442" s="1286"/>
      <c r="CG442" s="1286"/>
      <c r="CH442" s="1269"/>
      <c r="CI442" s="1286"/>
      <c r="CJ442" s="1286"/>
      <c r="CK442" s="1286"/>
      <c r="CL442" s="1286"/>
      <c r="CM442" s="1286"/>
      <c r="CN442" s="1286"/>
      <c r="CO442" s="1286"/>
      <c r="CP442" s="1286"/>
      <c r="CQ442" s="1286"/>
      <c r="CR442" s="1286"/>
      <c r="CS442" s="1286"/>
      <c r="CT442" s="1286"/>
      <c r="CU442" s="1286"/>
      <c r="CV442" s="1286"/>
      <c r="CW442" s="1286"/>
      <c r="CX442" s="1286"/>
      <c r="CY442" s="1286"/>
      <c r="CZ442" s="1286"/>
      <c r="DA442" s="1286"/>
      <c r="DB442" s="1286"/>
      <c r="DC442" s="1286"/>
      <c r="DD442" s="1286"/>
      <c r="DE442" s="1286"/>
      <c r="DF442" s="1286"/>
      <c r="DG442" s="1286"/>
      <c r="DH442" s="1286"/>
      <c r="DI442" s="1286"/>
      <c r="DJ442" s="1286"/>
      <c r="DK442" s="1286"/>
      <c r="DL442" s="1286"/>
      <c r="DM442" s="1286"/>
      <c r="DN442" s="1286"/>
      <c r="DO442" s="1286"/>
      <c r="DP442" s="1286"/>
      <c r="DQ442" s="1286"/>
      <c r="DR442" s="1286"/>
      <c r="DS442" s="1286"/>
      <c r="DT442" s="1286"/>
      <c r="DU442" s="1286"/>
      <c r="DV442" s="1286"/>
      <c r="DW442" s="1286"/>
      <c r="DX442" s="1286"/>
      <c r="DY442" s="1286"/>
      <c r="DZ442" s="1286"/>
      <c r="EA442" s="1286"/>
      <c r="EB442" s="1206"/>
      <c r="EC442" s="1206"/>
      <c r="ED442" s="1206"/>
      <c r="EE442" s="1206"/>
      <c r="EF442" s="1206"/>
      <c r="EG442" s="1206"/>
      <c r="EH442" s="1206"/>
      <c r="EI442" s="1206"/>
      <c r="EJ442" s="1206"/>
      <c r="EK442" s="1206"/>
      <c r="EL442" s="1206"/>
      <c r="EM442" s="1313"/>
    </row>
    <row r="443" spans="2:143" s="1271" customFormat="1">
      <c r="B443" s="1263"/>
      <c r="C443" s="1264"/>
      <c r="D443" s="1265"/>
      <c r="E443" s="1265"/>
      <c r="F443" s="1285"/>
      <c r="G443" s="1264"/>
      <c r="H443" s="1264"/>
      <c r="I443" s="1285"/>
      <c r="J443" s="1285"/>
      <c r="K443" s="1285"/>
      <c r="L443" s="1285"/>
      <c r="M443" s="1285"/>
      <c r="N443" s="1285"/>
      <c r="O443" s="1285"/>
      <c r="P443" s="1285"/>
      <c r="Q443" s="1285"/>
      <c r="R443" s="1285"/>
      <c r="S443" s="1285"/>
      <c r="T443" s="1285"/>
      <c r="U443" s="1285"/>
      <c r="V443" s="1285"/>
      <c r="W443" s="1286"/>
      <c r="X443" s="1286"/>
      <c r="Y443" s="1286"/>
      <c r="Z443" s="1286"/>
      <c r="AA443" s="1286"/>
      <c r="AB443" s="1286"/>
      <c r="AC443" s="1286"/>
      <c r="AD443" s="1286"/>
      <c r="AE443" s="1286"/>
      <c r="AF443" s="1286"/>
      <c r="AG443" s="1286"/>
      <c r="AH443" s="1286"/>
      <c r="AI443" s="1286"/>
      <c r="AJ443" s="1286"/>
      <c r="AK443" s="1286"/>
      <c r="AL443" s="1286"/>
      <c r="AM443" s="1286"/>
      <c r="AN443" s="1286"/>
      <c r="AO443" s="1286"/>
      <c r="AP443" s="1286"/>
      <c r="AQ443" s="1286"/>
      <c r="AR443" s="1286"/>
      <c r="AS443" s="1286"/>
      <c r="AT443" s="1286"/>
      <c r="AU443" s="1286"/>
      <c r="AV443" s="1286"/>
      <c r="AW443" s="1286"/>
      <c r="AX443" s="1286"/>
      <c r="AY443" s="1286"/>
      <c r="AZ443" s="1286"/>
      <c r="BA443" s="1286"/>
      <c r="BB443" s="1286"/>
      <c r="BC443" s="1286"/>
      <c r="BD443" s="1286"/>
      <c r="BE443" s="1286"/>
      <c r="BF443" s="1286"/>
      <c r="BG443" s="1286"/>
      <c r="BH443" s="1286"/>
      <c r="BI443" s="1286"/>
      <c r="BJ443" s="1286"/>
      <c r="BK443" s="1286"/>
      <c r="BL443" s="1286"/>
      <c r="BM443" s="1286"/>
      <c r="BN443" s="1286"/>
      <c r="BO443" s="1286"/>
      <c r="BP443" s="1286"/>
      <c r="BQ443" s="1286"/>
      <c r="BR443" s="1286"/>
      <c r="BS443" s="1286"/>
      <c r="BT443" s="1286"/>
      <c r="BU443" s="1286"/>
      <c r="BV443" s="1286"/>
      <c r="BW443" s="1286"/>
      <c r="BX443" s="1286"/>
      <c r="BY443" s="1286"/>
      <c r="BZ443" s="1286"/>
      <c r="CA443" s="1286"/>
      <c r="CB443" s="1286"/>
      <c r="CC443" s="1286"/>
      <c r="CD443" s="1286"/>
      <c r="CE443" s="1286"/>
      <c r="CF443" s="1286"/>
      <c r="CG443" s="1286"/>
      <c r="CH443" s="1269"/>
      <c r="CI443" s="1286"/>
      <c r="CJ443" s="1286"/>
      <c r="CK443" s="1286"/>
      <c r="CL443" s="1286"/>
      <c r="CM443" s="1286"/>
      <c r="CN443" s="1286"/>
      <c r="CO443" s="1286"/>
      <c r="CP443" s="1286"/>
      <c r="CQ443" s="1286"/>
      <c r="CR443" s="1286"/>
      <c r="CS443" s="1286"/>
      <c r="CT443" s="1286"/>
      <c r="CU443" s="1286"/>
      <c r="CV443" s="1286"/>
      <c r="CW443" s="1286"/>
      <c r="CX443" s="1286"/>
      <c r="CY443" s="1286"/>
      <c r="CZ443" s="1286"/>
      <c r="DA443" s="1286"/>
      <c r="DB443" s="1286"/>
      <c r="DC443" s="1286"/>
      <c r="DD443" s="1286"/>
      <c r="DE443" s="1286"/>
      <c r="DF443" s="1286"/>
      <c r="DG443" s="1286"/>
      <c r="DH443" s="1286"/>
      <c r="DI443" s="1286"/>
      <c r="DJ443" s="1286"/>
      <c r="DK443" s="1286"/>
      <c r="DL443" s="1286"/>
      <c r="DM443" s="1286"/>
      <c r="DN443" s="1286"/>
      <c r="DO443" s="1286"/>
      <c r="DP443" s="1286"/>
      <c r="DQ443" s="1286"/>
      <c r="DR443" s="1286"/>
      <c r="DS443" s="1286"/>
      <c r="DT443" s="1286"/>
      <c r="DU443" s="1286"/>
      <c r="DV443" s="1286"/>
      <c r="DW443" s="1286"/>
      <c r="DX443" s="1286"/>
      <c r="DY443" s="1286"/>
      <c r="DZ443" s="1286"/>
      <c r="EA443" s="1286"/>
      <c r="EB443" s="1206"/>
      <c r="EC443" s="1206"/>
      <c r="ED443" s="1206"/>
      <c r="EE443" s="1206"/>
      <c r="EF443" s="1206"/>
      <c r="EG443" s="1206"/>
      <c r="EH443" s="1206"/>
      <c r="EI443" s="1206"/>
      <c r="EJ443" s="1206"/>
      <c r="EK443" s="1206"/>
      <c r="EL443" s="1206"/>
      <c r="EM443" s="1313"/>
    </row>
    <row r="444" spans="2:143" s="1271" customFormat="1">
      <c r="B444" s="1263"/>
      <c r="C444" s="1285"/>
      <c r="D444" s="1091"/>
      <c r="E444" s="1265"/>
      <c r="F444" s="1285"/>
      <c r="G444" s="1264"/>
      <c r="H444" s="1264"/>
      <c r="I444" s="1285"/>
      <c r="J444" s="1285"/>
      <c r="K444" s="1285"/>
      <c r="L444" s="1285"/>
      <c r="M444" s="1285"/>
      <c r="N444" s="1285"/>
      <c r="O444" s="1285"/>
      <c r="P444" s="1285"/>
      <c r="Q444" s="1285"/>
      <c r="R444" s="1285"/>
      <c r="S444" s="1285"/>
      <c r="T444" s="1285"/>
      <c r="U444" s="1285"/>
      <c r="V444" s="1285"/>
      <c r="W444" s="1286"/>
      <c r="X444" s="1286"/>
      <c r="Y444" s="1286"/>
      <c r="Z444" s="1286"/>
      <c r="AA444" s="1286"/>
      <c r="AB444" s="1286"/>
      <c r="AC444" s="1286"/>
      <c r="AD444" s="1286"/>
      <c r="AE444" s="1286"/>
      <c r="AF444" s="1286"/>
      <c r="AG444" s="1286"/>
      <c r="AH444" s="1286"/>
      <c r="AI444" s="1286"/>
      <c r="AJ444" s="1286"/>
      <c r="AK444" s="1286"/>
      <c r="AL444" s="1286"/>
      <c r="AM444" s="1286"/>
      <c r="AN444" s="1286"/>
      <c r="AO444" s="1286"/>
      <c r="AP444" s="1286"/>
      <c r="AQ444" s="1286"/>
      <c r="AR444" s="1286"/>
      <c r="AS444" s="1286"/>
      <c r="AT444" s="1286"/>
      <c r="AU444" s="1286"/>
      <c r="AV444" s="1286"/>
      <c r="AW444" s="1286"/>
      <c r="AX444" s="1286"/>
      <c r="AY444" s="1286"/>
      <c r="AZ444" s="1286"/>
      <c r="BA444" s="1286"/>
      <c r="BB444" s="1286"/>
      <c r="BC444" s="1286"/>
      <c r="BD444" s="1286"/>
      <c r="BE444" s="1286"/>
      <c r="BF444" s="1286"/>
      <c r="BG444" s="1286"/>
      <c r="BH444" s="1286"/>
      <c r="BI444" s="1286"/>
      <c r="BJ444" s="1286"/>
      <c r="BK444" s="1286"/>
      <c r="BL444" s="1286"/>
      <c r="BM444" s="1286"/>
      <c r="BN444" s="1286"/>
      <c r="BO444" s="1286"/>
      <c r="BP444" s="1286"/>
      <c r="BQ444" s="1286"/>
      <c r="BR444" s="1286"/>
      <c r="BS444" s="1286"/>
      <c r="BT444" s="1286"/>
      <c r="BU444" s="1286"/>
      <c r="BV444" s="1286"/>
      <c r="BW444" s="1286"/>
      <c r="BX444" s="1286"/>
      <c r="BY444" s="1286"/>
      <c r="BZ444" s="1286"/>
      <c r="CA444" s="1286"/>
      <c r="CB444" s="1286"/>
      <c r="CC444" s="1286"/>
      <c r="CD444" s="1286"/>
      <c r="CE444" s="1286"/>
      <c r="CF444" s="1286"/>
      <c r="CG444" s="1286"/>
      <c r="CH444" s="1269"/>
      <c r="CI444" s="1286"/>
      <c r="CJ444" s="1286"/>
      <c r="CK444" s="1286"/>
      <c r="CL444" s="1286"/>
      <c r="CM444" s="1286"/>
      <c r="CN444" s="1286"/>
      <c r="CO444" s="1286"/>
      <c r="CP444" s="1286"/>
      <c r="CQ444" s="1286"/>
      <c r="CR444" s="1286"/>
      <c r="CS444" s="1286"/>
      <c r="CT444" s="1286"/>
      <c r="CU444" s="1286"/>
      <c r="CV444" s="1286"/>
      <c r="CW444" s="1286"/>
      <c r="CX444" s="1286"/>
      <c r="CY444" s="1286"/>
      <c r="CZ444" s="1286"/>
      <c r="DA444" s="1286"/>
      <c r="DB444" s="1286"/>
      <c r="DC444" s="1286"/>
      <c r="DD444" s="1286"/>
      <c r="DE444" s="1286"/>
      <c r="DF444" s="1286"/>
      <c r="DG444" s="1286"/>
      <c r="DH444" s="1286"/>
      <c r="DI444" s="1286"/>
      <c r="DJ444" s="1286"/>
      <c r="DK444" s="1286"/>
      <c r="DL444" s="1286"/>
      <c r="DM444" s="1286"/>
      <c r="DN444" s="1286"/>
      <c r="DO444" s="1286"/>
      <c r="DP444" s="1286"/>
      <c r="DQ444" s="1286"/>
      <c r="DR444" s="1286"/>
      <c r="DS444" s="1286"/>
      <c r="DT444" s="1286"/>
      <c r="DU444" s="1286"/>
      <c r="DV444" s="1286"/>
      <c r="DW444" s="1286"/>
      <c r="DX444" s="1286"/>
      <c r="DY444" s="1286"/>
      <c r="DZ444" s="1286"/>
      <c r="EA444" s="1286"/>
      <c r="EB444" s="1206"/>
      <c r="EC444" s="1206"/>
      <c r="ED444" s="1206"/>
      <c r="EE444" s="1206"/>
      <c r="EF444" s="1206"/>
      <c r="EG444" s="1206"/>
      <c r="EH444" s="1206"/>
      <c r="EI444" s="1206"/>
      <c r="EJ444" s="1206"/>
      <c r="EK444" s="1206"/>
      <c r="EL444" s="1206"/>
      <c r="EM444" s="1313"/>
    </row>
    <row r="445" spans="2:143" s="1271" customFormat="1">
      <c r="B445" s="1263"/>
      <c r="C445" s="1285"/>
      <c r="D445" s="1091"/>
      <c r="E445" s="1265"/>
      <c r="F445" s="1285"/>
      <c r="G445" s="1264"/>
      <c r="H445" s="1264"/>
      <c r="I445" s="1285"/>
      <c r="J445" s="1285"/>
      <c r="K445" s="1285"/>
      <c r="L445" s="1285"/>
      <c r="M445" s="1285"/>
      <c r="N445" s="1285"/>
      <c r="O445" s="1285"/>
      <c r="P445" s="1285"/>
      <c r="Q445" s="1285"/>
      <c r="R445" s="1285"/>
      <c r="S445" s="1285"/>
      <c r="T445" s="1285"/>
      <c r="U445" s="1285"/>
      <c r="V445" s="1285"/>
      <c r="W445" s="1286"/>
      <c r="X445" s="1286"/>
      <c r="Y445" s="1286"/>
      <c r="Z445" s="1286"/>
      <c r="AA445" s="1286"/>
      <c r="AB445" s="1286"/>
      <c r="AC445" s="1286"/>
      <c r="AD445" s="1286"/>
      <c r="AE445" s="1286"/>
      <c r="AF445" s="1286"/>
      <c r="AG445" s="1286"/>
      <c r="AH445" s="1286"/>
      <c r="AI445" s="1286"/>
      <c r="AJ445" s="1286"/>
      <c r="AK445" s="1286"/>
      <c r="AL445" s="1286"/>
      <c r="AM445" s="1286"/>
      <c r="AN445" s="1286"/>
      <c r="AO445" s="1286"/>
      <c r="AP445" s="1286"/>
      <c r="AQ445" s="1286"/>
      <c r="AR445" s="1286"/>
      <c r="AS445" s="1286"/>
      <c r="AT445" s="1286"/>
      <c r="AU445" s="1286"/>
      <c r="AV445" s="1286"/>
      <c r="AW445" s="1286"/>
      <c r="AX445" s="1286"/>
      <c r="AY445" s="1286"/>
      <c r="AZ445" s="1286"/>
      <c r="BA445" s="1286"/>
      <c r="BB445" s="1286"/>
      <c r="BC445" s="1286"/>
      <c r="BD445" s="1286"/>
      <c r="BE445" s="1286"/>
      <c r="BF445" s="1286"/>
      <c r="BG445" s="1286"/>
      <c r="BH445" s="1286"/>
      <c r="BI445" s="1286"/>
      <c r="BJ445" s="1286"/>
      <c r="BK445" s="1286"/>
      <c r="BL445" s="1286"/>
      <c r="BM445" s="1286"/>
      <c r="BN445" s="1286"/>
      <c r="BO445" s="1286"/>
      <c r="BP445" s="1286"/>
      <c r="BQ445" s="1286"/>
      <c r="BR445" s="1286"/>
      <c r="BS445" s="1286"/>
      <c r="BT445" s="1286"/>
      <c r="BU445" s="1286"/>
      <c r="BV445" s="1286"/>
      <c r="BW445" s="1286"/>
      <c r="BX445" s="1286"/>
      <c r="BY445" s="1286"/>
      <c r="BZ445" s="1286"/>
      <c r="CA445" s="1286"/>
      <c r="CB445" s="1286"/>
      <c r="CC445" s="1286"/>
      <c r="CD445" s="1286"/>
      <c r="CE445" s="1286"/>
      <c r="CF445" s="1286"/>
      <c r="CG445" s="1286"/>
      <c r="CH445" s="1269"/>
      <c r="CI445" s="1286"/>
      <c r="CJ445" s="1286"/>
      <c r="CK445" s="1286"/>
      <c r="CL445" s="1286"/>
      <c r="CM445" s="1286"/>
      <c r="CN445" s="1286"/>
      <c r="CO445" s="1286"/>
      <c r="CP445" s="1286"/>
      <c r="CQ445" s="1286"/>
      <c r="CR445" s="1286"/>
      <c r="CS445" s="1286"/>
      <c r="CT445" s="1286"/>
      <c r="CU445" s="1286"/>
      <c r="CV445" s="1286"/>
      <c r="CW445" s="1286"/>
      <c r="CX445" s="1286"/>
      <c r="CY445" s="1286"/>
      <c r="CZ445" s="1286"/>
      <c r="DA445" s="1286"/>
      <c r="DB445" s="1286"/>
      <c r="DC445" s="1286"/>
      <c r="DD445" s="1286"/>
      <c r="DE445" s="1286"/>
      <c r="DF445" s="1286"/>
      <c r="DG445" s="1286"/>
      <c r="DH445" s="1286"/>
      <c r="DI445" s="1286"/>
      <c r="DJ445" s="1286"/>
      <c r="DK445" s="1286"/>
      <c r="DL445" s="1286"/>
      <c r="DM445" s="1286"/>
      <c r="DN445" s="1286"/>
      <c r="DO445" s="1286"/>
      <c r="DP445" s="1286"/>
      <c r="DQ445" s="1286"/>
      <c r="DR445" s="1286"/>
      <c r="DS445" s="1286"/>
      <c r="DT445" s="1286"/>
      <c r="DU445" s="1286"/>
      <c r="DV445" s="1286"/>
      <c r="DW445" s="1286"/>
      <c r="DX445" s="1286"/>
      <c r="DY445" s="1286"/>
      <c r="DZ445" s="1286"/>
      <c r="EA445" s="1286"/>
      <c r="EB445" s="1206"/>
      <c r="EC445" s="1206"/>
      <c r="ED445" s="1206"/>
      <c r="EE445" s="1206"/>
      <c r="EF445" s="1206"/>
      <c r="EG445" s="1206"/>
      <c r="EH445" s="1206"/>
      <c r="EI445" s="1206"/>
      <c r="EJ445" s="1206"/>
      <c r="EK445" s="1206"/>
      <c r="EL445" s="1206"/>
      <c r="EM445" s="1313"/>
    </row>
    <row r="446" spans="2:143" s="1271" customFormat="1">
      <c r="B446" s="1263"/>
      <c r="C446" s="1285"/>
      <c r="D446" s="1091"/>
      <c r="E446" s="1265"/>
      <c r="F446" s="1285"/>
      <c r="G446" s="1264"/>
      <c r="H446" s="1264"/>
      <c r="I446" s="1285"/>
      <c r="J446" s="1285"/>
      <c r="K446" s="1285"/>
      <c r="L446" s="1285"/>
      <c r="M446" s="1285"/>
      <c r="N446" s="1285"/>
      <c r="O446" s="1285"/>
      <c r="P446" s="1285"/>
      <c r="Q446" s="1285"/>
      <c r="R446" s="1285"/>
      <c r="S446" s="1285"/>
      <c r="T446" s="1285"/>
      <c r="U446" s="1285"/>
      <c r="V446" s="1285"/>
      <c r="W446" s="1286"/>
      <c r="X446" s="1286"/>
      <c r="Y446" s="1286"/>
      <c r="Z446" s="1286"/>
      <c r="AA446" s="1286"/>
      <c r="AB446" s="1286"/>
      <c r="AC446" s="1286"/>
      <c r="AD446" s="1286"/>
      <c r="AE446" s="1286"/>
      <c r="AF446" s="1286"/>
      <c r="AG446" s="1286"/>
      <c r="AH446" s="1286"/>
      <c r="AI446" s="1286"/>
      <c r="AJ446" s="1286"/>
      <c r="AK446" s="1286"/>
      <c r="AL446" s="1286"/>
      <c r="AM446" s="1286"/>
      <c r="AN446" s="1286"/>
      <c r="AO446" s="1286"/>
      <c r="AP446" s="1286"/>
      <c r="AQ446" s="1286"/>
      <c r="AR446" s="1286"/>
      <c r="AS446" s="1286"/>
      <c r="AT446" s="1286"/>
      <c r="AU446" s="1286"/>
      <c r="AV446" s="1286"/>
      <c r="AW446" s="1286"/>
      <c r="AX446" s="1286"/>
      <c r="AY446" s="1286"/>
      <c r="AZ446" s="1286"/>
      <c r="BA446" s="1286"/>
      <c r="BB446" s="1286"/>
      <c r="BC446" s="1286"/>
      <c r="BD446" s="1286"/>
      <c r="BE446" s="1286"/>
      <c r="BF446" s="1286"/>
      <c r="BG446" s="1286"/>
      <c r="BH446" s="1286"/>
      <c r="BI446" s="1286"/>
      <c r="BJ446" s="1286"/>
      <c r="BK446" s="1286"/>
      <c r="BL446" s="1286"/>
      <c r="BM446" s="1286"/>
      <c r="BN446" s="1286"/>
      <c r="BO446" s="1286"/>
      <c r="BP446" s="1286"/>
      <c r="BQ446" s="1286"/>
      <c r="BR446" s="1286"/>
      <c r="BS446" s="1286"/>
      <c r="BT446" s="1286"/>
      <c r="BU446" s="1286"/>
      <c r="BV446" s="1286"/>
      <c r="BW446" s="1286"/>
      <c r="BX446" s="1286"/>
      <c r="BY446" s="1286"/>
      <c r="BZ446" s="1286"/>
      <c r="CA446" s="1286"/>
      <c r="CB446" s="1286"/>
      <c r="CC446" s="1286"/>
      <c r="CD446" s="1286"/>
      <c r="CE446" s="1286"/>
      <c r="CF446" s="1286"/>
      <c r="CG446" s="1286"/>
      <c r="CH446" s="1269"/>
      <c r="CI446" s="1286"/>
      <c r="CJ446" s="1286"/>
      <c r="CK446" s="1286"/>
      <c r="CL446" s="1286"/>
      <c r="CM446" s="1286"/>
      <c r="CN446" s="1286"/>
      <c r="CO446" s="1286"/>
      <c r="CP446" s="1286"/>
      <c r="CQ446" s="1286"/>
      <c r="CR446" s="1286"/>
      <c r="CS446" s="1286"/>
      <c r="CT446" s="1286"/>
      <c r="CU446" s="1286"/>
      <c r="CV446" s="1286"/>
      <c r="CW446" s="1286"/>
      <c r="CX446" s="1286"/>
      <c r="CY446" s="1286"/>
      <c r="CZ446" s="1286"/>
      <c r="DA446" s="1286"/>
      <c r="DB446" s="1286"/>
      <c r="DC446" s="1286"/>
      <c r="DD446" s="1286"/>
      <c r="DE446" s="1286"/>
      <c r="DF446" s="1286"/>
      <c r="DG446" s="1286"/>
      <c r="DH446" s="1286"/>
      <c r="DI446" s="1286"/>
      <c r="DJ446" s="1286"/>
      <c r="DK446" s="1286"/>
      <c r="DL446" s="1286"/>
      <c r="DM446" s="1286"/>
      <c r="DN446" s="1286"/>
      <c r="DO446" s="1286"/>
      <c r="DP446" s="1286"/>
      <c r="DQ446" s="1286"/>
      <c r="DR446" s="1286"/>
      <c r="DS446" s="1286"/>
      <c r="DT446" s="1286"/>
      <c r="DU446" s="1286"/>
      <c r="DV446" s="1286"/>
      <c r="DW446" s="1286"/>
      <c r="DX446" s="1286"/>
      <c r="DY446" s="1286"/>
      <c r="DZ446" s="1286"/>
      <c r="EA446" s="1286"/>
      <c r="EB446" s="1206"/>
      <c r="EC446" s="1206"/>
      <c r="ED446" s="1206"/>
      <c r="EE446" s="1206"/>
      <c r="EF446" s="1206"/>
      <c r="EG446" s="1206"/>
      <c r="EH446" s="1206"/>
      <c r="EI446" s="1206"/>
      <c r="EJ446" s="1206"/>
      <c r="EK446" s="1206"/>
      <c r="EL446" s="1206"/>
      <c r="EM446" s="1313"/>
    </row>
    <row r="447" spans="2:143" s="1271" customFormat="1">
      <c r="B447" s="1263"/>
      <c r="C447" s="1285"/>
      <c r="D447" s="1091"/>
      <c r="E447" s="1265"/>
      <c r="F447" s="1285"/>
      <c r="G447" s="1264"/>
      <c r="H447" s="1264"/>
      <c r="I447" s="1285"/>
      <c r="J447" s="1285"/>
      <c r="K447" s="1285"/>
      <c r="L447" s="1285"/>
      <c r="M447" s="1285"/>
      <c r="N447" s="1285"/>
      <c r="O447" s="1285"/>
      <c r="P447" s="1285"/>
      <c r="Q447" s="1285"/>
      <c r="R447" s="1285"/>
      <c r="S447" s="1285"/>
      <c r="T447" s="1285"/>
      <c r="U447" s="1285"/>
      <c r="V447" s="1285"/>
      <c r="W447" s="1286"/>
      <c r="X447" s="1286"/>
      <c r="Y447" s="1286"/>
      <c r="Z447" s="1286"/>
      <c r="AA447" s="1286"/>
      <c r="AB447" s="1286"/>
      <c r="AC447" s="1286"/>
      <c r="AD447" s="1286"/>
      <c r="AE447" s="1286"/>
      <c r="AF447" s="1286"/>
      <c r="AG447" s="1286"/>
      <c r="AH447" s="1286"/>
      <c r="AI447" s="1286"/>
      <c r="AJ447" s="1286"/>
      <c r="AK447" s="1286"/>
      <c r="AL447" s="1286"/>
      <c r="AM447" s="1286"/>
      <c r="AN447" s="1286"/>
      <c r="AO447" s="1286"/>
      <c r="AP447" s="1286"/>
      <c r="AQ447" s="1286"/>
      <c r="AR447" s="1286"/>
      <c r="AS447" s="1286"/>
      <c r="AT447" s="1286"/>
      <c r="AU447" s="1286"/>
      <c r="AV447" s="1286"/>
      <c r="AW447" s="1286"/>
      <c r="AX447" s="1286"/>
      <c r="AY447" s="1286"/>
      <c r="AZ447" s="1286"/>
      <c r="BA447" s="1286"/>
      <c r="BB447" s="1286"/>
      <c r="BC447" s="1286"/>
      <c r="BD447" s="1286"/>
      <c r="BE447" s="1286"/>
      <c r="BF447" s="1286"/>
      <c r="BG447" s="1286"/>
      <c r="BH447" s="1286"/>
      <c r="BI447" s="1286"/>
      <c r="BJ447" s="1286"/>
      <c r="BK447" s="1286"/>
      <c r="BL447" s="1286"/>
      <c r="BM447" s="1286"/>
      <c r="BN447" s="1286"/>
      <c r="BO447" s="1286"/>
      <c r="BP447" s="1286"/>
      <c r="BQ447" s="1286"/>
      <c r="BR447" s="1286"/>
      <c r="BS447" s="1286"/>
      <c r="BT447" s="1286"/>
      <c r="BU447" s="1286"/>
      <c r="BV447" s="1286"/>
      <c r="BW447" s="1286"/>
      <c r="BX447" s="1286"/>
      <c r="BY447" s="1286"/>
      <c r="BZ447" s="1286"/>
      <c r="CA447" s="1286"/>
      <c r="CB447" s="1286"/>
      <c r="CC447" s="1286"/>
      <c r="CD447" s="1286"/>
      <c r="CE447" s="1286"/>
      <c r="CF447" s="1286"/>
      <c r="CG447" s="1286"/>
      <c r="CH447" s="1269"/>
      <c r="CI447" s="1286"/>
      <c r="CJ447" s="1286"/>
      <c r="CK447" s="1286"/>
      <c r="CL447" s="1286"/>
      <c r="CM447" s="1286"/>
      <c r="CN447" s="1286"/>
      <c r="CO447" s="1286"/>
      <c r="CP447" s="1286"/>
      <c r="CQ447" s="1286"/>
      <c r="CR447" s="1286"/>
      <c r="CS447" s="1286"/>
      <c r="CT447" s="1286"/>
      <c r="CU447" s="1286"/>
      <c r="CV447" s="1286"/>
      <c r="CW447" s="1286"/>
      <c r="CX447" s="1286"/>
      <c r="CY447" s="1286"/>
      <c r="CZ447" s="1286"/>
      <c r="DA447" s="1286"/>
      <c r="DB447" s="1286"/>
      <c r="DC447" s="1286"/>
      <c r="DD447" s="1286"/>
      <c r="DE447" s="1286"/>
      <c r="DF447" s="1286"/>
      <c r="DG447" s="1286"/>
      <c r="DH447" s="1286"/>
      <c r="DI447" s="1286"/>
      <c r="DJ447" s="1286"/>
      <c r="DK447" s="1286"/>
      <c r="DL447" s="1286"/>
      <c r="DM447" s="1286"/>
      <c r="DN447" s="1286"/>
      <c r="DO447" s="1286"/>
      <c r="DP447" s="1286"/>
      <c r="DQ447" s="1286"/>
      <c r="DR447" s="1286"/>
      <c r="DS447" s="1286"/>
      <c r="DT447" s="1286"/>
      <c r="DU447" s="1286"/>
      <c r="DV447" s="1286"/>
      <c r="DW447" s="1286"/>
      <c r="DX447" s="1286"/>
      <c r="DY447" s="1286"/>
      <c r="DZ447" s="1286"/>
      <c r="EA447" s="1286"/>
      <c r="EB447" s="1206"/>
      <c r="EC447" s="1206"/>
      <c r="ED447" s="1206"/>
      <c r="EE447" s="1206"/>
      <c r="EF447" s="1206"/>
      <c r="EG447" s="1206"/>
      <c r="EH447" s="1206"/>
      <c r="EI447" s="1206"/>
      <c r="EJ447" s="1206"/>
      <c r="EK447" s="1206"/>
      <c r="EL447" s="1206"/>
      <c r="EM447" s="1313"/>
    </row>
    <row r="448" spans="2:143" s="1271" customFormat="1">
      <c r="B448" s="1263"/>
      <c r="C448" s="1285"/>
      <c r="D448" s="1091"/>
      <c r="E448" s="1265"/>
      <c r="F448" s="1285"/>
      <c r="G448" s="1264"/>
      <c r="H448" s="1264"/>
      <c r="I448" s="1285"/>
      <c r="J448" s="1285"/>
      <c r="K448" s="1285"/>
      <c r="L448" s="1285"/>
      <c r="M448" s="1285"/>
      <c r="N448" s="1285"/>
      <c r="O448" s="1285"/>
      <c r="P448" s="1285"/>
      <c r="Q448" s="1285"/>
      <c r="R448" s="1285"/>
      <c r="S448" s="1285"/>
      <c r="T448" s="1285"/>
      <c r="U448" s="1285"/>
      <c r="V448" s="1285"/>
      <c r="W448" s="1286"/>
      <c r="X448" s="1286"/>
      <c r="Y448" s="1286"/>
      <c r="Z448" s="1286"/>
      <c r="AA448" s="1286"/>
      <c r="AB448" s="1286"/>
      <c r="AC448" s="1286"/>
      <c r="AD448" s="1286"/>
      <c r="AE448" s="1286"/>
      <c r="AF448" s="1286"/>
      <c r="AG448" s="1286"/>
      <c r="AH448" s="1286"/>
      <c r="AI448" s="1286"/>
      <c r="AJ448" s="1286"/>
      <c r="AK448" s="1286"/>
      <c r="AL448" s="1286"/>
      <c r="AM448" s="1286"/>
      <c r="AN448" s="1286"/>
      <c r="AO448" s="1286"/>
      <c r="AP448" s="1286"/>
      <c r="AQ448" s="1286"/>
      <c r="AR448" s="1286"/>
      <c r="AS448" s="1286"/>
      <c r="AT448" s="1286"/>
      <c r="AU448" s="1286"/>
      <c r="AV448" s="1286"/>
      <c r="AW448" s="1286"/>
      <c r="AX448" s="1286"/>
      <c r="AY448" s="1286"/>
      <c r="AZ448" s="1286"/>
      <c r="BA448" s="1286"/>
      <c r="BB448" s="1286"/>
      <c r="BC448" s="1286"/>
      <c r="BD448" s="1286"/>
      <c r="BE448" s="1286"/>
      <c r="BF448" s="1286"/>
      <c r="BG448" s="1286"/>
      <c r="BH448" s="1286"/>
      <c r="BI448" s="1286"/>
      <c r="BJ448" s="1286"/>
      <c r="BK448" s="1286"/>
      <c r="BL448" s="1286"/>
      <c r="BM448" s="1286"/>
      <c r="BN448" s="1286"/>
      <c r="BO448" s="1286"/>
      <c r="BP448" s="1286"/>
      <c r="BQ448" s="1286"/>
      <c r="BR448" s="1286"/>
      <c r="BS448" s="1286"/>
      <c r="BT448" s="1286"/>
      <c r="BU448" s="1286"/>
      <c r="BV448" s="1286"/>
      <c r="BW448" s="1286"/>
      <c r="BX448" s="1286"/>
      <c r="BY448" s="1286"/>
      <c r="BZ448" s="1286"/>
      <c r="CA448" s="1286"/>
      <c r="CB448" s="1286"/>
      <c r="CC448" s="1286"/>
      <c r="CD448" s="1286"/>
      <c r="CE448" s="1286"/>
      <c r="CF448" s="1286"/>
      <c r="CG448" s="1286"/>
      <c r="CH448" s="1269"/>
      <c r="CI448" s="1286"/>
      <c r="CJ448" s="1286"/>
      <c r="CK448" s="1286"/>
      <c r="CL448" s="1286"/>
      <c r="CM448" s="1286"/>
      <c r="CN448" s="1286"/>
      <c r="CO448" s="1286"/>
      <c r="CP448" s="1286"/>
      <c r="CQ448" s="1286"/>
      <c r="CR448" s="1286"/>
      <c r="CS448" s="1286"/>
      <c r="CT448" s="1286"/>
      <c r="CU448" s="1286"/>
      <c r="CV448" s="1286"/>
      <c r="CW448" s="1286"/>
      <c r="CX448" s="1286"/>
      <c r="CY448" s="1286"/>
      <c r="CZ448" s="1286"/>
      <c r="DA448" s="1286"/>
      <c r="DB448" s="1286"/>
      <c r="DC448" s="1286"/>
      <c r="DD448" s="1286"/>
      <c r="DE448" s="1286"/>
      <c r="DF448" s="1286"/>
      <c r="DG448" s="1286"/>
      <c r="DH448" s="1286"/>
      <c r="DI448" s="1286"/>
      <c r="DJ448" s="1286"/>
      <c r="DK448" s="1286"/>
      <c r="DL448" s="1286"/>
      <c r="DM448" s="1286"/>
      <c r="DN448" s="1286"/>
      <c r="DO448" s="1286"/>
      <c r="DP448" s="1286"/>
      <c r="DQ448" s="1286"/>
      <c r="DR448" s="1286"/>
      <c r="DS448" s="1286"/>
      <c r="DT448" s="1286"/>
      <c r="DU448" s="1286"/>
      <c r="DV448" s="1286"/>
      <c r="DW448" s="1286"/>
      <c r="DX448" s="1286"/>
      <c r="DY448" s="1286"/>
      <c r="DZ448" s="1286"/>
      <c r="EA448" s="1286"/>
      <c r="EB448" s="1206"/>
      <c r="EC448" s="1206"/>
      <c r="ED448" s="1206"/>
      <c r="EE448" s="1206"/>
      <c r="EF448" s="1206"/>
      <c r="EG448" s="1206"/>
      <c r="EH448" s="1206"/>
      <c r="EI448" s="1206"/>
      <c r="EJ448" s="1206"/>
      <c r="EK448" s="1206"/>
      <c r="EL448" s="1206"/>
      <c r="EM448" s="1313"/>
    </row>
    <row r="449" spans="2:143" s="1271" customFormat="1">
      <c r="B449" s="1263"/>
      <c r="C449" s="1285"/>
      <c r="D449" s="1091"/>
      <c r="E449" s="1265"/>
      <c r="F449" s="1285"/>
      <c r="G449" s="1264"/>
      <c r="H449" s="1264"/>
      <c r="I449" s="1285"/>
      <c r="J449" s="1285"/>
      <c r="K449" s="1285"/>
      <c r="L449" s="1285"/>
      <c r="M449" s="1285"/>
      <c r="N449" s="1285"/>
      <c r="O449" s="1285"/>
      <c r="P449" s="1285"/>
      <c r="Q449" s="1285"/>
      <c r="R449" s="1285"/>
      <c r="S449" s="1285"/>
      <c r="T449" s="1285"/>
      <c r="U449" s="1285"/>
      <c r="V449" s="1285"/>
      <c r="W449" s="1286"/>
      <c r="X449" s="1286"/>
      <c r="Y449" s="1286"/>
      <c r="Z449" s="1286"/>
      <c r="AA449" s="1286"/>
      <c r="AB449" s="1286"/>
      <c r="AC449" s="1286"/>
      <c r="AD449" s="1286"/>
      <c r="AE449" s="1286"/>
      <c r="AF449" s="1286"/>
      <c r="AG449" s="1286"/>
      <c r="AH449" s="1286"/>
      <c r="AI449" s="1286"/>
      <c r="AJ449" s="1286"/>
      <c r="AK449" s="1286"/>
      <c r="AL449" s="1286"/>
      <c r="AM449" s="1286"/>
      <c r="AN449" s="1286"/>
      <c r="AO449" s="1286"/>
      <c r="AP449" s="1286"/>
      <c r="AQ449" s="1286"/>
      <c r="AR449" s="1286"/>
      <c r="AS449" s="1286"/>
      <c r="AT449" s="1286"/>
      <c r="AU449" s="1286"/>
      <c r="AV449" s="1286"/>
      <c r="AW449" s="1286"/>
      <c r="AX449" s="1286"/>
      <c r="AY449" s="1286"/>
      <c r="AZ449" s="1286"/>
      <c r="BA449" s="1286"/>
      <c r="BB449" s="1286"/>
      <c r="BC449" s="1286"/>
      <c r="BD449" s="1286"/>
      <c r="BE449" s="1286"/>
      <c r="BF449" s="1286"/>
      <c r="BG449" s="1286"/>
      <c r="BH449" s="1286"/>
      <c r="BI449" s="1286"/>
      <c r="BJ449" s="1286"/>
      <c r="BK449" s="1286"/>
      <c r="BL449" s="1286"/>
      <c r="BM449" s="1286"/>
      <c r="BN449" s="1286"/>
      <c r="BO449" s="1286"/>
      <c r="BP449" s="1286"/>
      <c r="BQ449" s="1286"/>
      <c r="BR449" s="1286"/>
      <c r="BS449" s="1286"/>
      <c r="BT449" s="1286"/>
      <c r="BU449" s="1286"/>
      <c r="BV449" s="1286"/>
      <c r="BW449" s="1286"/>
      <c r="BX449" s="1286"/>
      <c r="BY449" s="1286"/>
      <c r="BZ449" s="1286"/>
      <c r="CA449" s="1286"/>
      <c r="CB449" s="1286"/>
      <c r="CC449" s="1286"/>
      <c r="CD449" s="1286"/>
      <c r="CE449" s="1286"/>
      <c r="CF449" s="1286"/>
      <c r="CG449" s="1286"/>
      <c r="CH449" s="1269"/>
      <c r="CI449" s="1286"/>
      <c r="CJ449" s="1286"/>
      <c r="CK449" s="1286"/>
      <c r="CL449" s="1286"/>
      <c r="CM449" s="1286"/>
      <c r="CN449" s="1286"/>
      <c r="CO449" s="1286"/>
      <c r="CP449" s="1286"/>
      <c r="CQ449" s="1286"/>
      <c r="CR449" s="1286"/>
      <c r="CS449" s="1286"/>
      <c r="CT449" s="1286"/>
      <c r="CU449" s="1286"/>
      <c r="CV449" s="1286"/>
      <c r="CW449" s="1286"/>
      <c r="CX449" s="1286"/>
      <c r="CY449" s="1286"/>
      <c r="CZ449" s="1286"/>
      <c r="DA449" s="1286"/>
      <c r="DB449" s="1286"/>
      <c r="DC449" s="1286"/>
      <c r="DD449" s="1286"/>
      <c r="DE449" s="1286"/>
      <c r="DF449" s="1286"/>
      <c r="DG449" s="1286"/>
      <c r="DH449" s="1286"/>
      <c r="DI449" s="1286"/>
      <c r="DJ449" s="1286"/>
      <c r="DK449" s="1286"/>
      <c r="DL449" s="1286"/>
      <c r="DM449" s="1286"/>
      <c r="DN449" s="1286"/>
      <c r="DO449" s="1286"/>
      <c r="DP449" s="1286"/>
      <c r="DQ449" s="1286"/>
      <c r="DR449" s="1286"/>
      <c r="DS449" s="1286"/>
      <c r="DT449" s="1286"/>
      <c r="DU449" s="1286"/>
      <c r="DV449" s="1286"/>
      <c r="DW449" s="1286"/>
      <c r="DX449" s="1286"/>
      <c r="DY449" s="1286"/>
      <c r="DZ449" s="1286"/>
      <c r="EA449" s="1286"/>
      <c r="EB449" s="1206"/>
      <c r="EC449" s="1206"/>
      <c r="ED449" s="1206"/>
      <c r="EE449" s="1206"/>
      <c r="EF449" s="1206"/>
      <c r="EG449" s="1206"/>
      <c r="EH449" s="1206"/>
      <c r="EI449" s="1206"/>
      <c r="EJ449" s="1206"/>
      <c r="EK449" s="1206"/>
      <c r="EL449" s="1206"/>
      <c r="EM449" s="1313"/>
    </row>
    <row r="450" spans="2:143" s="1271" customFormat="1">
      <c r="B450" s="1263"/>
      <c r="C450" s="1285"/>
      <c r="D450" s="1091"/>
      <c r="E450" s="1265"/>
      <c r="F450" s="1285"/>
      <c r="G450" s="1264"/>
      <c r="H450" s="1264"/>
      <c r="I450" s="1285"/>
      <c r="J450" s="1285"/>
      <c r="K450" s="1285"/>
      <c r="L450" s="1285"/>
      <c r="M450" s="1285"/>
      <c r="N450" s="1285"/>
      <c r="O450" s="1285"/>
      <c r="P450" s="1285"/>
      <c r="Q450" s="1285"/>
      <c r="R450" s="1285"/>
      <c r="S450" s="1285"/>
      <c r="T450" s="1285"/>
      <c r="U450" s="1285"/>
      <c r="V450" s="1285"/>
      <c r="W450" s="1286"/>
      <c r="X450" s="1286"/>
      <c r="Y450" s="1286"/>
      <c r="Z450" s="1286"/>
      <c r="AA450" s="1286"/>
      <c r="AB450" s="1286"/>
      <c r="AC450" s="1286"/>
      <c r="AD450" s="1286"/>
      <c r="AE450" s="1286"/>
      <c r="AF450" s="1286"/>
      <c r="AG450" s="1286"/>
      <c r="AH450" s="1286"/>
      <c r="AI450" s="1286"/>
      <c r="AJ450" s="1286"/>
      <c r="AK450" s="1286"/>
      <c r="AL450" s="1286"/>
      <c r="AM450" s="1286"/>
      <c r="AN450" s="1286"/>
      <c r="AO450" s="1286"/>
      <c r="AP450" s="1286"/>
      <c r="AQ450" s="1286"/>
      <c r="AR450" s="1286"/>
      <c r="AS450" s="1286"/>
      <c r="AT450" s="1286"/>
      <c r="AU450" s="1286"/>
      <c r="AV450" s="1286"/>
      <c r="AW450" s="1286"/>
      <c r="AX450" s="1286"/>
      <c r="AY450" s="1286"/>
      <c r="AZ450" s="1286"/>
      <c r="BA450" s="1286"/>
      <c r="BB450" s="1286"/>
      <c r="BC450" s="1286"/>
      <c r="BD450" s="1286"/>
      <c r="BE450" s="1286"/>
      <c r="BF450" s="1286"/>
      <c r="BG450" s="1286"/>
      <c r="BH450" s="1286"/>
      <c r="BI450" s="1286"/>
      <c r="BJ450" s="1286"/>
      <c r="BK450" s="1286"/>
      <c r="BL450" s="1286"/>
      <c r="BM450" s="1286"/>
      <c r="BN450" s="1286"/>
      <c r="BO450" s="1286"/>
      <c r="BP450" s="1286"/>
      <c r="BQ450" s="1286"/>
      <c r="BR450" s="1286"/>
      <c r="BS450" s="1286"/>
      <c r="BT450" s="1286"/>
      <c r="BU450" s="1286"/>
      <c r="BV450" s="1286"/>
      <c r="BW450" s="1286"/>
      <c r="BX450" s="1286"/>
      <c r="BY450" s="1286"/>
      <c r="BZ450" s="1286"/>
      <c r="CA450" s="1286"/>
      <c r="CB450" s="1286"/>
      <c r="CC450" s="1286"/>
      <c r="CD450" s="1286"/>
      <c r="CE450" s="1286"/>
      <c r="CF450" s="1286"/>
      <c r="CG450" s="1286"/>
      <c r="CH450" s="1269"/>
      <c r="CI450" s="1286"/>
      <c r="CJ450" s="1286"/>
      <c r="CK450" s="1286"/>
      <c r="CL450" s="1286"/>
      <c r="CM450" s="1286"/>
      <c r="CN450" s="1286"/>
      <c r="CO450" s="1286"/>
      <c r="CP450" s="1286"/>
      <c r="CQ450" s="1286"/>
      <c r="CR450" s="1286"/>
      <c r="CS450" s="1286"/>
      <c r="CT450" s="1286"/>
      <c r="CU450" s="1286"/>
      <c r="CV450" s="1286"/>
      <c r="CW450" s="1286"/>
      <c r="CX450" s="1286"/>
      <c r="CY450" s="1286"/>
      <c r="CZ450" s="1286"/>
      <c r="DA450" s="1286"/>
      <c r="DB450" s="1286"/>
      <c r="DC450" s="1286"/>
      <c r="DD450" s="1286"/>
      <c r="DE450" s="1286"/>
      <c r="DF450" s="1286"/>
      <c r="DG450" s="1286"/>
      <c r="DH450" s="1286"/>
      <c r="DI450" s="1286"/>
      <c r="DJ450" s="1286"/>
      <c r="DK450" s="1286"/>
      <c r="DL450" s="1286"/>
      <c r="DM450" s="1286"/>
      <c r="DN450" s="1286"/>
      <c r="DO450" s="1286"/>
      <c r="DP450" s="1286"/>
      <c r="DQ450" s="1286"/>
      <c r="DR450" s="1286"/>
      <c r="DS450" s="1286"/>
      <c r="DT450" s="1286"/>
      <c r="DU450" s="1286"/>
      <c r="DV450" s="1286"/>
      <c r="DW450" s="1286"/>
      <c r="DX450" s="1286"/>
      <c r="DY450" s="1286"/>
      <c r="DZ450" s="1286"/>
      <c r="EA450" s="1286"/>
      <c r="EB450" s="1206"/>
      <c r="EC450" s="1206"/>
      <c r="ED450" s="1206"/>
      <c r="EE450" s="1206"/>
      <c r="EF450" s="1206"/>
      <c r="EG450" s="1206"/>
      <c r="EH450" s="1206"/>
      <c r="EI450" s="1206"/>
      <c r="EJ450" s="1206"/>
      <c r="EK450" s="1206"/>
      <c r="EL450" s="1206"/>
      <c r="EM450" s="1313"/>
    </row>
    <row r="451" spans="2:143" s="1271" customFormat="1">
      <c r="B451" s="1263"/>
      <c r="C451" s="1285"/>
      <c r="D451" s="1091"/>
      <c r="E451" s="1265"/>
      <c r="F451" s="1285"/>
      <c r="G451" s="1264"/>
      <c r="H451" s="1264"/>
      <c r="I451" s="1285"/>
      <c r="J451" s="1285"/>
      <c r="K451" s="1285"/>
      <c r="L451" s="1285"/>
      <c r="M451" s="1285"/>
      <c r="N451" s="1285"/>
      <c r="O451" s="1285"/>
      <c r="P451" s="1285"/>
      <c r="Q451" s="1285"/>
      <c r="R451" s="1285"/>
      <c r="S451" s="1285"/>
      <c r="T451" s="1285"/>
      <c r="U451" s="1285"/>
      <c r="V451" s="1285"/>
      <c r="W451" s="1286"/>
      <c r="X451" s="1286"/>
      <c r="Y451" s="1286"/>
      <c r="Z451" s="1286"/>
      <c r="AA451" s="1286"/>
      <c r="AB451" s="1286"/>
      <c r="AC451" s="1286"/>
      <c r="AD451" s="1286"/>
      <c r="AE451" s="1286"/>
      <c r="AF451" s="1286"/>
      <c r="AG451" s="1286"/>
      <c r="AH451" s="1286"/>
      <c r="AI451" s="1286"/>
      <c r="AJ451" s="1286"/>
      <c r="AK451" s="1286"/>
      <c r="AL451" s="1286"/>
      <c r="AM451" s="1286"/>
      <c r="AN451" s="1286"/>
      <c r="AO451" s="1286"/>
      <c r="AP451" s="1286"/>
      <c r="AQ451" s="1286"/>
      <c r="AR451" s="1286"/>
      <c r="AS451" s="1286"/>
      <c r="AT451" s="1286"/>
      <c r="AU451" s="1286"/>
      <c r="AV451" s="1286"/>
      <c r="AW451" s="1286"/>
      <c r="AX451" s="1286"/>
      <c r="AY451" s="1286"/>
      <c r="AZ451" s="1286"/>
      <c r="BA451" s="1286"/>
      <c r="BB451" s="1286"/>
      <c r="BC451" s="1286"/>
      <c r="BD451" s="1286"/>
      <c r="BE451" s="1286"/>
      <c r="BF451" s="1286"/>
      <c r="BG451" s="1286"/>
      <c r="BH451" s="1286"/>
      <c r="BI451" s="1286"/>
      <c r="BJ451" s="1286"/>
      <c r="BK451" s="1286"/>
      <c r="BL451" s="1286"/>
      <c r="BM451" s="1286"/>
      <c r="BN451" s="1286"/>
      <c r="BO451" s="1286"/>
      <c r="BP451" s="1286"/>
      <c r="BQ451" s="1286"/>
      <c r="BR451" s="1286"/>
      <c r="BS451" s="1286"/>
      <c r="BT451" s="1286"/>
      <c r="BU451" s="1286"/>
      <c r="BV451" s="1286"/>
      <c r="BW451" s="1286"/>
      <c r="BX451" s="1286"/>
      <c r="BY451" s="1286"/>
      <c r="BZ451" s="1286"/>
      <c r="CA451" s="1286"/>
      <c r="CB451" s="1286"/>
      <c r="CC451" s="1286"/>
      <c r="CD451" s="1286"/>
      <c r="CE451" s="1286"/>
      <c r="CF451" s="1286"/>
      <c r="CG451" s="1286"/>
      <c r="CH451" s="1269"/>
      <c r="CI451" s="1286"/>
      <c r="CJ451" s="1286"/>
      <c r="CK451" s="1286"/>
      <c r="CL451" s="1286"/>
      <c r="CM451" s="1286"/>
      <c r="CN451" s="1286"/>
      <c r="CO451" s="1286"/>
      <c r="CP451" s="1286"/>
      <c r="CQ451" s="1286"/>
      <c r="CR451" s="1286"/>
      <c r="CS451" s="1286"/>
      <c r="CT451" s="1286"/>
      <c r="CU451" s="1286"/>
      <c r="CV451" s="1286"/>
      <c r="CW451" s="1286"/>
      <c r="CX451" s="1286"/>
      <c r="CY451" s="1286"/>
      <c r="CZ451" s="1286"/>
      <c r="DA451" s="1286"/>
      <c r="DB451" s="1286"/>
      <c r="DC451" s="1286"/>
      <c r="DD451" s="1286"/>
      <c r="DE451" s="1286"/>
      <c r="DF451" s="1286"/>
      <c r="DG451" s="1286"/>
      <c r="DH451" s="1286"/>
      <c r="DI451" s="1286"/>
      <c r="DJ451" s="1286"/>
      <c r="DK451" s="1286"/>
      <c r="DL451" s="1286"/>
      <c r="DM451" s="1286"/>
      <c r="DN451" s="1286"/>
      <c r="DO451" s="1286"/>
      <c r="DP451" s="1286"/>
      <c r="DQ451" s="1286"/>
      <c r="DR451" s="1286"/>
      <c r="DS451" s="1286"/>
      <c r="DT451" s="1286"/>
      <c r="DU451" s="1286"/>
      <c r="DV451" s="1286"/>
      <c r="DW451" s="1286"/>
      <c r="DX451" s="1286"/>
      <c r="DY451" s="1286"/>
      <c r="DZ451" s="1286"/>
      <c r="EA451" s="1286"/>
      <c r="EB451" s="1206"/>
      <c r="EC451" s="1206"/>
      <c r="ED451" s="1206"/>
      <c r="EE451" s="1206"/>
      <c r="EF451" s="1206"/>
      <c r="EG451" s="1206"/>
      <c r="EH451" s="1206"/>
      <c r="EI451" s="1206"/>
      <c r="EJ451" s="1206"/>
      <c r="EK451" s="1206"/>
      <c r="EL451" s="1206"/>
      <c r="EM451" s="1313"/>
    </row>
    <row r="452" spans="2:143" s="1271" customFormat="1">
      <c r="B452" s="1263"/>
      <c r="C452" s="1285"/>
      <c r="D452" s="1091"/>
      <c r="E452" s="1265"/>
      <c r="F452" s="1285"/>
      <c r="G452" s="1264"/>
      <c r="H452" s="1264"/>
      <c r="I452" s="1285"/>
      <c r="J452" s="1285"/>
      <c r="K452" s="1285"/>
      <c r="L452" s="1285"/>
      <c r="M452" s="1285"/>
      <c r="N452" s="1285"/>
      <c r="O452" s="1285"/>
      <c r="P452" s="1285"/>
      <c r="Q452" s="1285"/>
      <c r="R452" s="1285"/>
      <c r="S452" s="1285"/>
      <c r="T452" s="1285"/>
      <c r="U452" s="1285"/>
      <c r="V452" s="1285"/>
      <c r="W452" s="1286"/>
      <c r="X452" s="1286"/>
      <c r="Y452" s="1286"/>
      <c r="Z452" s="1286"/>
      <c r="AA452" s="1286"/>
      <c r="AB452" s="1286"/>
      <c r="AC452" s="1286"/>
      <c r="AD452" s="1286"/>
      <c r="AE452" s="1286"/>
      <c r="AF452" s="1286"/>
      <c r="AG452" s="1286"/>
      <c r="AH452" s="1286"/>
      <c r="AI452" s="1286"/>
      <c r="AJ452" s="1286"/>
      <c r="AK452" s="1286"/>
      <c r="AL452" s="1286"/>
      <c r="AM452" s="1286"/>
      <c r="AN452" s="1286"/>
      <c r="AO452" s="1286"/>
      <c r="AP452" s="1286"/>
      <c r="AQ452" s="1286"/>
      <c r="AR452" s="1286"/>
      <c r="AS452" s="1286"/>
      <c r="AT452" s="1286"/>
      <c r="AU452" s="1286"/>
      <c r="AV452" s="1286"/>
      <c r="AW452" s="1286"/>
      <c r="AX452" s="1286"/>
      <c r="AY452" s="1286"/>
      <c r="AZ452" s="1286"/>
      <c r="BA452" s="1286"/>
      <c r="BB452" s="1286"/>
      <c r="BC452" s="1286"/>
      <c r="BD452" s="1286"/>
      <c r="BE452" s="1286"/>
      <c r="BF452" s="1286"/>
      <c r="BG452" s="1286"/>
      <c r="BH452" s="1286"/>
      <c r="BI452" s="1286"/>
      <c r="BJ452" s="1286"/>
      <c r="BK452" s="1286"/>
      <c r="BL452" s="1286"/>
      <c r="BM452" s="1286"/>
      <c r="BN452" s="1286"/>
      <c r="BO452" s="1286"/>
      <c r="BP452" s="1286"/>
      <c r="BQ452" s="1286"/>
      <c r="BR452" s="1286"/>
      <c r="BS452" s="1286"/>
      <c r="BT452" s="1286"/>
      <c r="BU452" s="1286"/>
      <c r="BV452" s="1286"/>
      <c r="BW452" s="1286"/>
      <c r="BX452" s="1286"/>
      <c r="BY452" s="1286"/>
      <c r="BZ452" s="1286"/>
      <c r="CA452" s="1286"/>
      <c r="CB452" s="1286"/>
      <c r="CC452" s="1286"/>
      <c r="CD452" s="1286"/>
      <c r="CE452" s="1286"/>
      <c r="CF452" s="1286"/>
      <c r="CG452" s="1286"/>
      <c r="CH452" s="1269"/>
      <c r="CI452" s="1286"/>
      <c r="CJ452" s="1286"/>
      <c r="CK452" s="1286"/>
      <c r="CL452" s="1286"/>
      <c r="CM452" s="1286"/>
      <c r="CN452" s="1286"/>
      <c r="CO452" s="1286"/>
      <c r="CP452" s="1286"/>
      <c r="CQ452" s="1286"/>
      <c r="CR452" s="1286"/>
      <c r="CS452" s="1286"/>
      <c r="CT452" s="1286"/>
      <c r="CU452" s="1286"/>
      <c r="CV452" s="1286"/>
      <c r="CW452" s="1286"/>
      <c r="CX452" s="1286"/>
      <c r="CY452" s="1286"/>
      <c r="CZ452" s="1286"/>
      <c r="DA452" s="1286"/>
      <c r="DB452" s="1286"/>
      <c r="DC452" s="1286"/>
      <c r="DD452" s="1286"/>
      <c r="DE452" s="1286"/>
      <c r="DF452" s="1286"/>
      <c r="DG452" s="1286"/>
      <c r="DH452" s="1286"/>
      <c r="DI452" s="1286"/>
      <c r="DJ452" s="1286"/>
      <c r="DK452" s="1286"/>
      <c r="DL452" s="1286"/>
      <c r="DM452" s="1286"/>
      <c r="DN452" s="1286"/>
      <c r="DO452" s="1286"/>
      <c r="DP452" s="1286"/>
      <c r="DQ452" s="1286"/>
      <c r="DR452" s="1286"/>
      <c r="DS452" s="1286"/>
      <c r="DT452" s="1286"/>
      <c r="DU452" s="1286"/>
      <c r="DV452" s="1286"/>
      <c r="DW452" s="1286"/>
      <c r="DX452" s="1286"/>
      <c r="DY452" s="1286"/>
      <c r="DZ452" s="1286"/>
      <c r="EA452" s="1286"/>
      <c r="EB452" s="1206"/>
      <c r="EC452" s="1206"/>
      <c r="ED452" s="1206"/>
      <c r="EE452" s="1206"/>
      <c r="EF452" s="1206"/>
      <c r="EG452" s="1206"/>
      <c r="EH452" s="1206"/>
      <c r="EI452" s="1206"/>
      <c r="EJ452" s="1206"/>
      <c r="EK452" s="1206"/>
      <c r="EL452" s="1206"/>
      <c r="EM452" s="1313"/>
    </row>
    <row r="453" spans="2:143" s="1271" customFormat="1">
      <c r="B453" s="1263"/>
      <c r="C453" s="1285"/>
      <c r="D453" s="1091"/>
      <c r="E453" s="1265"/>
      <c r="F453" s="1285"/>
      <c r="G453" s="1264"/>
      <c r="H453" s="1264"/>
      <c r="I453" s="1285"/>
      <c r="J453" s="1285"/>
      <c r="K453" s="1285"/>
      <c r="L453" s="1285"/>
      <c r="M453" s="1285"/>
      <c r="N453" s="1285"/>
      <c r="O453" s="1285"/>
      <c r="P453" s="1285"/>
      <c r="Q453" s="1285"/>
      <c r="R453" s="1285"/>
      <c r="S453" s="1285"/>
      <c r="T453" s="1285"/>
      <c r="U453" s="1285"/>
      <c r="V453" s="1285"/>
      <c r="W453" s="1286"/>
      <c r="X453" s="1286"/>
      <c r="Y453" s="1286"/>
      <c r="Z453" s="1286"/>
      <c r="AA453" s="1286"/>
      <c r="AB453" s="1286"/>
      <c r="AC453" s="1286"/>
      <c r="AD453" s="1286"/>
      <c r="AE453" s="1286"/>
      <c r="AF453" s="1286"/>
      <c r="AG453" s="1286"/>
      <c r="AH453" s="1286"/>
      <c r="AI453" s="1286"/>
      <c r="AJ453" s="1286"/>
      <c r="AK453" s="1286"/>
      <c r="AL453" s="1286"/>
      <c r="AM453" s="1286"/>
      <c r="AN453" s="1286"/>
      <c r="AO453" s="1286"/>
      <c r="AP453" s="1286"/>
      <c r="AQ453" s="1286"/>
      <c r="AR453" s="1286"/>
      <c r="AS453" s="1286"/>
      <c r="AT453" s="1286"/>
      <c r="AU453" s="1286"/>
      <c r="AV453" s="1286"/>
      <c r="AW453" s="1286"/>
      <c r="AX453" s="1286"/>
      <c r="AY453" s="1286"/>
      <c r="AZ453" s="1286"/>
      <c r="BA453" s="1286"/>
      <c r="BB453" s="1286"/>
      <c r="BC453" s="1286"/>
      <c r="BD453" s="1286"/>
      <c r="BE453" s="1286"/>
      <c r="BF453" s="1286"/>
      <c r="BG453" s="1286"/>
      <c r="BH453" s="1286"/>
      <c r="BI453" s="1286"/>
      <c r="BJ453" s="1286"/>
      <c r="BK453" s="1286"/>
      <c r="BL453" s="1286"/>
      <c r="BM453" s="1286"/>
      <c r="BN453" s="1286"/>
      <c r="BO453" s="1286"/>
      <c r="BP453" s="1286"/>
      <c r="BQ453" s="1286"/>
      <c r="BR453" s="1286"/>
      <c r="BS453" s="1286"/>
      <c r="BT453" s="1286"/>
      <c r="BU453" s="1286"/>
      <c r="BV453" s="1286"/>
      <c r="BW453" s="1286"/>
      <c r="BX453" s="1286"/>
      <c r="BY453" s="1286"/>
      <c r="BZ453" s="1286"/>
      <c r="CA453" s="1286"/>
      <c r="CB453" s="1286"/>
      <c r="CC453" s="1286"/>
      <c r="CD453" s="1286"/>
      <c r="CE453" s="1286"/>
      <c r="CF453" s="1286"/>
      <c r="CG453" s="1286"/>
      <c r="CH453" s="1269"/>
      <c r="CI453" s="1286"/>
      <c r="CJ453" s="1286"/>
      <c r="CK453" s="1286"/>
      <c r="CL453" s="1286"/>
      <c r="CM453" s="1286"/>
      <c r="CN453" s="1286"/>
      <c r="CO453" s="1286"/>
      <c r="CP453" s="1286"/>
      <c r="CQ453" s="1286"/>
      <c r="CR453" s="1286"/>
      <c r="CS453" s="1286"/>
      <c r="CT453" s="1286"/>
      <c r="CU453" s="1286"/>
      <c r="CV453" s="1286"/>
      <c r="CW453" s="1286"/>
      <c r="CX453" s="1286"/>
      <c r="CY453" s="1286"/>
      <c r="CZ453" s="1286"/>
      <c r="DA453" s="1286"/>
      <c r="DB453" s="1286"/>
      <c r="DC453" s="1286"/>
      <c r="DD453" s="1286"/>
      <c r="DE453" s="1286"/>
      <c r="DF453" s="1286"/>
      <c r="DG453" s="1286"/>
      <c r="DH453" s="1286"/>
      <c r="DI453" s="1286"/>
      <c r="DJ453" s="1286"/>
      <c r="DK453" s="1286"/>
      <c r="DL453" s="1286"/>
      <c r="DM453" s="1286"/>
      <c r="DN453" s="1286"/>
      <c r="DO453" s="1286"/>
      <c r="DP453" s="1286"/>
      <c r="DQ453" s="1286"/>
      <c r="DR453" s="1286"/>
      <c r="DS453" s="1286"/>
      <c r="DT453" s="1286"/>
      <c r="DU453" s="1286"/>
      <c r="DV453" s="1286"/>
      <c r="DW453" s="1286"/>
      <c r="DX453" s="1286"/>
      <c r="DY453" s="1286"/>
      <c r="DZ453" s="1286"/>
      <c r="EA453" s="1286"/>
      <c r="EB453" s="1206"/>
      <c r="EC453" s="1206"/>
      <c r="ED453" s="1206"/>
      <c r="EE453" s="1206"/>
      <c r="EF453" s="1206"/>
      <c r="EG453" s="1206"/>
      <c r="EH453" s="1206"/>
      <c r="EI453" s="1206"/>
      <c r="EJ453" s="1206"/>
      <c r="EK453" s="1206"/>
      <c r="EL453" s="1206"/>
      <c r="EM453" s="1313"/>
    </row>
    <row r="454" spans="2:143" s="1271" customFormat="1">
      <c r="B454" s="1263"/>
      <c r="C454" s="1285"/>
      <c r="D454" s="1091"/>
      <c r="E454" s="1265"/>
      <c r="F454" s="1285"/>
      <c r="G454" s="1264"/>
      <c r="H454" s="1264"/>
      <c r="I454" s="1285"/>
      <c r="J454" s="1285"/>
      <c r="K454" s="1285"/>
      <c r="L454" s="1285"/>
      <c r="M454" s="1285"/>
      <c r="N454" s="1285"/>
      <c r="O454" s="1285"/>
      <c r="P454" s="1285"/>
      <c r="Q454" s="1285"/>
      <c r="R454" s="1285"/>
      <c r="S454" s="1285"/>
      <c r="T454" s="1285"/>
      <c r="U454" s="1285"/>
      <c r="V454" s="1285"/>
      <c r="W454" s="1286"/>
      <c r="X454" s="1286"/>
      <c r="Y454" s="1286"/>
      <c r="Z454" s="1286"/>
      <c r="AA454" s="1286"/>
      <c r="AB454" s="1286"/>
      <c r="AC454" s="1286"/>
      <c r="AD454" s="1286"/>
      <c r="AE454" s="1286"/>
      <c r="AF454" s="1286"/>
      <c r="AG454" s="1286"/>
      <c r="AH454" s="1286"/>
      <c r="AI454" s="1286"/>
      <c r="AJ454" s="1286"/>
      <c r="AK454" s="1286"/>
      <c r="AL454" s="1286"/>
      <c r="AM454" s="1286"/>
      <c r="AN454" s="1286"/>
      <c r="AO454" s="1286"/>
      <c r="AP454" s="1286"/>
      <c r="AQ454" s="1286"/>
      <c r="AR454" s="1286"/>
      <c r="AS454" s="1286"/>
      <c r="AT454" s="1286"/>
      <c r="AU454" s="1286"/>
      <c r="AV454" s="1286"/>
      <c r="AW454" s="1286"/>
      <c r="AX454" s="1286"/>
      <c r="AY454" s="1286"/>
      <c r="AZ454" s="1286"/>
      <c r="BA454" s="1286"/>
      <c r="BB454" s="1286"/>
      <c r="BC454" s="1286"/>
      <c r="BD454" s="1286"/>
      <c r="BE454" s="1286"/>
      <c r="BF454" s="1286"/>
      <c r="BG454" s="1286"/>
      <c r="BH454" s="1286"/>
      <c r="BI454" s="1286"/>
      <c r="BJ454" s="1286"/>
      <c r="BK454" s="1286"/>
      <c r="BL454" s="1286"/>
      <c r="BM454" s="1286"/>
      <c r="BN454" s="1286"/>
      <c r="BO454" s="1286"/>
      <c r="BP454" s="1286"/>
      <c r="BQ454" s="1286"/>
      <c r="BR454" s="1286"/>
      <c r="BS454" s="1286"/>
      <c r="BT454" s="1286"/>
      <c r="BU454" s="1286"/>
      <c r="BV454" s="1286"/>
      <c r="BW454" s="1286"/>
      <c r="BX454" s="1286"/>
      <c r="BY454" s="1286"/>
      <c r="BZ454" s="1286"/>
      <c r="CA454" s="1286"/>
      <c r="CB454" s="1286"/>
      <c r="CC454" s="1286"/>
      <c r="CD454" s="1286"/>
      <c r="CE454" s="1286"/>
      <c r="CF454" s="1286"/>
      <c r="CG454" s="1286"/>
      <c r="CH454" s="1269"/>
      <c r="CI454" s="1286"/>
      <c r="CJ454" s="1286"/>
      <c r="CK454" s="1286"/>
      <c r="CL454" s="1286"/>
      <c r="CM454" s="1286"/>
      <c r="CN454" s="1286"/>
      <c r="CO454" s="1286"/>
      <c r="CP454" s="1286"/>
      <c r="CQ454" s="1286"/>
      <c r="CR454" s="1286"/>
      <c r="CS454" s="1286"/>
      <c r="CT454" s="1286"/>
      <c r="CU454" s="1286"/>
      <c r="CV454" s="1286"/>
      <c r="CW454" s="1286"/>
      <c r="CX454" s="1286"/>
      <c r="CY454" s="1286"/>
      <c r="CZ454" s="1286"/>
      <c r="DA454" s="1286"/>
      <c r="DB454" s="1286"/>
      <c r="DC454" s="1286"/>
      <c r="DD454" s="1286"/>
      <c r="DE454" s="1286"/>
      <c r="DF454" s="1286"/>
      <c r="DG454" s="1286"/>
      <c r="DH454" s="1286"/>
      <c r="DI454" s="1286"/>
      <c r="DJ454" s="1286"/>
      <c r="DK454" s="1286"/>
      <c r="DL454" s="1286"/>
      <c r="DM454" s="1286"/>
      <c r="DN454" s="1286"/>
      <c r="DO454" s="1286"/>
      <c r="DP454" s="1286"/>
      <c r="DQ454" s="1286"/>
      <c r="DR454" s="1286"/>
      <c r="DS454" s="1286"/>
      <c r="DT454" s="1286"/>
      <c r="DU454" s="1286"/>
      <c r="DV454" s="1286"/>
      <c r="DW454" s="1286"/>
      <c r="DX454" s="1286"/>
      <c r="DY454" s="1286"/>
      <c r="DZ454" s="1286"/>
      <c r="EA454" s="1286"/>
      <c r="EB454" s="1206"/>
      <c r="EC454" s="1206"/>
      <c r="ED454" s="1206"/>
      <c r="EE454" s="1206"/>
      <c r="EF454" s="1206"/>
      <c r="EG454" s="1206"/>
      <c r="EH454" s="1206"/>
      <c r="EI454" s="1206"/>
      <c r="EJ454" s="1206"/>
      <c r="EK454" s="1206"/>
      <c r="EL454" s="1206"/>
      <c r="EM454" s="1313"/>
    </row>
    <row r="455" spans="2:143" s="1271" customFormat="1">
      <c r="B455" s="1263"/>
      <c r="C455" s="1285"/>
      <c r="D455" s="1091"/>
      <c r="E455" s="1265"/>
      <c r="F455" s="1285"/>
      <c r="G455" s="1264"/>
      <c r="H455" s="1264"/>
      <c r="I455" s="1285"/>
      <c r="J455" s="1285"/>
      <c r="K455" s="1285"/>
      <c r="L455" s="1285"/>
      <c r="M455" s="1285"/>
      <c r="N455" s="1285"/>
      <c r="O455" s="1285"/>
      <c r="P455" s="1285"/>
      <c r="Q455" s="1285"/>
      <c r="R455" s="1285"/>
      <c r="S455" s="1285"/>
      <c r="T455" s="1285"/>
      <c r="U455" s="1285"/>
      <c r="V455" s="1285"/>
      <c r="W455" s="1286"/>
      <c r="X455" s="1286"/>
      <c r="Y455" s="1286"/>
      <c r="Z455" s="1286"/>
      <c r="AA455" s="1286"/>
      <c r="AB455" s="1286"/>
      <c r="AC455" s="1286"/>
      <c r="AD455" s="1286"/>
      <c r="AE455" s="1286"/>
      <c r="AF455" s="1286"/>
      <c r="AG455" s="1286"/>
      <c r="AH455" s="1286"/>
      <c r="AI455" s="1286"/>
      <c r="AJ455" s="1286"/>
      <c r="AK455" s="1286"/>
      <c r="AL455" s="1286"/>
      <c r="AM455" s="1286"/>
      <c r="AN455" s="1286"/>
      <c r="AO455" s="1286"/>
      <c r="AP455" s="1286"/>
      <c r="AQ455" s="1286"/>
      <c r="AR455" s="1286"/>
      <c r="AS455" s="1286"/>
      <c r="AT455" s="1286"/>
      <c r="AU455" s="1286"/>
      <c r="AV455" s="1286"/>
      <c r="AW455" s="1286"/>
      <c r="AX455" s="1286"/>
      <c r="AY455" s="1286"/>
      <c r="AZ455" s="1286"/>
      <c r="BA455" s="1286"/>
      <c r="BB455" s="1286"/>
      <c r="BC455" s="1286"/>
      <c r="BD455" s="1286"/>
      <c r="BE455" s="1286"/>
      <c r="BF455" s="1286"/>
      <c r="BG455" s="1286"/>
      <c r="BH455" s="1286"/>
      <c r="BI455" s="1286"/>
      <c r="BJ455" s="1286"/>
      <c r="BK455" s="1286"/>
      <c r="BL455" s="1286"/>
      <c r="BM455" s="1286"/>
      <c r="BN455" s="1286"/>
      <c r="BO455" s="1286"/>
      <c r="BP455" s="1286"/>
      <c r="BQ455" s="1286"/>
      <c r="BR455" s="1286"/>
      <c r="BS455" s="1286"/>
      <c r="BT455" s="1286"/>
      <c r="BU455" s="1286"/>
      <c r="BV455" s="1286"/>
      <c r="BW455" s="1286"/>
      <c r="BX455" s="1286"/>
      <c r="BY455" s="1286"/>
      <c r="BZ455" s="1286"/>
      <c r="CA455" s="1286"/>
      <c r="CB455" s="1286"/>
      <c r="CC455" s="1286"/>
      <c r="CD455" s="1286"/>
      <c r="CE455" s="1286"/>
      <c r="CF455" s="1286"/>
      <c r="CG455" s="1286"/>
      <c r="CH455" s="1269"/>
      <c r="CI455" s="1286"/>
      <c r="CJ455" s="1286"/>
      <c r="CK455" s="1286"/>
      <c r="CL455" s="1286"/>
      <c r="CM455" s="1286"/>
      <c r="CN455" s="1286"/>
      <c r="CO455" s="1286"/>
      <c r="CP455" s="1286"/>
      <c r="CQ455" s="1286"/>
      <c r="CR455" s="1286"/>
      <c r="CS455" s="1286"/>
      <c r="CT455" s="1286"/>
      <c r="CU455" s="1286"/>
      <c r="CV455" s="1286"/>
      <c r="CW455" s="1286"/>
      <c r="CX455" s="1286"/>
      <c r="CY455" s="1286"/>
      <c r="CZ455" s="1286"/>
      <c r="DA455" s="1286"/>
      <c r="DB455" s="1286"/>
      <c r="DC455" s="1286"/>
      <c r="DD455" s="1286"/>
      <c r="DE455" s="1286"/>
      <c r="DF455" s="1286"/>
      <c r="DG455" s="1286"/>
      <c r="DH455" s="1286"/>
      <c r="DI455" s="1286"/>
      <c r="DJ455" s="1286"/>
      <c r="DK455" s="1286"/>
      <c r="DL455" s="1286"/>
      <c r="DM455" s="1286"/>
      <c r="DN455" s="1286"/>
      <c r="DO455" s="1286"/>
      <c r="DP455" s="1286"/>
      <c r="DQ455" s="1286"/>
      <c r="DR455" s="1286"/>
      <c r="DS455" s="1286"/>
      <c r="DT455" s="1286"/>
      <c r="DU455" s="1286"/>
      <c r="DV455" s="1286"/>
      <c r="DW455" s="1286"/>
      <c r="DX455" s="1286"/>
      <c r="DY455" s="1286"/>
      <c r="DZ455" s="1286"/>
      <c r="EA455" s="1286"/>
      <c r="EB455" s="1206"/>
      <c r="EC455" s="1206"/>
      <c r="ED455" s="1206"/>
      <c r="EE455" s="1206"/>
      <c r="EF455" s="1206"/>
      <c r="EG455" s="1206"/>
      <c r="EH455" s="1206"/>
      <c r="EI455" s="1206"/>
      <c r="EJ455" s="1206"/>
      <c r="EK455" s="1206"/>
      <c r="EL455" s="1206"/>
      <c r="EM455" s="1313"/>
    </row>
    <row r="456" spans="2:143" s="1271" customFormat="1">
      <c r="B456" s="1263"/>
      <c r="C456" s="1285"/>
      <c r="D456" s="1091"/>
      <c r="E456" s="1265"/>
      <c r="F456" s="1285"/>
      <c r="G456" s="1264"/>
      <c r="H456" s="1264"/>
      <c r="I456" s="1285"/>
      <c r="J456" s="1285"/>
      <c r="K456" s="1285"/>
      <c r="L456" s="1285"/>
      <c r="M456" s="1285"/>
      <c r="N456" s="1285"/>
      <c r="O456" s="1285"/>
      <c r="P456" s="1285"/>
      <c r="Q456" s="1285"/>
      <c r="R456" s="1285"/>
      <c r="S456" s="1285"/>
      <c r="T456" s="1285"/>
      <c r="U456" s="1285"/>
      <c r="V456" s="1285"/>
      <c r="W456" s="1286"/>
      <c r="X456" s="1286"/>
      <c r="Y456" s="1286"/>
      <c r="Z456" s="1286"/>
      <c r="AA456" s="1286"/>
      <c r="AB456" s="1286"/>
      <c r="AC456" s="1286"/>
      <c r="AD456" s="1286"/>
      <c r="AE456" s="1286"/>
      <c r="AF456" s="1286"/>
      <c r="AG456" s="1286"/>
      <c r="AH456" s="1286"/>
      <c r="AI456" s="1286"/>
      <c r="AJ456" s="1286"/>
      <c r="AK456" s="1286"/>
      <c r="AL456" s="1286"/>
      <c r="AM456" s="1286"/>
      <c r="AN456" s="1286"/>
      <c r="AO456" s="1286"/>
      <c r="AP456" s="1286"/>
      <c r="AQ456" s="1286"/>
      <c r="AR456" s="1286"/>
      <c r="AS456" s="1286"/>
      <c r="AT456" s="1286"/>
      <c r="AU456" s="1286"/>
      <c r="AV456" s="1286"/>
      <c r="AW456" s="1286"/>
      <c r="AX456" s="1286"/>
      <c r="AY456" s="1286"/>
      <c r="AZ456" s="1286"/>
      <c r="BA456" s="1286"/>
      <c r="BB456" s="1286"/>
      <c r="BC456" s="1286"/>
      <c r="BD456" s="1286"/>
      <c r="BE456" s="1286"/>
      <c r="BF456" s="1286"/>
      <c r="BG456" s="1286"/>
      <c r="BH456" s="1286"/>
      <c r="BI456" s="1286"/>
      <c r="BJ456" s="1286"/>
      <c r="BK456" s="1286"/>
      <c r="BL456" s="1286"/>
      <c r="BM456" s="1286"/>
      <c r="BN456" s="1286"/>
      <c r="BO456" s="1286"/>
      <c r="BP456" s="1286"/>
      <c r="BQ456" s="1286"/>
      <c r="BR456" s="1286"/>
      <c r="BS456" s="1286"/>
      <c r="BT456" s="1286"/>
      <c r="BU456" s="1286"/>
      <c r="BV456" s="1286"/>
      <c r="BW456" s="1286"/>
      <c r="BX456" s="1286"/>
      <c r="BY456" s="1286"/>
      <c r="BZ456" s="1286"/>
      <c r="CA456" s="1286"/>
      <c r="CB456" s="1286"/>
      <c r="CC456" s="1286"/>
      <c r="CD456" s="1286"/>
      <c r="CE456" s="1286"/>
      <c r="CF456" s="1286"/>
      <c r="CG456" s="1286"/>
      <c r="CH456" s="1269"/>
      <c r="CI456" s="1286"/>
      <c r="CJ456" s="1286"/>
      <c r="CK456" s="1286"/>
      <c r="CL456" s="1286"/>
      <c r="CM456" s="1286"/>
      <c r="CN456" s="1286"/>
      <c r="CO456" s="1286"/>
      <c r="CP456" s="1286"/>
      <c r="CQ456" s="1286"/>
      <c r="CR456" s="1286"/>
      <c r="CS456" s="1286"/>
      <c r="CT456" s="1286"/>
      <c r="CU456" s="1286"/>
      <c r="CV456" s="1286"/>
      <c r="CW456" s="1286"/>
      <c r="CX456" s="1286"/>
      <c r="CY456" s="1286"/>
      <c r="CZ456" s="1286"/>
      <c r="DA456" s="1286"/>
      <c r="DB456" s="1286"/>
      <c r="DC456" s="1286"/>
      <c r="DD456" s="1286"/>
      <c r="DE456" s="1286"/>
      <c r="DF456" s="1286"/>
      <c r="DG456" s="1286"/>
      <c r="DH456" s="1286"/>
      <c r="DI456" s="1286"/>
      <c r="DJ456" s="1286"/>
      <c r="DK456" s="1286"/>
      <c r="DL456" s="1286"/>
      <c r="DM456" s="1286"/>
      <c r="DN456" s="1286"/>
      <c r="DO456" s="1286"/>
      <c r="DP456" s="1286"/>
      <c r="DQ456" s="1286"/>
      <c r="DR456" s="1286"/>
      <c r="DS456" s="1286"/>
      <c r="DT456" s="1286"/>
      <c r="DU456" s="1286"/>
      <c r="DV456" s="1286"/>
      <c r="DW456" s="1286"/>
      <c r="DX456" s="1286"/>
      <c r="DY456" s="1286"/>
      <c r="DZ456" s="1286"/>
      <c r="EA456" s="1286"/>
      <c r="EB456" s="1206"/>
      <c r="EC456" s="1206"/>
      <c r="ED456" s="1206"/>
      <c r="EE456" s="1206"/>
      <c r="EF456" s="1206"/>
      <c r="EG456" s="1206"/>
      <c r="EH456" s="1206"/>
      <c r="EI456" s="1206"/>
      <c r="EJ456" s="1206"/>
      <c r="EK456" s="1206"/>
      <c r="EL456" s="1206"/>
      <c r="EM456" s="1313"/>
    </row>
    <row r="457" spans="2:143" s="1271" customFormat="1">
      <c r="B457" s="1263"/>
      <c r="C457" s="1285"/>
      <c r="D457" s="1091"/>
      <c r="E457" s="1265"/>
      <c r="F457" s="1285"/>
      <c r="G457" s="1264"/>
      <c r="H457" s="1264"/>
      <c r="I457" s="1285"/>
      <c r="J457" s="1285"/>
      <c r="K457" s="1285"/>
      <c r="L457" s="1285"/>
      <c r="M457" s="1285"/>
      <c r="N457" s="1285"/>
      <c r="O457" s="1285"/>
      <c r="P457" s="1285"/>
      <c r="Q457" s="1285"/>
      <c r="R457" s="1285"/>
      <c r="S457" s="1285"/>
      <c r="T457" s="1285"/>
      <c r="U457" s="1285"/>
      <c r="V457" s="1285"/>
      <c r="W457" s="1286"/>
      <c r="X457" s="1286"/>
      <c r="Y457" s="1286"/>
      <c r="Z457" s="1286"/>
      <c r="AA457" s="1286"/>
      <c r="AB457" s="1286"/>
      <c r="AC457" s="1286"/>
      <c r="AD457" s="1286"/>
      <c r="AE457" s="1286"/>
      <c r="AF457" s="1286"/>
      <c r="AG457" s="1286"/>
      <c r="AH457" s="1286"/>
      <c r="AI457" s="1286"/>
      <c r="AJ457" s="1286"/>
      <c r="AK457" s="1286"/>
      <c r="AL457" s="1286"/>
      <c r="AM457" s="1286"/>
      <c r="AN457" s="1286"/>
      <c r="AO457" s="1286"/>
      <c r="AP457" s="1286"/>
      <c r="AQ457" s="1286"/>
      <c r="AR457" s="1286"/>
      <c r="AS457" s="1286"/>
      <c r="AT457" s="1286"/>
      <c r="AU457" s="1286"/>
      <c r="AV457" s="1286"/>
      <c r="AW457" s="1286"/>
      <c r="AX457" s="1286"/>
      <c r="AY457" s="1286"/>
      <c r="AZ457" s="1286"/>
      <c r="BA457" s="1286"/>
      <c r="BB457" s="1286"/>
      <c r="BC457" s="1286"/>
      <c r="BD457" s="1286"/>
      <c r="BE457" s="1286"/>
      <c r="BF457" s="1286"/>
      <c r="BG457" s="1286"/>
      <c r="BH457" s="1286"/>
      <c r="BI457" s="1286"/>
      <c r="BJ457" s="1286"/>
      <c r="BK457" s="1286"/>
      <c r="BL457" s="1286"/>
      <c r="BM457" s="1286"/>
      <c r="BN457" s="1286"/>
      <c r="BO457" s="1286"/>
      <c r="BP457" s="1286"/>
      <c r="BQ457" s="1286"/>
      <c r="BR457" s="1286"/>
      <c r="BS457" s="1286"/>
      <c r="BT457" s="1286"/>
      <c r="BU457" s="1286"/>
      <c r="BV457" s="1286"/>
      <c r="BW457" s="1286"/>
      <c r="BX457" s="1286"/>
      <c r="BY457" s="1286"/>
      <c r="BZ457" s="1286"/>
      <c r="CA457" s="1286"/>
      <c r="CB457" s="1286"/>
      <c r="CC457" s="1286"/>
      <c r="CD457" s="1286"/>
      <c r="CE457" s="1286"/>
      <c r="CF457" s="1286"/>
      <c r="CG457" s="1286"/>
      <c r="CH457" s="1269"/>
      <c r="CI457" s="1286"/>
      <c r="CJ457" s="1286"/>
      <c r="CK457" s="1286"/>
      <c r="CL457" s="1286"/>
      <c r="CM457" s="1286"/>
      <c r="CN457" s="1286"/>
      <c r="CO457" s="1286"/>
      <c r="CP457" s="1286"/>
      <c r="CQ457" s="1286"/>
      <c r="CR457" s="1286"/>
      <c r="CS457" s="1286"/>
      <c r="CT457" s="1286"/>
      <c r="CU457" s="1286"/>
      <c r="CV457" s="1286"/>
      <c r="CW457" s="1286"/>
      <c r="CX457" s="1286"/>
      <c r="CY457" s="1286"/>
      <c r="CZ457" s="1286"/>
      <c r="DA457" s="1286"/>
      <c r="DB457" s="1286"/>
      <c r="DC457" s="1286"/>
      <c r="DD457" s="1286"/>
      <c r="DE457" s="1286"/>
      <c r="DF457" s="1286"/>
      <c r="DG457" s="1286"/>
      <c r="DH457" s="1286"/>
      <c r="DI457" s="1286"/>
      <c r="DJ457" s="1286"/>
      <c r="DK457" s="1286"/>
      <c r="DL457" s="1286"/>
      <c r="DM457" s="1286"/>
      <c r="DN457" s="1286"/>
      <c r="DO457" s="1286"/>
      <c r="DP457" s="1286"/>
      <c r="DQ457" s="1286"/>
      <c r="DR457" s="1286"/>
      <c r="DS457" s="1286"/>
      <c r="DT457" s="1286"/>
      <c r="DU457" s="1286"/>
      <c r="DV457" s="1286"/>
      <c r="DW457" s="1286"/>
      <c r="DX457" s="1286"/>
      <c r="DY457" s="1286"/>
      <c r="DZ457" s="1286"/>
      <c r="EA457" s="1286"/>
      <c r="EB457" s="1206"/>
      <c r="EC457" s="1206"/>
      <c r="ED457" s="1206"/>
      <c r="EE457" s="1206"/>
      <c r="EF457" s="1206"/>
      <c r="EG457" s="1206"/>
      <c r="EH457" s="1206"/>
      <c r="EI457" s="1206"/>
      <c r="EJ457" s="1206"/>
      <c r="EK457" s="1206"/>
      <c r="EL457" s="1206"/>
      <c r="EM457" s="1313"/>
    </row>
    <row r="458" spans="2:143" s="1271" customFormat="1">
      <c r="B458" s="1263"/>
      <c r="C458" s="1285"/>
      <c r="D458" s="1091"/>
      <c r="E458" s="1265"/>
      <c r="F458" s="1285"/>
      <c r="G458" s="1264"/>
      <c r="H458" s="1264"/>
      <c r="I458" s="1285"/>
      <c r="J458" s="1285"/>
      <c r="K458" s="1285"/>
      <c r="L458" s="1285"/>
      <c r="M458" s="1285"/>
      <c r="N458" s="1285"/>
      <c r="O458" s="1285"/>
      <c r="P458" s="1285"/>
      <c r="Q458" s="1285"/>
      <c r="R458" s="1285"/>
      <c r="S458" s="1285"/>
      <c r="T458" s="1285"/>
      <c r="U458" s="1285"/>
      <c r="V458" s="1285"/>
      <c r="W458" s="1286"/>
      <c r="X458" s="1286"/>
      <c r="Y458" s="1286"/>
      <c r="Z458" s="1286"/>
      <c r="AA458" s="1286"/>
      <c r="AB458" s="1286"/>
      <c r="AC458" s="1286"/>
      <c r="AD458" s="1286"/>
      <c r="AE458" s="1286"/>
      <c r="AF458" s="1286"/>
      <c r="AG458" s="1286"/>
      <c r="AH458" s="1286"/>
      <c r="AI458" s="1286"/>
      <c r="AJ458" s="1286"/>
      <c r="AK458" s="1286"/>
      <c r="AL458" s="1286"/>
      <c r="AM458" s="1286"/>
      <c r="AN458" s="1286"/>
      <c r="AO458" s="1286"/>
      <c r="AP458" s="1286"/>
      <c r="AQ458" s="1286"/>
      <c r="AR458" s="1286"/>
      <c r="AS458" s="1286"/>
      <c r="AT458" s="1286"/>
      <c r="AU458" s="1286"/>
      <c r="AV458" s="1286"/>
      <c r="AW458" s="1286"/>
      <c r="AX458" s="1286"/>
      <c r="AY458" s="1286"/>
      <c r="AZ458" s="1286"/>
      <c r="BA458" s="1286"/>
      <c r="BB458" s="1286"/>
      <c r="BC458" s="1286"/>
      <c r="BD458" s="1286"/>
      <c r="BE458" s="1286"/>
      <c r="BF458" s="1286"/>
      <c r="BG458" s="1286"/>
      <c r="BH458" s="1286"/>
      <c r="BI458" s="1286"/>
      <c r="BJ458" s="1286"/>
      <c r="BK458" s="1286"/>
      <c r="BL458" s="1286"/>
      <c r="BM458" s="1286"/>
      <c r="BN458" s="1286"/>
      <c r="BO458" s="1286"/>
      <c r="BP458" s="1286"/>
      <c r="BQ458" s="1286"/>
      <c r="BR458" s="1286"/>
      <c r="BS458" s="1286"/>
      <c r="BT458" s="1286"/>
      <c r="BU458" s="1286"/>
      <c r="BV458" s="1286"/>
      <c r="BW458" s="1286"/>
      <c r="BX458" s="1286"/>
      <c r="BY458" s="1286"/>
      <c r="BZ458" s="1286"/>
      <c r="CA458" s="1286"/>
      <c r="CB458" s="1286"/>
      <c r="CC458" s="1286"/>
      <c r="CD458" s="1286"/>
      <c r="CE458" s="1286"/>
      <c r="CF458" s="1286"/>
      <c r="CG458" s="1286"/>
      <c r="CH458" s="1269"/>
      <c r="CI458" s="1286"/>
      <c r="CJ458" s="1286"/>
      <c r="CK458" s="1286"/>
      <c r="CL458" s="1286"/>
      <c r="CM458" s="1286"/>
      <c r="CN458" s="1286"/>
      <c r="CO458" s="1286"/>
      <c r="CP458" s="1286"/>
      <c r="CQ458" s="1286"/>
      <c r="CR458" s="1286"/>
      <c r="CS458" s="1286"/>
      <c r="CT458" s="1286"/>
      <c r="CU458" s="1286"/>
      <c r="CV458" s="1286"/>
      <c r="CW458" s="1286"/>
      <c r="CX458" s="1286"/>
      <c r="CY458" s="1286"/>
      <c r="CZ458" s="1286"/>
      <c r="DA458" s="1286"/>
      <c r="DB458" s="1286"/>
      <c r="DC458" s="1286"/>
      <c r="DD458" s="1286"/>
      <c r="DE458" s="1286"/>
      <c r="DF458" s="1286"/>
      <c r="DG458" s="1286"/>
      <c r="DH458" s="1286"/>
      <c r="DI458" s="1286"/>
      <c r="DJ458" s="1286"/>
      <c r="DK458" s="1286"/>
      <c r="DL458" s="1286"/>
      <c r="DM458" s="1286"/>
      <c r="DN458" s="1286"/>
      <c r="DO458" s="1286"/>
      <c r="DP458" s="1286"/>
      <c r="DQ458" s="1286"/>
      <c r="DR458" s="1286"/>
      <c r="DS458" s="1286"/>
      <c r="DT458" s="1286"/>
      <c r="DU458" s="1286"/>
      <c r="DV458" s="1286"/>
      <c r="DW458" s="1286"/>
      <c r="DX458" s="1286"/>
      <c r="DY458" s="1286"/>
      <c r="DZ458" s="1286"/>
      <c r="EA458" s="1286"/>
      <c r="EB458" s="1206"/>
      <c r="EC458" s="1206"/>
      <c r="ED458" s="1206"/>
      <c r="EE458" s="1206"/>
      <c r="EF458" s="1206"/>
      <c r="EG458" s="1206"/>
      <c r="EH458" s="1206"/>
      <c r="EI458" s="1206"/>
      <c r="EJ458" s="1206"/>
      <c r="EK458" s="1206"/>
      <c r="EL458" s="1206"/>
      <c r="EM458" s="1313"/>
    </row>
    <row r="459" spans="2:143" s="1271" customFormat="1">
      <c r="B459" s="1263"/>
      <c r="C459" s="1285"/>
      <c r="D459" s="1091"/>
      <c r="E459" s="1265"/>
      <c r="F459" s="1285"/>
      <c r="G459" s="1264"/>
      <c r="H459" s="1264"/>
      <c r="I459" s="1285"/>
      <c r="J459" s="1285"/>
      <c r="K459" s="1285"/>
      <c r="L459" s="1285"/>
      <c r="M459" s="1285"/>
      <c r="N459" s="1285"/>
      <c r="O459" s="1285"/>
      <c r="P459" s="1285"/>
      <c r="Q459" s="1285"/>
      <c r="R459" s="1285"/>
      <c r="S459" s="1285"/>
      <c r="T459" s="1285"/>
      <c r="U459" s="1285"/>
      <c r="V459" s="1285"/>
      <c r="W459" s="1286"/>
      <c r="X459" s="1286"/>
      <c r="Y459" s="1286"/>
      <c r="Z459" s="1286"/>
      <c r="AA459" s="1286"/>
      <c r="AB459" s="1286"/>
      <c r="AC459" s="1286"/>
      <c r="AD459" s="1286"/>
      <c r="AE459" s="1286"/>
      <c r="AF459" s="1286"/>
      <c r="AG459" s="1286"/>
      <c r="AH459" s="1286"/>
      <c r="AI459" s="1286"/>
      <c r="AJ459" s="1286"/>
      <c r="AK459" s="1286"/>
      <c r="AL459" s="1286"/>
      <c r="AM459" s="1286"/>
      <c r="AN459" s="1286"/>
      <c r="AO459" s="1286"/>
      <c r="AP459" s="1286"/>
      <c r="AQ459" s="1286"/>
      <c r="AR459" s="1286"/>
      <c r="AS459" s="1286"/>
      <c r="AT459" s="1286"/>
      <c r="AU459" s="1286"/>
      <c r="AV459" s="1286"/>
      <c r="AW459" s="1286"/>
      <c r="AX459" s="1286"/>
      <c r="AY459" s="1286"/>
      <c r="AZ459" s="1286"/>
      <c r="BA459" s="1286"/>
      <c r="BB459" s="1286"/>
      <c r="BC459" s="1286"/>
      <c r="BD459" s="1286"/>
      <c r="BE459" s="1286"/>
      <c r="BF459" s="1286"/>
      <c r="BG459" s="1286"/>
      <c r="BH459" s="1286"/>
      <c r="BI459" s="1286"/>
      <c r="BJ459" s="1286"/>
      <c r="BK459" s="1286"/>
      <c r="BL459" s="1286"/>
      <c r="BM459" s="1286"/>
      <c r="BN459" s="1286"/>
      <c r="BO459" s="1286"/>
      <c r="BP459" s="1286"/>
      <c r="BQ459" s="1286"/>
      <c r="BR459" s="1286"/>
      <c r="BS459" s="1286"/>
      <c r="BT459" s="1286"/>
      <c r="BU459" s="1286"/>
      <c r="BV459" s="1286"/>
      <c r="BW459" s="1286"/>
      <c r="BX459" s="1286"/>
      <c r="BY459" s="1286"/>
      <c r="BZ459" s="1286"/>
      <c r="CA459" s="1286"/>
      <c r="CB459" s="1286"/>
      <c r="CC459" s="1286"/>
      <c r="CD459" s="1286"/>
      <c r="CE459" s="1286"/>
      <c r="CF459" s="1286"/>
      <c r="CG459" s="1286"/>
      <c r="CH459" s="1269"/>
      <c r="CI459" s="1286"/>
      <c r="CJ459" s="1286"/>
      <c r="CK459" s="1286"/>
      <c r="CL459" s="1286"/>
      <c r="CM459" s="1286"/>
      <c r="CN459" s="1286"/>
      <c r="CO459" s="1286"/>
      <c r="CP459" s="1286"/>
      <c r="CQ459" s="1286"/>
      <c r="CR459" s="1286"/>
      <c r="CS459" s="1286"/>
      <c r="CT459" s="1286"/>
      <c r="CU459" s="1286"/>
      <c r="CV459" s="1286"/>
      <c r="CW459" s="1286"/>
      <c r="CX459" s="1286"/>
      <c r="CY459" s="1286"/>
      <c r="CZ459" s="1286"/>
      <c r="DA459" s="1286"/>
      <c r="DB459" s="1286"/>
      <c r="DC459" s="1286"/>
      <c r="DD459" s="1286"/>
      <c r="DE459" s="1286"/>
      <c r="DF459" s="1286"/>
      <c r="DG459" s="1286"/>
      <c r="DH459" s="1286"/>
      <c r="DI459" s="1286"/>
      <c r="DJ459" s="1286"/>
      <c r="DK459" s="1286"/>
      <c r="DL459" s="1286"/>
      <c r="DM459" s="1286"/>
      <c r="DN459" s="1286"/>
      <c r="DO459" s="1286"/>
      <c r="DP459" s="1286"/>
      <c r="DQ459" s="1286"/>
      <c r="DR459" s="1286"/>
      <c r="DS459" s="1286"/>
      <c r="DT459" s="1286"/>
      <c r="DU459" s="1286"/>
      <c r="DV459" s="1286"/>
      <c r="DW459" s="1286"/>
      <c r="DX459" s="1286"/>
      <c r="DY459" s="1286"/>
      <c r="DZ459" s="1286"/>
      <c r="EA459" s="1286"/>
      <c r="EB459" s="1206"/>
      <c r="EC459" s="1206"/>
      <c r="ED459" s="1206"/>
      <c r="EE459" s="1206"/>
      <c r="EF459" s="1206"/>
      <c r="EG459" s="1206"/>
      <c r="EH459" s="1206"/>
      <c r="EI459" s="1206"/>
      <c r="EJ459" s="1206"/>
      <c r="EK459" s="1206"/>
      <c r="EL459" s="1206"/>
      <c r="EM459" s="1313"/>
    </row>
    <row r="460" spans="2:143" s="1271" customFormat="1">
      <c r="B460" s="1263"/>
      <c r="C460" s="1285"/>
      <c r="D460" s="1091"/>
      <c r="E460" s="1265"/>
      <c r="F460" s="1285"/>
      <c r="G460" s="1264"/>
      <c r="H460" s="1264"/>
      <c r="I460" s="1285"/>
      <c r="J460" s="1285"/>
      <c r="K460" s="1285"/>
      <c r="L460" s="1285"/>
      <c r="M460" s="1285"/>
      <c r="N460" s="1285"/>
      <c r="O460" s="1285"/>
      <c r="P460" s="1285"/>
      <c r="Q460" s="1285"/>
      <c r="R460" s="1285"/>
      <c r="S460" s="1285"/>
      <c r="T460" s="1285"/>
      <c r="U460" s="1285"/>
      <c r="V460" s="1285"/>
      <c r="W460" s="1286"/>
      <c r="X460" s="1286"/>
      <c r="Y460" s="1286"/>
      <c r="Z460" s="1286"/>
      <c r="AA460" s="1286"/>
      <c r="AB460" s="1286"/>
      <c r="AC460" s="1286"/>
      <c r="AD460" s="1286"/>
      <c r="AE460" s="1286"/>
      <c r="AF460" s="1286"/>
      <c r="AG460" s="1286"/>
      <c r="AH460" s="1286"/>
      <c r="AI460" s="1286"/>
      <c r="AJ460" s="1286"/>
      <c r="AK460" s="1286"/>
      <c r="AL460" s="1286"/>
      <c r="AM460" s="1286"/>
      <c r="AN460" s="1286"/>
      <c r="AO460" s="1286"/>
      <c r="AP460" s="1286"/>
      <c r="AQ460" s="1286"/>
      <c r="AR460" s="1286"/>
      <c r="AS460" s="1286"/>
      <c r="AT460" s="1286"/>
      <c r="AU460" s="1286"/>
      <c r="AV460" s="1286"/>
      <c r="AW460" s="1286"/>
      <c r="AX460" s="1286"/>
      <c r="AY460" s="1286"/>
      <c r="AZ460" s="1286"/>
      <c r="BA460" s="1286"/>
      <c r="BB460" s="1286"/>
      <c r="BC460" s="1286"/>
      <c r="BD460" s="1286"/>
      <c r="BE460" s="1286"/>
      <c r="BF460" s="1286"/>
      <c r="BG460" s="1286"/>
      <c r="BH460" s="1286"/>
      <c r="BI460" s="1286"/>
      <c r="BJ460" s="1286"/>
      <c r="BK460" s="1286"/>
      <c r="BL460" s="1286"/>
      <c r="BM460" s="1286"/>
      <c r="BN460" s="1286"/>
      <c r="BO460" s="1286"/>
      <c r="BP460" s="1286"/>
      <c r="BQ460" s="1286"/>
      <c r="BR460" s="1286"/>
      <c r="BS460" s="1286"/>
      <c r="BT460" s="1286"/>
      <c r="BU460" s="1286"/>
      <c r="BV460" s="1286"/>
      <c r="BW460" s="1286"/>
      <c r="BX460" s="1286"/>
      <c r="BY460" s="1286"/>
      <c r="BZ460" s="1286"/>
      <c r="CA460" s="1286"/>
      <c r="CB460" s="1286"/>
      <c r="CC460" s="1286"/>
      <c r="CD460" s="1286"/>
      <c r="CE460" s="1286"/>
      <c r="CF460" s="1286"/>
      <c r="CG460" s="1286"/>
      <c r="CH460" s="1269"/>
      <c r="CI460" s="1286"/>
      <c r="CJ460" s="1286"/>
      <c r="CK460" s="1286"/>
      <c r="CL460" s="1286"/>
      <c r="CM460" s="1286"/>
      <c r="CN460" s="1286"/>
      <c r="CO460" s="1286"/>
      <c r="CP460" s="1286"/>
      <c r="CQ460" s="1286"/>
      <c r="CR460" s="1286"/>
      <c r="CS460" s="1286"/>
      <c r="CT460" s="1286"/>
      <c r="CU460" s="1286"/>
      <c r="CV460" s="1286"/>
      <c r="CW460" s="1286"/>
      <c r="CX460" s="1286"/>
      <c r="CY460" s="1286"/>
      <c r="CZ460" s="1286"/>
      <c r="DA460" s="1286"/>
      <c r="DB460" s="1286"/>
      <c r="DC460" s="1286"/>
      <c r="DD460" s="1286"/>
      <c r="DE460" s="1286"/>
      <c r="DF460" s="1286"/>
      <c r="DG460" s="1286"/>
      <c r="DH460" s="1286"/>
      <c r="DI460" s="1286"/>
      <c r="DJ460" s="1286"/>
      <c r="DK460" s="1286"/>
      <c r="DL460" s="1286"/>
      <c r="DM460" s="1286"/>
      <c r="DN460" s="1286"/>
      <c r="DO460" s="1286"/>
      <c r="DP460" s="1286"/>
      <c r="DQ460" s="1286"/>
      <c r="DR460" s="1286"/>
      <c r="DS460" s="1286"/>
      <c r="DT460" s="1286"/>
      <c r="DU460" s="1286"/>
      <c r="DV460" s="1286"/>
      <c r="DW460" s="1286"/>
      <c r="DX460" s="1286"/>
      <c r="DY460" s="1286"/>
      <c r="DZ460" s="1286"/>
      <c r="EA460" s="1286"/>
      <c r="EB460" s="1206"/>
      <c r="EC460" s="1206"/>
      <c r="ED460" s="1206"/>
      <c r="EE460" s="1206"/>
      <c r="EF460" s="1206"/>
      <c r="EG460" s="1206"/>
      <c r="EH460" s="1206"/>
      <c r="EI460" s="1206"/>
      <c r="EJ460" s="1206"/>
      <c r="EK460" s="1206"/>
      <c r="EL460" s="1206"/>
      <c r="EM460" s="1313"/>
    </row>
    <row r="461" spans="2:143" s="1271" customFormat="1">
      <c r="B461" s="1263"/>
      <c r="C461" s="1285"/>
      <c r="D461" s="1091"/>
      <c r="E461" s="1265"/>
      <c r="F461" s="1285"/>
      <c r="G461" s="1264"/>
      <c r="H461" s="1264"/>
      <c r="I461" s="1285"/>
      <c r="J461" s="1285"/>
      <c r="K461" s="1285"/>
      <c r="L461" s="1285"/>
      <c r="M461" s="1285"/>
      <c r="N461" s="1285"/>
      <c r="O461" s="1285"/>
      <c r="P461" s="1285"/>
      <c r="Q461" s="1285"/>
      <c r="R461" s="1285"/>
      <c r="S461" s="1285"/>
      <c r="T461" s="1285"/>
      <c r="U461" s="1285"/>
      <c r="V461" s="1285"/>
      <c r="W461" s="1286"/>
      <c r="X461" s="1286"/>
      <c r="Y461" s="1286"/>
      <c r="Z461" s="1286"/>
      <c r="AA461" s="1286"/>
      <c r="AB461" s="1286"/>
      <c r="AC461" s="1286"/>
      <c r="AD461" s="1286"/>
      <c r="AE461" s="1286"/>
      <c r="AF461" s="1286"/>
      <c r="AG461" s="1286"/>
      <c r="AH461" s="1286"/>
      <c r="AI461" s="1286"/>
      <c r="AJ461" s="1286"/>
      <c r="AK461" s="1286"/>
      <c r="AL461" s="1286"/>
      <c r="AM461" s="1286"/>
      <c r="AN461" s="1286"/>
      <c r="AO461" s="1286"/>
      <c r="AP461" s="1286"/>
      <c r="AQ461" s="1286"/>
      <c r="AR461" s="1286"/>
      <c r="AS461" s="1286"/>
      <c r="AT461" s="1286"/>
      <c r="AU461" s="1286"/>
      <c r="AV461" s="1286"/>
      <c r="AW461" s="1286"/>
      <c r="AX461" s="1286"/>
      <c r="AY461" s="1286"/>
      <c r="AZ461" s="1286"/>
      <c r="BA461" s="1286"/>
      <c r="BB461" s="1286"/>
      <c r="BC461" s="1286"/>
      <c r="BD461" s="1286"/>
      <c r="BE461" s="1286"/>
      <c r="BF461" s="1286"/>
      <c r="BG461" s="1286"/>
      <c r="BH461" s="1286"/>
      <c r="BI461" s="1286"/>
      <c r="BJ461" s="1286"/>
      <c r="BK461" s="1286"/>
      <c r="BL461" s="1286"/>
      <c r="BM461" s="1286"/>
      <c r="BN461" s="1286"/>
      <c r="BO461" s="1286"/>
      <c r="BP461" s="1286"/>
      <c r="BQ461" s="1286"/>
      <c r="BR461" s="1286"/>
      <c r="BS461" s="1286"/>
      <c r="BT461" s="1286"/>
      <c r="BU461" s="1286"/>
      <c r="BV461" s="1286"/>
      <c r="BW461" s="1286"/>
      <c r="BX461" s="1286"/>
      <c r="BY461" s="1286"/>
      <c r="BZ461" s="1286"/>
      <c r="CA461" s="1286"/>
      <c r="CB461" s="1286"/>
      <c r="CC461" s="1286"/>
      <c r="CD461" s="1286"/>
      <c r="CE461" s="1286"/>
      <c r="CF461" s="1286"/>
      <c r="CG461" s="1286"/>
      <c r="CH461" s="1269"/>
      <c r="CI461" s="1286"/>
      <c r="CJ461" s="1286"/>
      <c r="CK461" s="1286"/>
      <c r="CL461" s="1286"/>
      <c r="CM461" s="1286"/>
      <c r="CN461" s="1286"/>
      <c r="CO461" s="1286"/>
      <c r="CP461" s="1286"/>
      <c r="CQ461" s="1286"/>
      <c r="CR461" s="1286"/>
      <c r="CS461" s="1286"/>
      <c r="CT461" s="1286"/>
      <c r="CU461" s="1286"/>
      <c r="CV461" s="1286"/>
      <c r="CW461" s="1286"/>
      <c r="CX461" s="1286"/>
      <c r="CY461" s="1286"/>
      <c r="CZ461" s="1286"/>
      <c r="DA461" s="1286"/>
      <c r="DB461" s="1286"/>
      <c r="DC461" s="1286"/>
      <c r="DD461" s="1286"/>
      <c r="DE461" s="1286"/>
      <c r="DF461" s="1286"/>
      <c r="DG461" s="1286"/>
      <c r="DH461" s="1286"/>
      <c r="DI461" s="1286"/>
      <c r="DJ461" s="1286"/>
      <c r="DK461" s="1286"/>
      <c r="DL461" s="1286"/>
      <c r="DM461" s="1286"/>
      <c r="DN461" s="1286"/>
      <c r="DO461" s="1286"/>
      <c r="DP461" s="1286"/>
      <c r="DQ461" s="1286"/>
      <c r="DR461" s="1286"/>
      <c r="DS461" s="1286"/>
      <c r="DT461" s="1286"/>
      <c r="DU461" s="1286"/>
      <c r="DV461" s="1286"/>
      <c r="DW461" s="1286"/>
      <c r="DX461" s="1286"/>
      <c r="DY461" s="1286"/>
      <c r="DZ461" s="1286"/>
      <c r="EA461" s="1286"/>
      <c r="EB461" s="1206"/>
      <c r="EC461" s="1206"/>
      <c r="ED461" s="1206"/>
      <c r="EE461" s="1206"/>
      <c r="EF461" s="1206"/>
      <c r="EG461" s="1206"/>
      <c r="EH461" s="1206"/>
      <c r="EI461" s="1206"/>
      <c r="EJ461" s="1206"/>
      <c r="EK461" s="1206"/>
      <c r="EL461" s="1206"/>
      <c r="EM461" s="1313"/>
    </row>
    <row r="462" spans="2:143" s="1271" customFormat="1">
      <c r="B462" s="1263"/>
      <c r="C462" s="1285"/>
      <c r="D462" s="1091"/>
      <c r="E462" s="1265"/>
      <c r="F462" s="1285"/>
      <c r="G462" s="1264"/>
      <c r="H462" s="1264"/>
      <c r="I462" s="1285"/>
      <c r="J462" s="1285"/>
      <c r="K462" s="1285"/>
      <c r="L462" s="1285"/>
      <c r="M462" s="1285"/>
      <c r="N462" s="1285"/>
      <c r="O462" s="1285"/>
      <c r="P462" s="1285"/>
      <c r="Q462" s="1285"/>
      <c r="R462" s="1285"/>
      <c r="S462" s="1285"/>
      <c r="T462" s="1285"/>
      <c r="U462" s="1285"/>
      <c r="V462" s="1285"/>
      <c r="W462" s="1286"/>
      <c r="X462" s="1286"/>
      <c r="Y462" s="1286"/>
      <c r="Z462" s="1286"/>
      <c r="AA462" s="1286"/>
      <c r="AB462" s="1286"/>
      <c r="AC462" s="1286"/>
      <c r="AD462" s="1286"/>
      <c r="AE462" s="1286"/>
      <c r="AF462" s="1286"/>
      <c r="AG462" s="1286"/>
      <c r="AH462" s="1286"/>
      <c r="AI462" s="1286"/>
      <c r="AJ462" s="1286"/>
      <c r="AK462" s="1286"/>
      <c r="AL462" s="1286"/>
      <c r="AM462" s="1286"/>
      <c r="AN462" s="1286"/>
      <c r="AO462" s="1286"/>
      <c r="AP462" s="1286"/>
      <c r="AQ462" s="1286"/>
      <c r="AR462" s="1286"/>
      <c r="AS462" s="1286"/>
      <c r="AT462" s="1286"/>
      <c r="AU462" s="1286"/>
      <c r="AV462" s="1286"/>
      <c r="AW462" s="1286"/>
      <c r="AX462" s="1286"/>
      <c r="AY462" s="1286"/>
      <c r="AZ462" s="1286"/>
      <c r="BA462" s="1286"/>
      <c r="BB462" s="1286"/>
      <c r="BC462" s="1286"/>
      <c r="BD462" s="1286"/>
      <c r="BE462" s="1286"/>
      <c r="BF462" s="1286"/>
      <c r="BG462" s="1286"/>
      <c r="BH462" s="1286"/>
      <c r="BI462" s="1286"/>
      <c r="BJ462" s="1286"/>
      <c r="BK462" s="1286"/>
      <c r="BL462" s="1286"/>
      <c r="BM462" s="1286"/>
      <c r="BN462" s="1286"/>
      <c r="BO462" s="1286"/>
      <c r="BP462" s="1286"/>
      <c r="BQ462" s="1286"/>
      <c r="BR462" s="1286"/>
      <c r="BS462" s="1286"/>
      <c r="BT462" s="1286"/>
      <c r="BU462" s="1286"/>
      <c r="BV462" s="1286"/>
      <c r="BW462" s="1286"/>
      <c r="BX462" s="1286"/>
      <c r="BY462" s="1286"/>
      <c r="BZ462" s="1286"/>
      <c r="CA462" s="1286"/>
      <c r="CB462" s="1286"/>
      <c r="CC462" s="1286"/>
      <c r="CD462" s="1286"/>
      <c r="CE462" s="1286"/>
      <c r="CF462" s="1286"/>
      <c r="CG462" s="1286"/>
      <c r="CH462" s="1269"/>
      <c r="CI462" s="1286"/>
      <c r="CJ462" s="1286"/>
      <c r="CK462" s="1286"/>
      <c r="CL462" s="1286"/>
      <c r="CM462" s="1286"/>
      <c r="CN462" s="1286"/>
      <c r="CO462" s="1286"/>
      <c r="CP462" s="1286"/>
      <c r="CQ462" s="1286"/>
      <c r="CR462" s="1286"/>
      <c r="CS462" s="1286"/>
      <c r="CT462" s="1286"/>
      <c r="CU462" s="1286"/>
      <c r="CV462" s="1286"/>
      <c r="CW462" s="1286"/>
      <c r="CX462" s="1286"/>
      <c r="CY462" s="1286"/>
      <c r="CZ462" s="1286"/>
      <c r="DA462" s="1286"/>
      <c r="DB462" s="1286"/>
      <c r="DC462" s="1286"/>
      <c r="DD462" s="1286"/>
      <c r="DE462" s="1286"/>
      <c r="DF462" s="1286"/>
      <c r="DG462" s="1286"/>
      <c r="DH462" s="1286"/>
      <c r="DI462" s="1286"/>
      <c r="DJ462" s="1286"/>
      <c r="DK462" s="1286"/>
      <c r="DL462" s="1286"/>
      <c r="DM462" s="1286"/>
      <c r="DN462" s="1286"/>
      <c r="DO462" s="1286"/>
      <c r="DP462" s="1286"/>
      <c r="DQ462" s="1286"/>
      <c r="DR462" s="1286"/>
      <c r="DS462" s="1286"/>
      <c r="DT462" s="1286"/>
      <c r="DU462" s="1286"/>
      <c r="DV462" s="1286"/>
      <c r="DW462" s="1286"/>
      <c r="DX462" s="1286"/>
      <c r="DY462" s="1286"/>
      <c r="DZ462" s="1286"/>
      <c r="EA462" s="1286"/>
      <c r="EB462" s="1206"/>
      <c r="EC462" s="1206"/>
      <c r="ED462" s="1206"/>
      <c r="EE462" s="1206"/>
      <c r="EF462" s="1206"/>
      <c r="EG462" s="1206"/>
      <c r="EH462" s="1206"/>
      <c r="EI462" s="1206"/>
      <c r="EJ462" s="1206"/>
      <c r="EK462" s="1206"/>
      <c r="EL462" s="1206"/>
      <c r="EM462" s="1313"/>
    </row>
    <row r="463" spans="2:143" s="1271" customFormat="1">
      <c r="B463" s="1263"/>
      <c r="C463" s="1285"/>
      <c r="D463" s="1091"/>
      <c r="E463" s="1265"/>
      <c r="F463" s="1285"/>
      <c r="G463" s="1264"/>
      <c r="H463" s="1264"/>
      <c r="I463" s="1285"/>
      <c r="J463" s="1285"/>
      <c r="K463" s="1285"/>
      <c r="L463" s="1285"/>
      <c r="M463" s="1285"/>
      <c r="N463" s="1285"/>
      <c r="O463" s="1285"/>
      <c r="P463" s="1285"/>
      <c r="Q463" s="1285"/>
      <c r="R463" s="1285"/>
      <c r="S463" s="1285"/>
      <c r="T463" s="1285"/>
      <c r="U463" s="1285"/>
      <c r="V463" s="1285"/>
      <c r="W463" s="1286"/>
      <c r="X463" s="1286"/>
      <c r="Y463" s="1286"/>
      <c r="Z463" s="1286"/>
      <c r="AA463" s="1286"/>
      <c r="AB463" s="1286"/>
      <c r="AC463" s="1286"/>
      <c r="AD463" s="1286"/>
      <c r="AE463" s="1286"/>
      <c r="AF463" s="1286"/>
      <c r="AG463" s="1286"/>
      <c r="AH463" s="1286"/>
      <c r="AI463" s="1286"/>
      <c r="AJ463" s="1286"/>
      <c r="AK463" s="1286"/>
      <c r="AL463" s="1286"/>
      <c r="AM463" s="1286"/>
      <c r="AN463" s="1286"/>
      <c r="AO463" s="1286"/>
      <c r="AP463" s="1286"/>
      <c r="AQ463" s="1286"/>
      <c r="AR463" s="1286"/>
      <c r="AS463" s="1286"/>
      <c r="AT463" s="1286"/>
      <c r="AU463" s="1286"/>
      <c r="AV463" s="1286"/>
      <c r="AW463" s="1286"/>
      <c r="AX463" s="1286"/>
      <c r="AY463" s="1286"/>
      <c r="AZ463" s="1286"/>
      <c r="BA463" s="1286"/>
      <c r="BB463" s="1286"/>
      <c r="BC463" s="1286"/>
      <c r="BD463" s="1286"/>
      <c r="BE463" s="1286"/>
      <c r="BF463" s="1286"/>
      <c r="BG463" s="1286"/>
      <c r="BH463" s="1286"/>
      <c r="BI463" s="1286"/>
      <c r="BJ463" s="1286"/>
      <c r="BK463" s="1286"/>
      <c r="BL463" s="1286"/>
      <c r="BM463" s="1286"/>
      <c r="BN463" s="1286"/>
      <c r="BO463" s="1286"/>
      <c r="BP463" s="1286"/>
      <c r="BQ463" s="1286"/>
      <c r="BR463" s="1286"/>
      <c r="BS463" s="1286"/>
      <c r="BT463" s="1286"/>
      <c r="BU463" s="1286"/>
      <c r="BV463" s="1286"/>
      <c r="BW463" s="1286"/>
      <c r="BX463" s="1286"/>
      <c r="BY463" s="1286"/>
      <c r="BZ463" s="1286"/>
      <c r="CA463" s="1286"/>
      <c r="CB463" s="1286"/>
      <c r="CC463" s="1286"/>
      <c r="CD463" s="1286"/>
      <c r="CE463" s="1286"/>
      <c r="CF463" s="1286"/>
      <c r="CG463" s="1286"/>
      <c r="CH463" s="1269"/>
      <c r="CI463" s="1286"/>
      <c r="CJ463" s="1286"/>
      <c r="CK463" s="1286"/>
      <c r="CL463" s="1286"/>
      <c r="CM463" s="1286"/>
      <c r="CN463" s="1286"/>
      <c r="CO463" s="1286"/>
      <c r="CP463" s="1286"/>
      <c r="CQ463" s="1286"/>
      <c r="CR463" s="1286"/>
      <c r="CS463" s="1286"/>
      <c r="CT463" s="1286"/>
      <c r="CU463" s="1286"/>
      <c r="CV463" s="1286"/>
      <c r="CW463" s="1286"/>
      <c r="CX463" s="1286"/>
      <c r="CY463" s="1286"/>
      <c r="CZ463" s="1286"/>
      <c r="DA463" s="1286"/>
      <c r="DB463" s="1286"/>
      <c r="DC463" s="1286"/>
      <c r="DD463" s="1286"/>
      <c r="DE463" s="1286"/>
      <c r="DF463" s="1286"/>
      <c r="DG463" s="1286"/>
      <c r="DH463" s="1286"/>
      <c r="DI463" s="1286"/>
      <c r="DJ463" s="1286"/>
      <c r="DK463" s="1286"/>
      <c r="DL463" s="1286"/>
      <c r="DM463" s="1286"/>
      <c r="DN463" s="1286"/>
      <c r="DO463" s="1286"/>
      <c r="DP463" s="1286"/>
      <c r="DQ463" s="1286"/>
      <c r="DR463" s="1286"/>
      <c r="DS463" s="1286"/>
      <c r="DT463" s="1286"/>
      <c r="DU463" s="1286"/>
      <c r="DV463" s="1286"/>
      <c r="DW463" s="1286"/>
      <c r="DX463" s="1286"/>
      <c r="DY463" s="1286"/>
      <c r="DZ463" s="1286"/>
      <c r="EA463" s="1286"/>
      <c r="EB463" s="1206"/>
      <c r="EC463" s="1206"/>
      <c r="ED463" s="1206"/>
      <c r="EE463" s="1206"/>
      <c r="EF463" s="1206"/>
      <c r="EG463" s="1206"/>
      <c r="EH463" s="1206"/>
      <c r="EI463" s="1206"/>
      <c r="EJ463" s="1206"/>
      <c r="EK463" s="1206"/>
      <c r="EL463" s="1206"/>
      <c r="EM463" s="1313"/>
    </row>
    <row r="464" spans="2:143" s="1271" customFormat="1">
      <c r="B464" s="1263"/>
      <c r="C464" s="1285"/>
      <c r="D464" s="1091"/>
      <c r="E464" s="1265"/>
      <c r="F464" s="1285"/>
      <c r="G464" s="1264"/>
      <c r="H464" s="1264"/>
      <c r="I464" s="1285"/>
      <c r="J464" s="1285"/>
      <c r="K464" s="1285"/>
      <c r="L464" s="1285"/>
      <c r="M464" s="1285"/>
      <c r="N464" s="1285"/>
      <c r="O464" s="1285"/>
      <c r="P464" s="1285"/>
      <c r="Q464" s="1285"/>
      <c r="R464" s="1285"/>
      <c r="S464" s="1285"/>
      <c r="T464" s="1285"/>
      <c r="U464" s="1285"/>
      <c r="V464" s="1285"/>
      <c r="W464" s="1286"/>
      <c r="X464" s="1286"/>
      <c r="Y464" s="1286"/>
      <c r="Z464" s="1286"/>
      <c r="AA464" s="1286"/>
      <c r="AB464" s="1286"/>
      <c r="AC464" s="1286"/>
      <c r="AD464" s="1286"/>
      <c r="AE464" s="1286"/>
      <c r="AF464" s="1286"/>
      <c r="AG464" s="1286"/>
      <c r="AH464" s="1286"/>
      <c r="AI464" s="1286"/>
      <c r="AJ464" s="1286"/>
      <c r="AK464" s="1286"/>
      <c r="AL464" s="1286"/>
      <c r="AM464" s="1286"/>
      <c r="AN464" s="1286"/>
      <c r="AO464" s="1286"/>
      <c r="AP464" s="1286"/>
      <c r="AQ464" s="1286"/>
      <c r="AR464" s="1286"/>
      <c r="AS464" s="1286"/>
      <c r="AT464" s="1286"/>
      <c r="AU464" s="1286"/>
      <c r="AV464" s="1286"/>
      <c r="AW464" s="1286"/>
      <c r="AX464" s="1286"/>
      <c r="AY464" s="1286"/>
      <c r="AZ464" s="1286"/>
      <c r="BA464" s="1286"/>
      <c r="BB464" s="1286"/>
      <c r="BC464" s="1286"/>
      <c r="BD464" s="1286"/>
      <c r="BE464" s="1286"/>
      <c r="BF464" s="1286"/>
      <c r="BG464" s="1286"/>
      <c r="BH464" s="1286"/>
      <c r="BI464" s="1286"/>
      <c r="BJ464" s="1286"/>
      <c r="BK464" s="1286"/>
      <c r="BL464" s="1286"/>
      <c r="BM464" s="1286"/>
      <c r="BN464" s="1286"/>
      <c r="BO464" s="1286"/>
      <c r="BP464" s="1286"/>
      <c r="BQ464" s="1286"/>
      <c r="BR464" s="1286"/>
      <c r="BS464" s="1286"/>
      <c r="BT464" s="1286"/>
      <c r="BU464" s="1286"/>
      <c r="BV464" s="1286"/>
      <c r="BW464" s="1286"/>
      <c r="BX464" s="1286"/>
      <c r="BY464" s="1286"/>
      <c r="BZ464" s="1286"/>
      <c r="CA464" s="1286"/>
      <c r="CB464" s="1286"/>
      <c r="CC464" s="1286"/>
      <c r="CD464" s="1286"/>
      <c r="CE464" s="1286"/>
      <c r="CF464" s="1286"/>
      <c r="CG464" s="1286"/>
      <c r="CH464" s="1269"/>
      <c r="CI464" s="1286"/>
      <c r="CJ464" s="1286"/>
      <c r="CK464" s="1286"/>
      <c r="CL464" s="1286"/>
      <c r="CM464" s="1286"/>
      <c r="CN464" s="1286"/>
      <c r="CO464" s="1286"/>
      <c r="CP464" s="1286"/>
      <c r="CQ464" s="1286"/>
      <c r="CR464" s="1286"/>
      <c r="CS464" s="1286"/>
      <c r="CT464" s="1286"/>
      <c r="CU464" s="1286"/>
      <c r="CV464" s="1286"/>
      <c r="CW464" s="1286"/>
      <c r="CX464" s="1286"/>
      <c r="CY464" s="1286"/>
      <c r="CZ464" s="1286"/>
      <c r="DA464" s="1286"/>
      <c r="DB464" s="1286"/>
      <c r="DC464" s="1286"/>
      <c r="DD464" s="1286"/>
      <c r="DE464" s="1286"/>
      <c r="DF464" s="1286"/>
      <c r="DG464" s="1286"/>
      <c r="DH464" s="1286"/>
      <c r="DI464" s="1286"/>
      <c r="DJ464" s="1286"/>
      <c r="DK464" s="1286"/>
      <c r="DL464" s="1286"/>
      <c r="DM464" s="1286"/>
      <c r="DN464" s="1286"/>
      <c r="DO464" s="1286"/>
      <c r="DP464" s="1286"/>
      <c r="DQ464" s="1286"/>
      <c r="DR464" s="1286"/>
      <c r="DS464" s="1286"/>
      <c r="DT464" s="1286"/>
      <c r="DU464" s="1286"/>
      <c r="DV464" s="1286"/>
      <c r="DW464" s="1286"/>
      <c r="DX464" s="1286"/>
      <c r="DY464" s="1286"/>
      <c r="DZ464" s="1286"/>
      <c r="EA464" s="1286"/>
      <c r="EB464" s="1206"/>
      <c r="EC464" s="1206"/>
      <c r="ED464" s="1206"/>
      <c r="EE464" s="1206"/>
      <c r="EF464" s="1206"/>
      <c r="EG464" s="1206"/>
      <c r="EH464" s="1206"/>
      <c r="EI464" s="1206"/>
      <c r="EJ464" s="1206"/>
      <c r="EK464" s="1206"/>
      <c r="EL464" s="1206"/>
      <c r="EM464" s="1313"/>
    </row>
    <row r="465" spans="2:143" s="1271" customFormat="1">
      <c r="B465" s="1263"/>
      <c r="C465" s="1285"/>
      <c r="D465" s="1091"/>
      <c r="E465" s="1265"/>
      <c r="F465" s="1285"/>
      <c r="G465" s="1264"/>
      <c r="H465" s="1264"/>
      <c r="I465" s="1285"/>
      <c r="J465" s="1285"/>
      <c r="K465" s="1285"/>
      <c r="L465" s="1285"/>
      <c r="M465" s="1285"/>
      <c r="N465" s="1285"/>
      <c r="O465" s="1285"/>
      <c r="P465" s="1285"/>
      <c r="Q465" s="1285"/>
      <c r="R465" s="1285"/>
      <c r="S465" s="1285"/>
      <c r="T465" s="1285"/>
      <c r="U465" s="1285"/>
      <c r="V465" s="1285"/>
      <c r="W465" s="1286"/>
      <c r="X465" s="1286"/>
      <c r="Y465" s="1286"/>
      <c r="Z465" s="1286"/>
      <c r="AA465" s="1286"/>
      <c r="AB465" s="1286"/>
      <c r="AC465" s="1286"/>
      <c r="AD465" s="1286"/>
      <c r="AE465" s="1286"/>
      <c r="AF465" s="1286"/>
      <c r="AG465" s="1286"/>
      <c r="AH465" s="1286"/>
      <c r="AI465" s="1286"/>
      <c r="AJ465" s="1286"/>
      <c r="AK465" s="1286"/>
      <c r="AL465" s="1286"/>
      <c r="AM465" s="1286"/>
      <c r="AN465" s="1286"/>
      <c r="AO465" s="1286"/>
      <c r="AP465" s="1286"/>
      <c r="AQ465" s="1286"/>
      <c r="AR465" s="1286"/>
      <c r="AS465" s="1286"/>
      <c r="AT465" s="1286"/>
      <c r="AU465" s="1286"/>
      <c r="AV465" s="1286"/>
      <c r="AW465" s="1286"/>
      <c r="AX465" s="1286"/>
      <c r="AY465" s="1286"/>
      <c r="AZ465" s="1286"/>
      <c r="BA465" s="1286"/>
      <c r="BB465" s="1286"/>
      <c r="BC465" s="1286"/>
      <c r="BD465" s="1286"/>
      <c r="BE465" s="1286"/>
      <c r="BF465" s="1286"/>
      <c r="BG465" s="1286"/>
      <c r="BH465" s="1286"/>
      <c r="BI465" s="1286"/>
      <c r="BJ465" s="1286"/>
      <c r="BK465" s="1286"/>
      <c r="BL465" s="1286"/>
      <c r="BM465" s="1286"/>
      <c r="BN465" s="1286"/>
      <c r="BO465" s="1286"/>
      <c r="BP465" s="1286"/>
      <c r="BQ465" s="1286"/>
      <c r="BR465" s="1286"/>
      <c r="BS465" s="1286"/>
      <c r="BT465" s="1286"/>
      <c r="BU465" s="1286"/>
      <c r="BV465" s="1286"/>
      <c r="BW465" s="1286"/>
      <c r="BX465" s="1286"/>
      <c r="BY465" s="1286"/>
      <c r="BZ465" s="1286"/>
      <c r="CA465" s="1286"/>
      <c r="CB465" s="1286"/>
      <c r="CC465" s="1286"/>
      <c r="CD465" s="1286"/>
      <c r="CE465" s="1286"/>
      <c r="CF465" s="1286"/>
      <c r="CG465" s="1286"/>
      <c r="CH465" s="1269"/>
      <c r="CI465" s="1286"/>
      <c r="CJ465" s="1286"/>
      <c r="CK465" s="1286"/>
      <c r="CL465" s="1286"/>
      <c r="CM465" s="1286"/>
      <c r="CN465" s="1286"/>
      <c r="CO465" s="1286"/>
      <c r="CP465" s="1286"/>
      <c r="CQ465" s="1286"/>
      <c r="CR465" s="1286"/>
      <c r="CS465" s="1286"/>
      <c r="CT465" s="1286"/>
      <c r="CU465" s="1286"/>
      <c r="CV465" s="1286"/>
      <c r="CW465" s="1286"/>
      <c r="CX465" s="1286"/>
      <c r="CY465" s="1286"/>
      <c r="CZ465" s="1286"/>
      <c r="DA465" s="1286"/>
      <c r="DB465" s="1286"/>
      <c r="DC465" s="1286"/>
      <c r="DD465" s="1286"/>
      <c r="DE465" s="1286"/>
      <c r="DF465" s="1286"/>
      <c r="DG465" s="1286"/>
      <c r="DH465" s="1286"/>
      <c r="DI465" s="1286"/>
      <c r="DJ465" s="1286"/>
      <c r="DK465" s="1286"/>
      <c r="DL465" s="1286"/>
      <c r="DM465" s="1286"/>
      <c r="DN465" s="1286"/>
      <c r="DO465" s="1286"/>
      <c r="DP465" s="1286"/>
      <c r="DQ465" s="1286"/>
      <c r="DR465" s="1286"/>
      <c r="DS465" s="1286"/>
      <c r="DT465" s="1286"/>
      <c r="DU465" s="1286"/>
      <c r="DV465" s="1286"/>
      <c r="DW465" s="1286"/>
      <c r="DX465" s="1286"/>
      <c r="DY465" s="1286"/>
      <c r="DZ465" s="1286"/>
      <c r="EA465" s="1286"/>
      <c r="EB465" s="1206"/>
      <c r="EC465" s="1206"/>
      <c r="ED465" s="1206"/>
      <c r="EE465" s="1206"/>
      <c r="EF465" s="1206"/>
      <c r="EG465" s="1206"/>
      <c r="EH465" s="1206"/>
      <c r="EI465" s="1206"/>
      <c r="EJ465" s="1206"/>
      <c r="EK465" s="1206"/>
      <c r="EL465" s="1206"/>
      <c r="EM465" s="1313"/>
    </row>
    <row r="466" spans="2:143" s="1271" customFormat="1">
      <c r="B466" s="1263"/>
      <c r="C466" s="1285"/>
      <c r="D466" s="1091"/>
      <c r="E466" s="1265"/>
      <c r="F466" s="1285"/>
      <c r="G466" s="1264"/>
      <c r="H466" s="1264"/>
      <c r="I466" s="1285"/>
      <c r="J466" s="1285"/>
      <c r="K466" s="1285"/>
      <c r="L466" s="1285"/>
      <c r="M466" s="1285"/>
      <c r="N466" s="1285"/>
      <c r="O466" s="1285"/>
      <c r="P466" s="1285"/>
      <c r="Q466" s="1285"/>
      <c r="R466" s="1285"/>
      <c r="S466" s="1285"/>
      <c r="T466" s="1285"/>
      <c r="U466" s="1285"/>
      <c r="V466" s="1285"/>
      <c r="W466" s="1286"/>
      <c r="X466" s="1286"/>
      <c r="Y466" s="1286"/>
      <c r="Z466" s="1286"/>
      <c r="AA466" s="1286"/>
      <c r="AB466" s="1286"/>
      <c r="AC466" s="1286"/>
      <c r="AD466" s="1286"/>
      <c r="AE466" s="1286"/>
      <c r="AF466" s="1286"/>
      <c r="AG466" s="1286"/>
      <c r="AH466" s="1286"/>
      <c r="AI466" s="1286"/>
      <c r="AJ466" s="1286"/>
      <c r="AK466" s="1286"/>
      <c r="AL466" s="1286"/>
      <c r="AM466" s="1286"/>
      <c r="AN466" s="1286"/>
      <c r="AO466" s="1286"/>
      <c r="AP466" s="1286"/>
      <c r="AQ466" s="1286"/>
      <c r="AR466" s="1286"/>
      <c r="AS466" s="1286"/>
      <c r="AT466" s="1286"/>
      <c r="AU466" s="1286"/>
      <c r="AV466" s="1286"/>
      <c r="AW466" s="1286"/>
      <c r="AX466" s="1286"/>
      <c r="AY466" s="1286"/>
      <c r="AZ466" s="1286"/>
      <c r="BA466" s="1286"/>
      <c r="BB466" s="1286"/>
      <c r="BC466" s="1286"/>
      <c r="BD466" s="1286"/>
      <c r="BE466" s="1286"/>
      <c r="BF466" s="1286"/>
      <c r="BG466" s="1286"/>
      <c r="BH466" s="1286"/>
      <c r="BI466" s="1286"/>
      <c r="BJ466" s="1286"/>
      <c r="BK466" s="1286"/>
      <c r="BL466" s="1286"/>
      <c r="BM466" s="1286"/>
      <c r="BN466" s="1286"/>
      <c r="BO466" s="1286"/>
      <c r="BP466" s="1286"/>
      <c r="BQ466" s="1286"/>
      <c r="BR466" s="1286"/>
      <c r="BS466" s="1286"/>
      <c r="BT466" s="1286"/>
      <c r="BU466" s="1286"/>
      <c r="BV466" s="1286"/>
      <c r="BW466" s="1286"/>
      <c r="BX466" s="1286"/>
      <c r="BY466" s="1286"/>
      <c r="BZ466" s="1286"/>
      <c r="CA466" s="1286"/>
      <c r="CB466" s="1286"/>
      <c r="CC466" s="1286"/>
      <c r="CD466" s="1286"/>
      <c r="CE466" s="1286"/>
      <c r="CF466" s="1286"/>
      <c r="CG466" s="1286"/>
      <c r="CH466" s="1269"/>
      <c r="CI466" s="1286"/>
      <c r="CJ466" s="1286"/>
      <c r="CK466" s="1286"/>
      <c r="CL466" s="1286"/>
      <c r="CM466" s="1286"/>
      <c r="CN466" s="1286"/>
      <c r="CO466" s="1286"/>
      <c r="CP466" s="1286"/>
      <c r="CQ466" s="1286"/>
      <c r="CR466" s="1286"/>
      <c r="CS466" s="1286"/>
      <c r="CT466" s="1286"/>
      <c r="CU466" s="1286"/>
      <c r="CV466" s="1286"/>
      <c r="CW466" s="1286"/>
      <c r="CX466" s="1286"/>
      <c r="CY466" s="1286"/>
      <c r="CZ466" s="1286"/>
      <c r="DA466" s="1286"/>
      <c r="DB466" s="1286"/>
      <c r="DC466" s="1286"/>
      <c r="DD466" s="1286"/>
      <c r="DE466" s="1286"/>
      <c r="DF466" s="1286"/>
      <c r="DG466" s="1286"/>
      <c r="DH466" s="1286"/>
      <c r="DI466" s="1286"/>
      <c r="DJ466" s="1286"/>
      <c r="DK466" s="1286"/>
      <c r="DL466" s="1286"/>
      <c r="DM466" s="1286"/>
      <c r="DN466" s="1286"/>
      <c r="DO466" s="1286"/>
      <c r="DP466" s="1286"/>
      <c r="DQ466" s="1286"/>
      <c r="DR466" s="1286"/>
      <c r="DS466" s="1286"/>
      <c r="DT466" s="1286"/>
      <c r="DU466" s="1286"/>
      <c r="DV466" s="1286"/>
      <c r="DW466" s="1286"/>
      <c r="DX466" s="1286"/>
      <c r="DY466" s="1286"/>
      <c r="DZ466" s="1286"/>
      <c r="EA466" s="1286"/>
      <c r="EB466" s="1206"/>
      <c r="EC466" s="1206"/>
      <c r="ED466" s="1206"/>
      <c r="EE466" s="1206"/>
      <c r="EF466" s="1206"/>
      <c r="EG466" s="1206"/>
      <c r="EH466" s="1206"/>
      <c r="EI466" s="1206"/>
      <c r="EJ466" s="1206"/>
      <c r="EK466" s="1206"/>
      <c r="EL466" s="1206"/>
      <c r="EM466" s="1313"/>
    </row>
    <row r="467" spans="2:143" s="1271" customFormat="1">
      <c r="B467" s="1263"/>
      <c r="C467" s="1285"/>
      <c r="D467" s="1091"/>
      <c r="E467" s="1265"/>
      <c r="F467" s="1285"/>
      <c r="G467" s="1264"/>
      <c r="H467" s="1264"/>
      <c r="I467" s="1285"/>
      <c r="J467" s="1285"/>
      <c r="K467" s="1285"/>
      <c r="L467" s="1285"/>
      <c r="M467" s="1285"/>
      <c r="N467" s="1285"/>
      <c r="O467" s="1285"/>
      <c r="P467" s="1285"/>
      <c r="Q467" s="1285"/>
      <c r="R467" s="1285"/>
      <c r="S467" s="1285"/>
      <c r="T467" s="1285"/>
      <c r="U467" s="1285"/>
      <c r="V467" s="1285"/>
      <c r="W467" s="1286"/>
      <c r="X467" s="1286"/>
      <c r="Y467" s="1286"/>
      <c r="Z467" s="1286"/>
      <c r="AA467" s="1286"/>
      <c r="AB467" s="1286"/>
      <c r="AC467" s="1286"/>
      <c r="AD467" s="1286"/>
      <c r="AE467" s="1286"/>
      <c r="AF467" s="1286"/>
      <c r="AG467" s="1286"/>
      <c r="AH467" s="1286"/>
      <c r="AI467" s="1286"/>
      <c r="AJ467" s="1286"/>
      <c r="AK467" s="1286"/>
      <c r="AL467" s="1286"/>
      <c r="AM467" s="1286"/>
      <c r="AN467" s="1286"/>
      <c r="AO467" s="1286"/>
      <c r="AP467" s="1286"/>
      <c r="AQ467" s="1286"/>
      <c r="AR467" s="1286"/>
      <c r="AS467" s="1286"/>
      <c r="AT467" s="1286"/>
      <c r="AU467" s="1286"/>
      <c r="AV467" s="1286"/>
      <c r="AW467" s="1286"/>
      <c r="AX467" s="1286"/>
      <c r="AY467" s="1286"/>
      <c r="AZ467" s="1286"/>
      <c r="BA467" s="1286"/>
      <c r="BB467" s="1286"/>
      <c r="BC467" s="1286"/>
      <c r="BD467" s="1286"/>
      <c r="BE467" s="1286"/>
      <c r="BF467" s="1286"/>
      <c r="BG467" s="1286"/>
      <c r="BH467" s="1286"/>
      <c r="BI467" s="1286"/>
      <c r="BJ467" s="1286"/>
      <c r="BK467" s="1286"/>
      <c r="BL467" s="1286"/>
      <c r="BM467" s="1286"/>
      <c r="BN467" s="1286"/>
      <c r="BO467" s="1286"/>
      <c r="BP467" s="1286"/>
      <c r="BQ467" s="1286"/>
      <c r="BR467" s="1286"/>
      <c r="BS467" s="1286"/>
      <c r="BT467" s="1286"/>
      <c r="BU467" s="1286"/>
      <c r="BV467" s="1286"/>
      <c r="BW467" s="1286"/>
      <c r="BX467" s="1286"/>
      <c r="BY467" s="1286"/>
      <c r="BZ467" s="1286"/>
      <c r="CA467" s="1286"/>
      <c r="CB467" s="1286"/>
      <c r="CC467" s="1286"/>
      <c r="CD467" s="1286"/>
      <c r="CE467" s="1286"/>
      <c r="CF467" s="1286"/>
      <c r="CG467" s="1286"/>
      <c r="CH467" s="1269"/>
      <c r="CI467" s="1286"/>
      <c r="CJ467" s="1286"/>
      <c r="CK467" s="1286"/>
      <c r="CL467" s="1286"/>
      <c r="CM467" s="1286"/>
      <c r="CN467" s="1286"/>
      <c r="CO467" s="1286"/>
      <c r="CP467" s="1286"/>
      <c r="CQ467" s="1286"/>
      <c r="CR467" s="1286"/>
      <c r="CS467" s="1286"/>
      <c r="CT467" s="1286"/>
      <c r="CU467" s="1286"/>
      <c r="CV467" s="1286"/>
      <c r="CW467" s="1286"/>
      <c r="CX467" s="1286"/>
      <c r="CY467" s="1286"/>
      <c r="CZ467" s="1286"/>
      <c r="DA467" s="1286"/>
      <c r="DB467" s="1286"/>
      <c r="DC467" s="1286"/>
      <c r="DD467" s="1286"/>
      <c r="DE467" s="1286"/>
      <c r="DF467" s="1286"/>
      <c r="DG467" s="1286"/>
      <c r="DH467" s="1286"/>
      <c r="DI467" s="1286"/>
      <c r="DJ467" s="1286"/>
      <c r="DK467" s="1286"/>
      <c r="DL467" s="1286"/>
      <c r="DM467" s="1286"/>
      <c r="DN467" s="1286"/>
      <c r="DO467" s="1286"/>
      <c r="DP467" s="1286"/>
      <c r="DQ467" s="1286"/>
      <c r="DR467" s="1286"/>
      <c r="DS467" s="1286"/>
      <c r="DT467" s="1286"/>
      <c r="DU467" s="1286"/>
      <c r="DV467" s="1286"/>
      <c r="DW467" s="1286"/>
      <c r="DX467" s="1286"/>
      <c r="DY467" s="1286"/>
      <c r="DZ467" s="1286"/>
      <c r="EA467" s="1286"/>
      <c r="EB467" s="1206"/>
      <c r="EC467" s="1206"/>
      <c r="ED467" s="1206"/>
      <c r="EE467" s="1206"/>
      <c r="EF467" s="1206"/>
      <c r="EG467" s="1206"/>
      <c r="EH467" s="1206"/>
      <c r="EI467" s="1206"/>
      <c r="EJ467" s="1206"/>
      <c r="EK467" s="1206"/>
      <c r="EL467" s="1206"/>
      <c r="EM467" s="1313"/>
    </row>
    <row r="468" spans="2:143" s="1271" customFormat="1">
      <c r="B468" s="1263"/>
      <c r="C468" s="1285"/>
      <c r="D468" s="1091"/>
      <c r="E468" s="1265"/>
      <c r="F468" s="1285"/>
      <c r="G468" s="1264"/>
      <c r="H468" s="1264"/>
      <c r="I468" s="1285"/>
      <c r="J468" s="1285"/>
      <c r="K468" s="1285"/>
      <c r="L468" s="1285"/>
      <c r="M468" s="1285"/>
      <c r="N468" s="1285"/>
      <c r="O468" s="1285"/>
      <c r="P468" s="1285"/>
      <c r="Q468" s="1285"/>
      <c r="R468" s="1285"/>
      <c r="S468" s="1285"/>
      <c r="T468" s="1285"/>
      <c r="U468" s="1285"/>
      <c r="V468" s="1285"/>
      <c r="W468" s="1286"/>
      <c r="X468" s="1286"/>
      <c r="Y468" s="1286"/>
      <c r="Z468" s="1286"/>
      <c r="AA468" s="1286"/>
      <c r="AB468" s="1286"/>
      <c r="AC468" s="1286"/>
      <c r="AD468" s="1286"/>
      <c r="AE468" s="1286"/>
      <c r="AF468" s="1286"/>
      <c r="AG468" s="1286"/>
      <c r="AH468" s="1286"/>
      <c r="AI468" s="1286"/>
      <c r="AJ468" s="1286"/>
      <c r="AK468" s="1286"/>
      <c r="AL468" s="1286"/>
      <c r="AM468" s="1286"/>
      <c r="AN468" s="1286"/>
      <c r="AO468" s="1286"/>
      <c r="AP468" s="1286"/>
      <c r="AQ468" s="1286"/>
      <c r="AR468" s="1286"/>
      <c r="AS468" s="1286"/>
      <c r="AT468" s="1286"/>
      <c r="AU468" s="1286"/>
      <c r="AV468" s="1286"/>
      <c r="AW468" s="1286"/>
      <c r="AX468" s="1286"/>
      <c r="AY468" s="1286"/>
      <c r="AZ468" s="1286"/>
      <c r="BA468" s="1286"/>
      <c r="BB468" s="1286"/>
      <c r="BC468" s="1286"/>
      <c r="BD468" s="1286"/>
      <c r="BE468" s="1286"/>
      <c r="BF468" s="1286"/>
      <c r="BG468" s="1286"/>
      <c r="BH468" s="1286"/>
      <c r="BI468" s="1286"/>
      <c r="BJ468" s="1286"/>
      <c r="BK468" s="1286"/>
      <c r="BL468" s="1286"/>
      <c r="BM468" s="1286"/>
      <c r="BN468" s="1286"/>
      <c r="BO468" s="1286"/>
      <c r="BP468" s="1286"/>
      <c r="BQ468" s="1286"/>
      <c r="BR468" s="1286"/>
      <c r="BS468" s="1286"/>
      <c r="BT468" s="1286"/>
      <c r="BU468" s="1286"/>
      <c r="BV468" s="1286"/>
      <c r="BW468" s="1286"/>
      <c r="BX468" s="1286"/>
      <c r="BY468" s="1286"/>
      <c r="BZ468" s="1286"/>
      <c r="CA468" s="1286"/>
      <c r="CB468" s="1286"/>
      <c r="CC468" s="1286"/>
      <c r="CD468" s="1286"/>
      <c r="CE468" s="1286"/>
      <c r="CF468" s="1286"/>
      <c r="CG468" s="1286"/>
      <c r="CH468" s="1269"/>
      <c r="CI468" s="1286"/>
      <c r="CJ468" s="1286"/>
      <c r="CK468" s="1286"/>
      <c r="CL468" s="1286"/>
      <c r="CM468" s="1286"/>
      <c r="CN468" s="1286"/>
      <c r="CO468" s="1286"/>
      <c r="CP468" s="1286"/>
      <c r="CQ468" s="1286"/>
      <c r="CR468" s="1286"/>
      <c r="CS468" s="1286"/>
      <c r="CT468" s="1286"/>
      <c r="CU468" s="1286"/>
      <c r="CV468" s="1286"/>
      <c r="CW468" s="1286"/>
      <c r="CX468" s="1286"/>
      <c r="CY468" s="1286"/>
      <c r="CZ468" s="1286"/>
      <c r="DA468" s="1286"/>
      <c r="DB468" s="1286"/>
      <c r="DC468" s="1286"/>
      <c r="DD468" s="1286"/>
      <c r="DE468" s="1286"/>
      <c r="DF468" s="1286"/>
      <c r="DG468" s="1286"/>
      <c r="DH468" s="1286"/>
      <c r="DI468" s="1286"/>
      <c r="DJ468" s="1286"/>
      <c r="DK468" s="1286"/>
      <c r="DL468" s="1286"/>
      <c r="DM468" s="1286"/>
      <c r="DN468" s="1286"/>
      <c r="DO468" s="1286"/>
      <c r="DP468" s="1286"/>
      <c r="DQ468" s="1286"/>
      <c r="DR468" s="1286"/>
      <c r="DS468" s="1286"/>
      <c r="DT468" s="1286"/>
      <c r="DU468" s="1286"/>
      <c r="DV468" s="1286"/>
      <c r="DW468" s="1286"/>
      <c r="DX468" s="1286"/>
      <c r="DY468" s="1286"/>
      <c r="DZ468" s="1286"/>
      <c r="EA468" s="1286"/>
      <c r="EB468" s="1206"/>
      <c r="EC468" s="1206"/>
      <c r="ED468" s="1206"/>
      <c r="EE468" s="1206"/>
      <c r="EF468" s="1206"/>
      <c r="EG468" s="1206"/>
      <c r="EH468" s="1206"/>
      <c r="EI468" s="1206"/>
      <c r="EJ468" s="1206"/>
      <c r="EK468" s="1206"/>
      <c r="EL468" s="1206"/>
      <c r="EM468" s="1313"/>
    </row>
    <row r="469" spans="2:143" s="1271" customFormat="1">
      <c r="B469" s="1263"/>
      <c r="C469" s="1264"/>
      <c r="D469" s="1265"/>
      <c r="E469" s="1265"/>
      <c r="F469" s="1285"/>
      <c r="G469" s="1264"/>
      <c r="H469" s="1264"/>
      <c r="I469" s="1285"/>
      <c r="J469" s="1285"/>
      <c r="K469" s="1285"/>
      <c r="L469" s="1285"/>
      <c r="M469" s="1285"/>
      <c r="N469" s="1285"/>
      <c r="O469" s="1285"/>
      <c r="P469" s="1285"/>
      <c r="Q469" s="1285"/>
      <c r="R469" s="1285"/>
      <c r="S469" s="1285"/>
      <c r="T469" s="1285"/>
      <c r="U469" s="1285"/>
      <c r="V469" s="1285"/>
      <c r="W469" s="1289"/>
      <c r="X469" s="1289"/>
      <c r="Y469" s="1289"/>
      <c r="Z469" s="1289"/>
      <c r="AA469" s="1289"/>
      <c r="AB469" s="1289"/>
      <c r="AC469" s="1289"/>
      <c r="AD469" s="1289"/>
      <c r="AE469" s="1289"/>
      <c r="AF469" s="1289"/>
      <c r="AG469" s="1289"/>
      <c r="AH469" s="1289"/>
      <c r="AI469" s="1289"/>
      <c r="AJ469" s="1289"/>
      <c r="AK469" s="1289"/>
      <c r="AL469" s="1289"/>
      <c r="AM469" s="1289"/>
      <c r="AN469" s="1289"/>
      <c r="AO469" s="1289"/>
      <c r="AP469" s="1289"/>
      <c r="AQ469" s="1289"/>
      <c r="AR469" s="1289"/>
      <c r="AS469" s="1289"/>
      <c r="AT469" s="1289"/>
      <c r="AU469" s="1289"/>
      <c r="AV469" s="1289"/>
      <c r="AW469" s="1289"/>
      <c r="AX469" s="1289"/>
      <c r="AY469" s="1289"/>
      <c r="AZ469" s="1289"/>
      <c r="BA469" s="1289"/>
      <c r="BB469" s="1289"/>
      <c r="BC469" s="1289"/>
      <c r="BD469" s="1289"/>
      <c r="BE469" s="1289"/>
      <c r="BF469" s="1289"/>
      <c r="BG469" s="1289"/>
      <c r="BH469" s="1289"/>
      <c r="BI469" s="1289"/>
      <c r="BJ469" s="1289"/>
      <c r="BK469" s="1289"/>
      <c r="BL469" s="1289"/>
      <c r="BM469" s="1289"/>
      <c r="BN469" s="1289"/>
      <c r="BO469" s="1289"/>
      <c r="BP469" s="1289"/>
      <c r="BQ469" s="1289"/>
      <c r="BR469" s="1289"/>
      <c r="BS469" s="1289"/>
      <c r="BT469" s="1289"/>
      <c r="BU469" s="1289"/>
      <c r="BV469" s="1289"/>
      <c r="BW469" s="1289"/>
      <c r="BX469" s="1289"/>
      <c r="BY469" s="1289"/>
      <c r="BZ469" s="1289"/>
      <c r="CA469" s="1289"/>
      <c r="CB469" s="1289"/>
      <c r="CC469" s="1289"/>
      <c r="CD469" s="1289"/>
      <c r="CE469" s="1289"/>
      <c r="CF469" s="1289"/>
      <c r="CG469" s="1289"/>
      <c r="CH469" s="1269"/>
      <c r="CI469" s="1289"/>
      <c r="CJ469" s="1289"/>
      <c r="CK469" s="1289"/>
      <c r="CL469" s="1289"/>
      <c r="CM469" s="1289"/>
      <c r="CN469" s="1289"/>
      <c r="CO469" s="1289"/>
      <c r="CP469" s="1289"/>
      <c r="CQ469" s="1289"/>
      <c r="CR469" s="1289"/>
      <c r="CS469" s="1289"/>
      <c r="CT469" s="1289"/>
      <c r="CU469" s="1289"/>
      <c r="CV469" s="1289"/>
      <c r="CW469" s="1289"/>
      <c r="CX469" s="1289"/>
      <c r="CY469" s="1289"/>
      <c r="CZ469" s="1289"/>
      <c r="DA469" s="1289"/>
      <c r="DB469" s="1289"/>
      <c r="DC469" s="1289"/>
      <c r="DD469" s="1289"/>
      <c r="DE469" s="1289"/>
      <c r="DF469" s="1289"/>
      <c r="DG469" s="1289"/>
      <c r="DH469" s="1289"/>
      <c r="DI469" s="1289"/>
      <c r="DJ469" s="1289"/>
      <c r="DK469" s="1289"/>
      <c r="DL469" s="1289"/>
      <c r="DM469" s="1289"/>
      <c r="DN469" s="1289"/>
      <c r="DO469" s="1289"/>
      <c r="DP469" s="1289"/>
      <c r="DQ469" s="1289"/>
      <c r="DR469" s="1289"/>
      <c r="DS469" s="1289"/>
      <c r="DT469" s="1289"/>
      <c r="DU469" s="1289"/>
      <c r="DV469" s="1289"/>
      <c r="DW469" s="1289"/>
      <c r="DX469" s="1289"/>
      <c r="DY469" s="1289"/>
      <c r="DZ469" s="1289"/>
      <c r="EA469" s="1289"/>
      <c r="EB469" s="1206"/>
      <c r="EC469" s="1206"/>
      <c r="ED469" s="1206"/>
      <c r="EE469" s="1206"/>
      <c r="EF469" s="1206"/>
      <c r="EG469" s="1206"/>
      <c r="EH469" s="1206"/>
      <c r="EI469" s="1206"/>
      <c r="EJ469" s="1206"/>
      <c r="EK469" s="1206"/>
      <c r="EL469" s="1206"/>
      <c r="EM469" s="1313"/>
    </row>
    <row r="470" spans="2:143" s="1271" customFormat="1" thickBot="1">
      <c r="CH470" s="1269"/>
      <c r="EK470" s="1282"/>
      <c r="EL470" s="1282"/>
      <c r="EM470" s="1313"/>
    </row>
    <row r="471" spans="2:143">
      <c r="B471" s="1051" t="s">
        <v>705</v>
      </c>
      <c r="CH471" s="1269"/>
    </row>
    <row r="472" spans="2:143">
      <c r="CH472" s="1269"/>
      <c r="CJ472" s="1291"/>
      <c r="CK472" s="1291"/>
      <c r="CL472" s="1291"/>
      <c r="CM472" s="1291"/>
      <c r="CN472" s="1291"/>
      <c r="CO472" s="1291"/>
      <c r="CP472" s="1291"/>
      <c r="CQ472" s="1291"/>
      <c r="CR472" s="1291"/>
      <c r="CS472" s="1291"/>
      <c r="CT472" s="1291"/>
      <c r="CU472" s="1291"/>
      <c r="CV472" s="1291"/>
      <c r="CW472" s="1291"/>
      <c r="CX472" s="1291"/>
      <c r="CY472" s="1291"/>
      <c r="CZ472" s="1291"/>
      <c r="DA472" s="1291"/>
      <c r="DB472" s="1291"/>
      <c r="DC472" s="1291"/>
      <c r="DD472" s="1291"/>
      <c r="DE472" s="1291"/>
      <c r="DF472" s="1291"/>
      <c r="DG472" s="1291"/>
      <c r="DH472" s="1291"/>
      <c r="DI472" s="1291"/>
      <c r="DJ472" s="1291"/>
      <c r="DK472" s="1291"/>
      <c r="DL472" s="1291"/>
      <c r="DM472" s="1291"/>
      <c r="DN472" s="1291"/>
      <c r="DO472" s="1291"/>
      <c r="DP472" s="1291"/>
      <c r="DQ472" s="1291"/>
      <c r="DR472" s="1291"/>
      <c r="DS472" s="1291"/>
      <c r="DT472" s="1291"/>
      <c r="DU472" s="1291"/>
      <c r="DV472" s="1291"/>
      <c r="DW472" s="1291"/>
      <c r="DX472" s="1291"/>
      <c r="DY472" s="1291"/>
      <c r="DZ472" s="1291"/>
    </row>
    <row r="473" spans="2:143">
      <c r="CH473" s="1269"/>
      <c r="CJ473" s="1291"/>
      <c r="CK473" s="1291"/>
      <c r="CL473" s="1291"/>
      <c r="CM473" s="1291"/>
      <c r="CN473" s="1291"/>
      <c r="CO473" s="1291"/>
      <c r="CP473" s="1291"/>
      <c r="CQ473" s="1291"/>
      <c r="CR473" s="1291"/>
      <c r="CS473" s="1291"/>
      <c r="CT473" s="1291"/>
      <c r="CU473" s="1291"/>
      <c r="CV473" s="1291"/>
      <c r="CW473" s="1291"/>
      <c r="CX473" s="1291"/>
      <c r="CY473" s="1291"/>
      <c r="CZ473" s="1291"/>
      <c r="DA473" s="1291"/>
      <c r="DB473" s="1291"/>
      <c r="DC473" s="1291"/>
      <c r="DD473" s="1291"/>
      <c r="DE473" s="1291"/>
      <c r="DF473" s="1291"/>
      <c r="DG473" s="1291"/>
      <c r="DH473" s="1291"/>
      <c r="DI473" s="1291"/>
      <c r="DJ473" s="1291"/>
      <c r="DK473" s="1291"/>
      <c r="DL473" s="1291"/>
      <c r="DM473" s="1291"/>
      <c r="DN473" s="1291"/>
      <c r="DO473" s="1291"/>
      <c r="DP473" s="1291"/>
      <c r="DQ473" s="1291"/>
      <c r="DR473" s="1291"/>
      <c r="DS473" s="1291"/>
      <c r="DT473" s="1291"/>
      <c r="DU473" s="1291"/>
      <c r="DV473" s="1291"/>
      <c r="DW473" s="1291"/>
      <c r="DX473" s="1291"/>
      <c r="DY473" s="1291"/>
      <c r="DZ473" s="1291"/>
      <c r="EB473" s="1291"/>
    </row>
    <row r="474" spans="2:143">
      <c r="CH474" s="1269"/>
    </row>
    <row r="475" spans="2:143"/>
    <row r="476" spans="2:143"/>
    <row r="477" spans="2:143"/>
    <row r="478" spans="2:143"/>
    <row r="479" spans="2:143"/>
    <row r="480" spans="2:143"/>
    <row r="481" spans="141:142"/>
    <row r="482" spans="141:142"/>
    <row r="483" spans="141:142"/>
    <row r="484" spans="141:142">
      <c r="EK484" s="1005"/>
      <c r="EL484" s="1005"/>
    </row>
    <row r="485" spans="141:142">
      <c r="EK485" s="1005"/>
      <c r="EL485" s="1005"/>
    </row>
    <row r="486" spans="141:142">
      <c r="EK486" s="1005"/>
      <c r="EL486" s="1005"/>
    </row>
    <row r="487" spans="141:142">
      <c r="EK487" s="1005"/>
      <c r="EL487" s="1005"/>
    </row>
    <row r="488" spans="141:142">
      <c r="EK488" s="1005"/>
      <c r="EL488" s="1005"/>
    </row>
    <row r="489" spans="141:142">
      <c r="EK489" s="1005"/>
      <c r="EL489" s="1005"/>
    </row>
    <row r="490" spans="141:142">
      <c r="EK490" s="1005"/>
      <c r="EL490" s="1005"/>
    </row>
    <row r="491" spans="141:142">
      <c r="EK491" s="1005"/>
      <c r="EL491" s="1005"/>
    </row>
    <row r="492" spans="141:142">
      <c r="EK492" s="1005"/>
      <c r="EL492" s="1005"/>
    </row>
    <row r="493" spans="141:142">
      <c r="EK493" s="1005"/>
      <c r="EL493" s="1005"/>
    </row>
    <row r="494" spans="141:142">
      <c r="EK494" s="1005"/>
      <c r="EL494" s="1005"/>
    </row>
    <row r="495" spans="141:142">
      <c r="EK495" s="1005"/>
      <c r="EL495" s="1005"/>
    </row>
    <row r="496" spans="141:142">
      <c r="EK496" s="1005"/>
      <c r="EL496" s="1005"/>
    </row>
    <row r="497" spans="141:142">
      <c r="EK497" s="1005"/>
      <c r="EL497" s="1005"/>
    </row>
    <row r="498" spans="141:142">
      <c r="EK498" s="1005"/>
      <c r="EL498" s="1005"/>
    </row>
    <row r="499" spans="141:142">
      <c r="EK499" s="1005"/>
      <c r="EL499" s="1005"/>
    </row>
    <row r="500" spans="141:142">
      <c r="EK500" s="1005"/>
      <c r="EL500" s="1005"/>
    </row>
    <row r="501" spans="141:142">
      <c r="EK501" s="1005"/>
      <c r="EL501" s="1005"/>
    </row>
    <row r="502" spans="141:142"/>
    <row r="503" spans="141:142"/>
    <row r="504" spans="141:142"/>
    <row r="505" spans="141:142"/>
    <row r="506" spans="141:142"/>
    <row r="507" spans="141:142"/>
    <row r="508" spans="141:142"/>
    <row r="509" spans="141:142"/>
    <row r="510" spans="141:142"/>
    <row r="511" spans="141:142"/>
  </sheetData>
  <hyperlinks>
    <hyperlink ref="B471" location="CONTENIDO!A1" display="Ir a &quot;Contenido&quot;"/>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9"/>
  <sheetViews>
    <sheetView showGridLines="0" topLeftCell="N3" workbookViewId="0">
      <selection activeCell="S48" sqref="S48"/>
    </sheetView>
  </sheetViews>
  <sheetFormatPr baseColWidth="10" defaultColWidth="11.42578125" defaultRowHeight="15"/>
  <cols>
    <col min="1" max="1" width="14.85546875" style="1612" bestFit="1" customWidth="1"/>
    <col min="2" max="2" width="24.85546875" style="1612" bestFit="1" customWidth="1"/>
    <col min="3" max="3" width="14.140625" style="1612" bestFit="1" customWidth="1"/>
    <col min="4" max="17" width="16.140625" style="1610" customWidth="1"/>
    <col min="18" max="18" width="15" style="1610" bestFit="1" customWidth="1"/>
    <col min="19" max="19" width="15.7109375" style="1610" customWidth="1"/>
    <col min="20" max="20" width="23.7109375" style="1610" bestFit="1" customWidth="1"/>
    <col min="21" max="21" width="23.140625" style="1610" bestFit="1" customWidth="1"/>
    <col min="22" max="23" width="11.42578125" style="1610"/>
    <col min="24" max="16384" width="11.42578125" style="192"/>
  </cols>
  <sheetData>
    <row r="1" spans="1:23" hidden="1"/>
    <row r="2" spans="1:23" hidden="1"/>
    <row r="3" spans="1:23" s="3033" customFormat="1" ht="23.25">
      <c r="A3" s="1634" t="s">
        <v>982</v>
      </c>
      <c r="B3" s="703"/>
      <c r="C3" s="703"/>
      <c r="D3" s="1609"/>
      <c r="E3" s="1609"/>
      <c r="F3" s="1609"/>
      <c r="G3" s="1609"/>
      <c r="H3" s="1609"/>
      <c r="I3" s="1609"/>
      <c r="J3" s="1609"/>
      <c r="K3" s="1609"/>
      <c r="L3" s="1609"/>
      <c r="M3" s="1609"/>
      <c r="N3" s="1609"/>
      <c r="O3" s="1609"/>
      <c r="P3" s="1609"/>
      <c r="Q3" s="1609"/>
      <c r="R3" s="1609"/>
      <c r="S3" s="1609"/>
      <c r="T3" s="1609"/>
      <c r="U3" s="1609"/>
      <c r="V3" s="1609"/>
      <c r="W3" s="1609"/>
    </row>
    <row r="4" spans="1:23" s="3033" customFormat="1" ht="23.25">
      <c r="A4" s="1634" t="s">
        <v>983</v>
      </c>
      <c r="B4" s="703"/>
      <c r="C4" s="703"/>
      <c r="D4" s="1608"/>
      <c r="E4" s="1608"/>
      <c r="F4" s="1608"/>
      <c r="G4" s="1608"/>
      <c r="H4" s="1608"/>
      <c r="I4" s="1608"/>
      <c r="J4" s="1608"/>
      <c r="K4" s="1608"/>
      <c r="L4" s="1608"/>
      <c r="M4" s="1608"/>
      <c r="N4" s="1608"/>
      <c r="O4" s="1608"/>
      <c r="P4" s="1608"/>
      <c r="Q4" s="1608"/>
      <c r="R4" s="1608"/>
      <c r="S4" s="1609"/>
      <c r="T4" s="1609"/>
      <c r="U4" s="1609"/>
      <c r="V4" s="1609"/>
      <c r="W4" s="1609"/>
    </row>
    <row r="5" spans="1:23">
      <c r="A5" s="3037"/>
      <c r="F5" s="1615"/>
      <c r="I5" s="1615"/>
      <c r="K5" s="1616"/>
      <c r="M5" s="1615"/>
    </row>
    <row r="6" spans="1:23" ht="15.75" thickBot="1">
      <c r="A6" s="3037"/>
      <c r="D6" s="3060">
        <v>0</v>
      </c>
      <c r="E6" s="3060">
        <v>0</v>
      </c>
      <c r="F6" s="3061">
        <v>0</v>
      </c>
      <c r="G6" s="3060">
        <v>0</v>
      </c>
      <c r="H6" s="3060">
        <v>0</v>
      </c>
      <c r="I6" s="3061">
        <v>0</v>
      </c>
      <c r="J6" s="3060">
        <v>1</v>
      </c>
      <c r="K6" s="3062">
        <v>0.13</v>
      </c>
      <c r="L6" s="3062">
        <v>5.5E-2</v>
      </c>
      <c r="M6" s="3061">
        <v>2.3E-2</v>
      </c>
      <c r="N6" s="3060">
        <v>0</v>
      </c>
      <c r="O6" s="3060">
        <v>0</v>
      </c>
      <c r="P6" s="3061">
        <v>0</v>
      </c>
      <c r="Q6" s="3060">
        <v>0</v>
      </c>
      <c r="R6" s="1617"/>
    </row>
    <row r="7" spans="1:23" ht="39" thickBot="1">
      <c r="A7" s="1607" t="s">
        <v>215</v>
      </c>
      <c r="B7" s="1606" t="s">
        <v>581</v>
      </c>
      <c r="C7" s="1607" t="s">
        <v>582</v>
      </c>
      <c r="D7" s="3013" t="s">
        <v>984</v>
      </c>
      <c r="E7" s="3014" t="s">
        <v>985</v>
      </c>
      <c r="F7" s="3014" t="s">
        <v>986</v>
      </c>
      <c r="G7" s="3014" t="s">
        <v>987</v>
      </c>
      <c r="H7" s="3014" t="s">
        <v>988</v>
      </c>
      <c r="I7" s="3014" t="s">
        <v>989</v>
      </c>
      <c r="J7" s="3015" t="s">
        <v>990</v>
      </c>
      <c r="K7" s="3014" t="s">
        <v>991</v>
      </c>
      <c r="L7" s="3014" t="s">
        <v>992</v>
      </c>
      <c r="M7" s="3014" t="s">
        <v>993</v>
      </c>
      <c r="N7" s="3014" t="s">
        <v>994</v>
      </c>
      <c r="O7" s="3014" t="s">
        <v>995</v>
      </c>
      <c r="P7" s="3014" t="s">
        <v>996</v>
      </c>
      <c r="Q7" s="3016" t="s">
        <v>997</v>
      </c>
      <c r="R7" s="1623" t="s">
        <v>998</v>
      </c>
      <c r="S7" s="3058" t="s">
        <v>999</v>
      </c>
      <c r="T7" s="1623" t="s">
        <v>1000</v>
      </c>
    </row>
    <row r="8" spans="1:23">
      <c r="A8" s="1633">
        <v>2007</v>
      </c>
      <c r="B8" s="3036" t="s">
        <v>583</v>
      </c>
      <c r="C8" s="1633" t="s">
        <v>227</v>
      </c>
      <c r="D8" s="1625">
        <v>63304.648598650187</v>
      </c>
      <c r="E8" s="1625">
        <v>24104.53039399672</v>
      </c>
      <c r="F8" s="1625">
        <v>2184152.4698238345</v>
      </c>
      <c r="G8" s="1625">
        <v>42628.00954622835</v>
      </c>
      <c r="H8" s="1625">
        <v>764111.63758787757</v>
      </c>
      <c r="I8" s="1625">
        <v>1084223.4883242128</v>
      </c>
      <c r="J8" s="1626">
        <v>189925.9604709126</v>
      </c>
      <c r="K8" s="1625">
        <v>1108338.1546763675</v>
      </c>
      <c r="L8" s="1625">
        <v>593388.125262646</v>
      </c>
      <c r="M8" s="1625">
        <v>2631549.1472298275</v>
      </c>
      <c r="N8" s="1625">
        <v>648462.94843365275</v>
      </c>
      <c r="O8" s="1625">
        <v>411950.70003383385</v>
      </c>
      <c r="P8" s="1625">
        <v>293417.4850611632</v>
      </c>
      <c r="Q8" s="1627">
        <v>563088.03688356921</v>
      </c>
      <c r="R8" s="1628">
        <v>10602645.342326771</v>
      </c>
      <c r="S8" s="3059">
        <f t="shared" ref="S8:S17" si="0">((D8*$D$6)+(E8*$E$6)+(F8*$F$6)+(G8*$G$6)+(H8*$H$6)+(I8*$I$6)+(J8)+(K8*$K$6)+(L8*$L$6)+(M8*$M$6)+(N8*$N$6)+(O8*$O$6)+(P8*$P$6)+(Q8*$Q$6))/R8</f>
        <v>4.0289181054586544E-2</v>
      </c>
      <c r="T8" s="1628" t="s">
        <v>1001</v>
      </c>
    </row>
    <row r="9" spans="1:23">
      <c r="A9" s="1633">
        <v>2008</v>
      </c>
      <c r="B9" s="3036" t="s">
        <v>583</v>
      </c>
      <c r="C9" s="1633" t="s">
        <v>227</v>
      </c>
      <c r="D9" s="1625">
        <v>105673.87866689188</v>
      </c>
      <c r="E9" s="1625">
        <v>35492.0641490165</v>
      </c>
      <c r="F9" s="1625">
        <v>2668891.7598498138</v>
      </c>
      <c r="G9" s="1625">
        <v>47873.823554933813</v>
      </c>
      <c r="H9" s="1625">
        <v>926010.16842142714</v>
      </c>
      <c r="I9" s="1625">
        <v>1410014.9163597175</v>
      </c>
      <c r="J9" s="1626">
        <v>226939.67722284907</v>
      </c>
      <c r="K9" s="1625">
        <v>1299943.4792724028</v>
      </c>
      <c r="L9" s="1625">
        <v>668756.97370611504</v>
      </c>
      <c r="M9" s="1625">
        <v>2933066.6986841024</v>
      </c>
      <c r="N9" s="1625">
        <v>816506.9814007642</v>
      </c>
      <c r="O9" s="1625">
        <v>527273.75162840798</v>
      </c>
      <c r="P9" s="1625">
        <v>344614.02768483607</v>
      </c>
      <c r="Q9" s="1627">
        <v>704171.03899376863</v>
      </c>
      <c r="R9" s="1628">
        <v>12715229.239595046</v>
      </c>
      <c r="S9" s="3059">
        <f t="shared" si="0"/>
        <v>3.9336648024739948E-2</v>
      </c>
      <c r="T9" s="1628" t="s">
        <v>1001</v>
      </c>
    </row>
    <row r="10" spans="1:23">
      <c r="A10" s="1633">
        <v>2009</v>
      </c>
      <c r="B10" s="3036" t="s">
        <v>583</v>
      </c>
      <c r="C10" s="1633" t="s">
        <v>227</v>
      </c>
      <c r="D10" s="1629">
        <v>93700.083159183298</v>
      </c>
      <c r="E10" s="1625">
        <v>41194.213065190488</v>
      </c>
      <c r="F10" s="1625">
        <v>2690342.6684163334</v>
      </c>
      <c r="G10" s="1625">
        <v>45408.928936460754</v>
      </c>
      <c r="H10" s="1625">
        <v>1060621.1667419525</v>
      </c>
      <c r="I10" s="1625">
        <v>1313710.523455644</v>
      </c>
      <c r="J10" s="1626">
        <v>263723.70149069594</v>
      </c>
      <c r="K10" s="1625">
        <v>1250578.1900201831</v>
      </c>
      <c r="L10" s="1625">
        <v>764937.99243963312</v>
      </c>
      <c r="M10" s="1625">
        <v>2994965.2157189008</v>
      </c>
      <c r="N10" s="1625">
        <v>916380.6845303158</v>
      </c>
      <c r="O10" s="1625">
        <v>541481.49464957684</v>
      </c>
      <c r="P10" s="1625">
        <v>332993.60277584253</v>
      </c>
      <c r="Q10" s="1627">
        <v>627736.78216992517</v>
      </c>
      <c r="R10" s="1628">
        <v>12937775.247569835</v>
      </c>
      <c r="S10" s="3059">
        <f t="shared" si="0"/>
        <v>4.1526046438312446E-2</v>
      </c>
      <c r="T10" s="1628" t="s">
        <v>1001</v>
      </c>
    </row>
    <row r="11" spans="1:23">
      <c r="A11" s="1633">
        <v>2010</v>
      </c>
      <c r="B11" s="3036" t="s">
        <v>583</v>
      </c>
      <c r="C11" s="1633" t="s">
        <v>227</v>
      </c>
      <c r="D11" s="1629">
        <v>115305.68854279626</v>
      </c>
      <c r="E11" s="1625">
        <v>35147.049442968659</v>
      </c>
      <c r="F11" s="1625">
        <v>2981674.1529837204</v>
      </c>
      <c r="G11" s="1625">
        <v>129136.61519497237</v>
      </c>
      <c r="H11" s="1625">
        <v>1291718.7887568611</v>
      </c>
      <c r="I11" s="1625">
        <v>1375057.505375976</v>
      </c>
      <c r="J11" s="1626">
        <v>296427.69033150922</v>
      </c>
      <c r="K11" s="1625">
        <v>1391185.4237446371</v>
      </c>
      <c r="L11" s="1625">
        <v>846555.19517326402</v>
      </c>
      <c r="M11" s="1625">
        <v>3525811.1575769889</v>
      </c>
      <c r="N11" s="1625">
        <v>1195135.0194112053</v>
      </c>
      <c r="O11" s="1625">
        <v>557066.94952930999</v>
      </c>
      <c r="P11" s="1625">
        <v>394725.82433861046</v>
      </c>
      <c r="Q11" s="1627">
        <v>568473.524202795</v>
      </c>
      <c r="R11" s="1628">
        <v>14703420.584605612</v>
      </c>
      <c r="S11" s="3059">
        <f t="shared" si="0"/>
        <v>4.1142534439263502E-2</v>
      </c>
      <c r="T11" s="1628" t="s">
        <v>1001</v>
      </c>
    </row>
    <row r="12" spans="1:23">
      <c r="A12" s="1633">
        <v>2011</v>
      </c>
      <c r="B12" s="3036" t="s">
        <v>583</v>
      </c>
      <c r="C12" s="1633" t="s">
        <v>227</v>
      </c>
      <c r="D12" s="1629">
        <v>146976.02810252312</v>
      </c>
      <c r="E12" s="1625">
        <v>53608.386727943507</v>
      </c>
      <c r="F12" s="1625">
        <v>3293923.8514540093</v>
      </c>
      <c r="G12" s="1625">
        <v>161385.46901657694</v>
      </c>
      <c r="H12" s="1625">
        <v>1876498.3087501854</v>
      </c>
      <c r="I12" s="1625">
        <v>1709709.4791067545</v>
      </c>
      <c r="J12" s="1626">
        <v>337341.43208725739</v>
      </c>
      <c r="K12" s="1625">
        <v>1273153.659912677</v>
      </c>
      <c r="L12" s="1625">
        <v>968769.74085154769</v>
      </c>
      <c r="M12" s="1625">
        <v>3733726.4632581929</v>
      </c>
      <c r="N12" s="1625">
        <v>1276257.6261392736</v>
      </c>
      <c r="O12" s="1625">
        <v>544440.27698331594</v>
      </c>
      <c r="P12" s="1625">
        <v>416939.56359771074</v>
      </c>
      <c r="Q12" s="1627">
        <v>718793.86953845387</v>
      </c>
      <c r="R12" s="1628">
        <v>16511524.155526428</v>
      </c>
      <c r="S12" s="3059">
        <f t="shared" si="0"/>
        <v>3.8882506922463464E-2</v>
      </c>
      <c r="T12" s="1628" t="s">
        <v>1001</v>
      </c>
    </row>
    <row r="13" spans="1:23">
      <c r="A13" s="1633">
        <v>2012</v>
      </c>
      <c r="B13" s="3036" t="s">
        <v>583</v>
      </c>
      <c r="C13" s="1633" t="s">
        <v>227</v>
      </c>
      <c r="D13" s="1629">
        <v>162234.12885982631</v>
      </c>
      <c r="E13" s="1625">
        <v>45592.825352620363</v>
      </c>
      <c r="F13" s="1625">
        <v>3455632.8913340177</v>
      </c>
      <c r="G13" s="1625">
        <v>207094.59527694288</v>
      </c>
      <c r="H13" s="1625">
        <v>2173212.3191676028</v>
      </c>
      <c r="I13" s="1625">
        <v>1673389.9081846306</v>
      </c>
      <c r="J13" s="1626">
        <v>421801.52447812504</v>
      </c>
      <c r="K13" s="1625">
        <v>1411272.8213112408</v>
      </c>
      <c r="L13" s="1625">
        <v>1203331.1933460147</v>
      </c>
      <c r="M13" s="1625">
        <v>4361714.2838389631</v>
      </c>
      <c r="N13" s="1625">
        <v>1865435.7054172438</v>
      </c>
      <c r="O13" s="1625">
        <v>617570.53137664089</v>
      </c>
      <c r="P13" s="1625">
        <v>483902.4057217355</v>
      </c>
      <c r="Q13" s="1627">
        <v>754931.54648980382</v>
      </c>
      <c r="R13" s="1628">
        <v>18837116.680155415</v>
      </c>
      <c r="S13" s="3059">
        <f t="shared" si="0"/>
        <v>4.0970688270140602E-2</v>
      </c>
      <c r="T13" s="1628" t="s">
        <v>1001</v>
      </c>
    </row>
    <row r="14" spans="1:23">
      <c r="A14" s="1633">
        <v>2013</v>
      </c>
      <c r="B14" s="3036" t="s">
        <v>583</v>
      </c>
      <c r="C14" s="1633" t="s">
        <v>227</v>
      </c>
      <c r="D14" s="1629">
        <v>182083.28260201751</v>
      </c>
      <c r="E14" s="1625">
        <v>63056.975053988615</v>
      </c>
      <c r="F14" s="1625">
        <v>3745899.3567081084</v>
      </c>
      <c r="G14" s="1625">
        <v>194605.91910922417</v>
      </c>
      <c r="H14" s="1625">
        <v>2445471.9317070809</v>
      </c>
      <c r="I14" s="1625">
        <v>1962850.2834356935</v>
      </c>
      <c r="J14" s="1626">
        <v>483549.37214129994</v>
      </c>
      <c r="K14" s="1625">
        <v>1560468.8603990532</v>
      </c>
      <c r="L14" s="1625">
        <v>1114414.324532182</v>
      </c>
      <c r="M14" s="1625">
        <v>4623751.4739644704</v>
      </c>
      <c r="N14" s="1625">
        <v>2478290.0830926048</v>
      </c>
      <c r="O14" s="1625">
        <v>662369.858096121</v>
      </c>
      <c r="P14" s="1625">
        <v>577185.21222364204</v>
      </c>
      <c r="Q14" s="1627">
        <v>846262.77272465639</v>
      </c>
      <c r="R14" s="1628">
        <v>20940259.705790155</v>
      </c>
      <c r="S14" s="3059">
        <f t="shared" si="0"/>
        <v>4.0785043153379712E-2</v>
      </c>
      <c r="T14" s="1628" t="s">
        <v>1001</v>
      </c>
    </row>
    <row r="15" spans="1:23">
      <c r="A15" s="1633">
        <v>2014</v>
      </c>
      <c r="B15" s="3036" t="s">
        <v>583</v>
      </c>
      <c r="C15" s="1633" t="s">
        <v>227</v>
      </c>
      <c r="D15" s="1629">
        <v>201701.86067606922</v>
      </c>
      <c r="E15" s="1625">
        <v>75122.85831143496</v>
      </c>
      <c r="F15" s="1625">
        <v>4206064.3091817461</v>
      </c>
      <c r="G15" s="1625">
        <v>256898.13690860878</v>
      </c>
      <c r="H15" s="1625">
        <v>2761543.2756389752</v>
      </c>
      <c r="I15" s="1625">
        <v>2026124.6257945842</v>
      </c>
      <c r="J15" s="1626">
        <v>535769.95107360627</v>
      </c>
      <c r="K15" s="1625">
        <v>1723141.2900961041</v>
      </c>
      <c r="L15" s="1625">
        <v>1299206.5542834455</v>
      </c>
      <c r="M15" s="1625">
        <v>5144752.7022950761</v>
      </c>
      <c r="N15" s="1625">
        <v>2528139.2211955735</v>
      </c>
      <c r="O15" s="1625">
        <v>697290.1488463392</v>
      </c>
      <c r="P15" s="1625">
        <v>608290.24872891046</v>
      </c>
      <c r="Q15" s="1627">
        <v>933273.97287819465</v>
      </c>
      <c r="R15" s="1628">
        <v>22997319.155908685</v>
      </c>
      <c r="S15" s="3059">
        <f t="shared" si="0"/>
        <v>4.1290203653172555E-2</v>
      </c>
      <c r="T15" s="1628" t="s">
        <v>1001</v>
      </c>
    </row>
    <row r="16" spans="1:23">
      <c r="A16" s="1633">
        <v>2015</v>
      </c>
      <c r="B16" s="3036" t="s">
        <v>583</v>
      </c>
      <c r="C16" s="1633" t="s">
        <v>227</v>
      </c>
      <c r="D16" s="1630">
        <v>322923.65799778036</v>
      </c>
      <c r="E16" s="1631">
        <v>73890.363824791493</v>
      </c>
      <c r="F16" s="1631">
        <v>4349039.1971345376</v>
      </c>
      <c r="G16" s="1631">
        <v>317157.82712235767</v>
      </c>
      <c r="H16" s="1631">
        <v>2427018.9998156535</v>
      </c>
      <c r="I16" s="1631">
        <v>1865957.0935885832</v>
      </c>
      <c r="J16" s="1631">
        <v>552811.99787082756</v>
      </c>
      <c r="K16" s="1631">
        <v>1595006.4392276648</v>
      </c>
      <c r="L16" s="1631">
        <v>1294102.8548831502</v>
      </c>
      <c r="M16" s="1631">
        <v>4799443.2048693374</v>
      </c>
      <c r="N16" s="1631">
        <v>3405247.7100365749</v>
      </c>
      <c r="O16" s="1631">
        <v>782431.16900367581</v>
      </c>
      <c r="P16" s="1631">
        <v>690671.08777526126</v>
      </c>
      <c r="Q16" s="1632">
        <v>756700.42807353497</v>
      </c>
      <c r="R16" s="1628">
        <v>23232402.031223733</v>
      </c>
      <c r="S16" s="3059">
        <f t="shared" si="0"/>
        <v>4.0535011594381741E-2</v>
      </c>
      <c r="T16" s="1628" t="s">
        <v>1001</v>
      </c>
    </row>
    <row r="17" spans="1:24">
      <c r="A17" s="1633">
        <v>2016</v>
      </c>
      <c r="B17" s="1633" t="s">
        <v>583</v>
      </c>
      <c r="C17" s="1633" t="s">
        <v>227</v>
      </c>
      <c r="D17" s="1630">
        <v>375542.99614872306</v>
      </c>
      <c r="E17" s="1631">
        <v>95242.390090242974</v>
      </c>
      <c r="F17" s="1631">
        <v>4290389.2548484309</v>
      </c>
      <c r="G17" s="1631">
        <v>332798.41485854448</v>
      </c>
      <c r="H17" s="1631">
        <v>2745505.1569721168</v>
      </c>
      <c r="I17" s="1631">
        <v>1641091.2412359775</v>
      </c>
      <c r="J17" s="1631">
        <v>551461.33182469895</v>
      </c>
      <c r="K17" s="1631">
        <v>1642844.2191815914</v>
      </c>
      <c r="L17" s="1631">
        <v>1316902.2364554824</v>
      </c>
      <c r="M17" s="1631">
        <v>4418107.1254909914</v>
      </c>
      <c r="N17" s="1631">
        <v>3523725.9993655756</v>
      </c>
      <c r="O17" s="1631">
        <v>809724.4944579791</v>
      </c>
      <c r="P17" s="1631">
        <v>688969.36468537385</v>
      </c>
      <c r="Q17" s="1632">
        <v>796382.97197872889</v>
      </c>
      <c r="R17" s="1628">
        <v>23228687.19759446</v>
      </c>
      <c r="S17" s="3059">
        <f t="shared" si="0"/>
        <v>4.0427474838392936E-2</v>
      </c>
      <c r="T17" s="1628" t="s">
        <v>1002</v>
      </c>
      <c r="U17" s="1618"/>
    </row>
    <row r="18" spans="1:24" s="3034" customFormat="1">
      <c r="A18" s="2766">
        <v>2017</v>
      </c>
      <c r="B18" s="2766" t="s">
        <v>583</v>
      </c>
      <c r="C18" s="2766" t="s">
        <v>227</v>
      </c>
      <c r="D18" s="2767">
        <v>423957.66239965986</v>
      </c>
      <c r="E18" s="2768">
        <v>123263.70164313466</v>
      </c>
      <c r="F18" s="2768">
        <v>4338616.7594407769</v>
      </c>
      <c r="G18" s="2768">
        <v>352413.33568882546</v>
      </c>
      <c r="H18" s="2768">
        <v>2623429.2539050714</v>
      </c>
      <c r="I18" s="2768">
        <v>1553705.3348553979</v>
      </c>
      <c r="J18" s="2768">
        <v>586293.03526271228</v>
      </c>
      <c r="K18" s="2768">
        <v>1671136.9249244421</v>
      </c>
      <c r="L18" s="2768">
        <v>1516891.7767089892</v>
      </c>
      <c r="M18" s="2768">
        <v>4884860.7396037336</v>
      </c>
      <c r="N18" s="2768">
        <v>3897779.6952470392</v>
      </c>
      <c r="O18" s="2768">
        <v>889860.99662378093</v>
      </c>
      <c r="P18" s="2768">
        <v>765322.25560926087</v>
      </c>
      <c r="Q18" s="2769">
        <v>799066.42790453043</v>
      </c>
      <c r="R18" s="2770">
        <f>SUM(D18:Q18)</f>
        <v>24426597.899817355</v>
      </c>
      <c r="S18" s="3057">
        <f>(((D18*$D$6)+(E18*$E$6)+(F18*$F$6)+(G18*$G$6)+(H18*$H$6)+(I18*$I$6)+(J18)+(K18*$K$6)+(L18*$L$6)+(M18*$M$6)+(N18*$N$6)+(O18*$O$6)+(P18*$P$6)+(Q18*$Q$6))/R18)-0.0005</f>
        <v>4.0411210162436997E-2</v>
      </c>
      <c r="T18" s="2770" t="s">
        <v>1395</v>
      </c>
      <c r="U18" s="3961" t="s">
        <v>1392</v>
      </c>
      <c r="V18" s="3961"/>
      <c r="W18" s="3961"/>
    </row>
    <row r="19" spans="1:24">
      <c r="A19" s="2759">
        <v>2018</v>
      </c>
      <c r="B19" s="2759" t="s">
        <v>583</v>
      </c>
      <c r="C19" s="2759" t="s">
        <v>227</v>
      </c>
      <c r="D19" s="2761">
        <v>423957.66239965986</v>
      </c>
      <c r="E19" s="2762">
        <v>123263.70164313466</v>
      </c>
      <c r="F19" s="2762">
        <v>4338616.7594407769</v>
      </c>
      <c r="G19" s="2762">
        <v>352413.33568882546</v>
      </c>
      <c r="H19" s="2762">
        <v>2623429.2539050714</v>
      </c>
      <c r="I19" s="2762">
        <v>1553705.3348553979</v>
      </c>
      <c r="J19" s="2762">
        <v>586293.03526271228</v>
      </c>
      <c r="K19" s="2762">
        <v>1671136.9249244421</v>
      </c>
      <c r="L19" s="2762">
        <v>1516891.7767089892</v>
      </c>
      <c r="M19" s="2762">
        <v>4884860.7396037336</v>
      </c>
      <c r="N19" s="2762">
        <v>3897779.6952470392</v>
      </c>
      <c r="O19" s="2762">
        <v>889860.99662378093</v>
      </c>
      <c r="P19" s="2762">
        <v>765322.25560926087</v>
      </c>
      <c r="Q19" s="2763">
        <v>799066.42790453043</v>
      </c>
      <c r="R19" s="2774">
        <f t="shared" ref="R19:R20" si="1">SUM(D19:Q19)</f>
        <v>24426597.899817355</v>
      </c>
      <c r="S19" s="2764">
        <f t="shared" ref="S19:S20" si="2">((D19*$D$6)+(E19*$E$6)+(F19*$F$6)+(G19*$G$6)+(H19*$H$6)+(I19*$I$6)+(J19)+(K19*$K$6)+(L19*$L$6)+(M19*$M$6)+(N19*$N$6)+(O19*$O$6)+(P19*$P$6)+(Q19*$Q$6))/R19</f>
        <v>4.0911210162436998E-2</v>
      </c>
      <c r="T19" s="2774" t="s">
        <v>1006</v>
      </c>
      <c r="U19" s="2765"/>
      <c r="V19" s="2765"/>
      <c r="W19" s="2765"/>
    </row>
    <row r="20" spans="1:24">
      <c r="A20" s="2759">
        <v>2019</v>
      </c>
      <c r="B20" s="2759" t="s">
        <v>583</v>
      </c>
      <c r="C20" s="2759" t="s">
        <v>227</v>
      </c>
      <c r="D20" s="2761">
        <v>423957.66239965986</v>
      </c>
      <c r="E20" s="2762">
        <v>123263.70164313466</v>
      </c>
      <c r="F20" s="2762">
        <v>4338616.7594407769</v>
      </c>
      <c r="G20" s="2762">
        <v>352413.33568882546</v>
      </c>
      <c r="H20" s="2762">
        <v>2623429.2539050714</v>
      </c>
      <c r="I20" s="2762">
        <v>1553705.3348553979</v>
      </c>
      <c r="J20" s="2762">
        <v>586293.03526271228</v>
      </c>
      <c r="K20" s="2762">
        <v>1671136.9249244421</v>
      </c>
      <c r="L20" s="2762">
        <v>1516891.7767089892</v>
      </c>
      <c r="M20" s="2762">
        <v>4884860.7396037336</v>
      </c>
      <c r="N20" s="2762">
        <v>3897779.6952470392</v>
      </c>
      <c r="O20" s="2762">
        <v>889860.99662378093</v>
      </c>
      <c r="P20" s="2762">
        <v>765322.25560926087</v>
      </c>
      <c r="Q20" s="2763">
        <v>799066.42790453043</v>
      </c>
      <c r="R20" s="2774">
        <f t="shared" si="1"/>
        <v>24426597.899817355</v>
      </c>
      <c r="S20" s="2764">
        <f t="shared" si="2"/>
        <v>4.0911210162436998E-2</v>
      </c>
      <c r="T20" s="2774" t="s">
        <v>1006</v>
      </c>
      <c r="U20" s="2765"/>
      <c r="V20" s="2765"/>
      <c r="W20" s="2765"/>
    </row>
    <row r="22" spans="1:24" s="3035" customFormat="1" ht="11.25">
      <c r="A22" s="3010"/>
      <c r="B22" s="3010"/>
      <c r="C22" s="3010" t="s">
        <v>742</v>
      </c>
      <c r="D22" s="3012">
        <f t="shared" ref="D22:P22" si="3">+D18/$R$18</f>
        <v>1.7356394211689625E-2</v>
      </c>
      <c r="E22" s="3012">
        <f t="shared" si="3"/>
        <v>5.0462902017172169E-3</v>
      </c>
      <c r="F22" s="3012">
        <f t="shared" si="3"/>
        <v>0.17761854422933035</v>
      </c>
      <c r="G22" s="3012">
        <f t="shared" si="3"/>
        <v>1.4427442459822068E-2</v>
      </c>
      <c r="H22" s="3012">
        <f t="shared" si="3"/>
        <v>0.10740051744679056</v>
      </c>
      <c r="I22" s="3012">
        <f t="shared" si="3"/>
        <v>6.3607111445798822E-2</v>
      </c>
      <c r="J22" s="3012">
        <f t="shared" si="3"/>
        <v>2.4002238775425053E-2</v>
      </c>
      <c r="K22" s="3012">
        <f t="shared" si="3"/>
        <v>6.8414640949116284E-2</v>
      </c>
      <c r="L22" s="3012">
        <f t="shared" si="3"/>
        <v>6.2100001929467692E-2</v>
      </c>
      <c r="M22" s="3012">
        <f t="shared" si="3"/>
        <v>0.19998121554374379</v>
      </c>
      <c r="N22" s="3012">
        <f t="shared" si="3"/>
        <v>0.15957112452717717</v>
      </c>
      <c r="O22" s="3012">
        <f t="shared" si="3"/>
        <v>3.6430001438326975E-2</v>
      </c>
      <c r="P22" s="3012">
        <f t="shared" si="3"/>
        <v>3.1331512425436185E-2</v>
      </c>
      <c r="Q22" s="3012">
        <f>+Q18/$R$18</f>
        <v>3.271296441615823E-2</v>
      </c>
      <c r="R22" s="3011"/>
      <c r="S22" s="3011"/>
      <c r="T22" s="3011"/>
      <c r="U22" s="3011"/>
      <c r="V22" s="3011"/>
      <c r="W22" s="3011"/>
    </row>
    <row r="25" spans="1:24" ht="15.75" thickBot="1">
      <c r="A25" s="2773"/>
      <c r="D25" s="3962" t="s">
        <v>1387</v>
      </c>
      <c r="E25" s="3962"/>
      <c r="F25" s="3962"/>
      <c r="G25" s="3962"/>
      <c r="H25" s="3962"/>
      <c r="I25" s="3962"/>
      <c r="J25" s="3962"/>
      <c r="K25" s="3962"/>
      <c r="L25" s="3962"/>
      <c r="M25" s="3962"/>
      <c r="N25" s="3962"/>
      <c r="O25" s="3962"/>
      <c r="P25" s="3962"/>
      <c r="Q25" s="3962"/>
      <c r="S25" s="1615"/>
    </row>
    <row r="26" spans="1:24" ht="30.75" thickBot="1">
      <c r="A26" s="3050" t="str">
        <f t="shared" ref="A26:C26" si="4">A7</f>
        <v>AÑO</v>
      </c>
      <c r="B26" s="3051" t="str">
        <f t="shared" si="4"/>
        <v>PROVINCIA</v>
      </c>
      <c r="C26" s="3051" t="str">
        <f t="shared" si="4"/>
        <v>CANTÓN</v>
      </c>
      <c r="D26" s="3052">
        <f t="shared" ref="D26:I26" si="5">D6</f>
        <v>0</v>
      </c>
      <c r="E26" s="3052">
        <f t="shared" si="5"/>
        <v>0</v>
      </c>
      <c r="F26" s="3052">
        <f t="shared" si="5"/>
        <v>0</v>
      </c>
      <c r="G26" s="3052">
        <f t="shared" si="5"/>
        <v>0</v>
      </c>
      <c r="H26" s="3052">
        <f t="shared" si="5"/>
        <v>0</v>
      </c>
      <c r="I26" s="3052">
        <f t="shared" si="5"/>
        <v>0</v>
      </c>
      <c r="J26" s="3048">
        <f>J6</f>
        <v>1</v>
      </c>
      <c r="K26" s="3048">
        <f t="shared" ref="K26:Q26" si="6">K6</f>
        <v>0.13</v>
      </c>
      <c r="L26" s="3048">
        <f t="shared" si="6"/>
        <v>5.5E-2</v>
      </c>
      <c r="M26" s="3048">
        <f t="shared" si="6"/>
        <v>2.3E-2</v>
      </c>
      <c r="N26" s="3052">
        <f t="shared" si="6"/>
        <v>0</v>
      </c>
      <c r="O26" s="3052">
        <f t="shared" si="6"/>
        <v>0</v>
      </c>
      <c r="P26" s="3052">
        <f t="shared" si="6"/>
        <v>0</v>
      </c>
      <c r="Q26" s="3053">
        <f t="shared" si="6"/>
        <v>0</v>
      </c>
      <c r="R26" s="3049" t="s">
        <v>215</v>
      </c>
      <c r="S26" s="1607" t="s">
        <v>1003</v>
      </c>
      <c r="T26" s="1607" t="s">
        <v>1004</v>
      </c>
      <c r="U26" s="3039" t="s">
        <v>1005</v>
      </c>
      <c r="V26" s="1618"/>
      <c r="W26" s="1618"/>
      <c r="X26" s="1618"/>
    </row>
    <row r="27" spans="1:24">
      <c r="A27" s="3038">
        <f t="shared" ref="A27:C27" si="7">A8</f>
        <v>2007</v>
      </c>
      <c r="B27" s="3038" t="str">
        <f t="shared" si="7"/>
        <v>PICHINCHA</v>
      </c>
      <c r="C27" s="3038" t="str">
        <f t="shared" si="7"/>
        <v>Quito</v>
      </c>
      <c r="D27" s="3040">
        <f t="shared" ref="D27:I27" si="8">+D8*D$6</f>
        <v>0</v>
      </c>
      <c r="E27" s="3040">
        <f t="shared" si="8"/>
        <v>0</v>
      </c>
      <c r="F27" s="3040">
        <f t="shared" si="8"/>
        <v>0</v>
      </c>
      <c r="G27" s="3040">
        <f t="shared" si="8"/>
        <v>0</v>
      </c>
      <c r="H27" s="3040">
        <f t="shared" si="8"/>
        <v>0</v>
      </c>
      <c r="I27" s="3040">
        <f t="shared" si="8"/>
        <v>0</v>
      </c>
      <c r="J27" s="3040">
        <f t="shared" ref="J27:M39" si="9">+J8*J$6</f>
        <v>189925.9604709126</v>
      </c>
      <c r="K27" s="3040">
        <f t="shared" si="9"/>
        <v>144083.96010792779</v>
      </c>
      <c r="L27" s="3040">
        <f t="shared" si="9"/>
        <v>32636.346889445529</v>
      </c>
      <c r="M27" s="3040">
        <f t="shared" si="9"/>
        <v>60525.63038628603</v>
      </c>
      <c r="N27" s="3040">
        <f t="shared" ref="N27:P27" si="10">+N8*N$6</f>
        <v>0</v>
      </c>
      <c r="O27" s="3040">
        <f t="shared" si="10"/>
        <v>0</v>
      </c>
      <c r="P27" s="3040">
        <f t="shared" si="10"/>
        <v>0</v>
      </c>
      <c r="Q27" s="3040">
        <f t="shared" ref="Q27" si="11">+Q8*Q$6</f>
        <v>0</v>
      </c>
      <c r="R27" s="2772">
        <v>2007</v>
      </c>
      <c r="S27" s="3041">
        <f t="shared" ref="S27:S39" si="12">SUM(J27:M27)</f>
        <v>427171.89785457199</v>
      </c>
      <c r="T27" s="3042">
        <f t="shared" ref="T27:T37" si="13">R8</f>
        <v>10602645.342326771</v>
      </c>
      <c r="U27" s="3043">
        <f>+S27/T27</f>
        <v>4.0289181054586544E-2</v>
      </c>
      <c r="V27" s="1618"/>
      <c r="W27" s="1618"/>
      <c r="X27" s="1618"/>
    </row>
    <row r="28" spans="1:24">
      <c r="A28" s="3038">
        <f t="shared" ref="A28:C28" si="14">A9</f>
        <v>2008</v>
      </c>
      <c r="B28" s="3038" t="str">
        <f t="shared" si="14"/>
        <v>PICHINCHA</v>
      </c>
      <c r="C28" s="3038" t="str">
        <f t="shared" si="14"/>
        <v>Quito</v>
      </c>
      <c r="D28" s="3040">
        <f t="shared" ref="D28:I28" si="15">+D9*D$6</f>
        <v>0</v>
      </c>
      <c r="E28" s="3040">
        <f t="shared" si="15"/>
        <v>0</v>
      </c>
      <c r="F28" s="3040">
        <f t="shared" si="15"/>
        <v>0</v>
      </c>
      <c r="G28" s="3040">
        <f t="shared" si="15"/>
        <v>0</v>
      </c>
      <c r="H28" s="3040">
        <f t="shared" si="15"/>
        <v>0</v>
      </c>
      <c r="I28" s="3040">
        <f t="shared" si="15"/>
        <v>0</v>
      </c>
      <c r="J28" s="3040">
        <f t="shared" si="9"/>
        <v>226939.67722284907</v>
      </c>
      <c r="K28" s="3040">
        <f t="shared" si="9"/>
        <v>168992.65230541237</v>
      </c>
      <c r="L28" s="3040">
        <f t="shared" si="9"/>
        <v>36781.633553836327</v>
      </c>
      <c r="M28" s="3040">
        <f t="shared" si="9"/>
        <v>67460.534069734349</v>
      </c>
      <c r="N28" s="3040">
        <f t="shared" ref="N28:P28" si="16">+N9*N$6</f>
        <v>0</v>
      </c>
      <c r="O28" s="3040">
        <f t="shared" si="16"/>
        <v>0</v>
      </c>
      <c r="P28" s="3040">
        <f t="shared" si="16"/>
        <v>0</v>
      </c>
      <c r="Q28" s="3040">
        <f t="shared" ref="Q28" si="17">+Q9*Q$6</f>
        <v>0</v>
      </c>
      <c r="R28" s="1605">
        <v>2008</v>
      </c>
      <c r="S28" s="3044">
        <f t="shared" si="12"/>
        <v>500174.4971518321</v>
      </c>
      <c r="T28" s="3045">
        <f t="shared" si="13"/>
        <v>12715229.239595046</v>
      </c>
      <c r="U28" s="3046">
        <f t="shared" ref="U28:U34" si="18">+S28/T28</f>
        <v>3.9336648024739948E-2</v>
      </c>
      <c r="V28" s="1618"/>
      <c r="W28" s="1618"/>
      <c r="X28" s="1618"/>
    </row>
    <row r="29" spans="1:24">
      <c r="A29" s="3038">
        <f t="shared" ref="A29:C29" si="19">A10</f>
        <v>2009</v>
      </c>
      <c r="B29" s="3038" t="str">
        <f t="shared" si="19"/>
        <v>PICHINCHA</v>
      </c>
      <c r="C29" s="3038" t="str">
        <f t="shared" si="19"/>
        <v>Quito</v>
      </c>
      <c r="D29" s="3040">
        <f t="shared" ref="D29:I29" si="20">+D10*D$6</f>
        <v>0</v>
      </c>
      <c r="E29" s="3040">
        <f t="shared" si="20"/>
        <v>0</v>
      </c>
      <c r="F29" s="3040">
        <f t="shared" si="20"/>
        <v>0</v>
      </c>
      <c r="G29" s="3040">
        <f t="shared" si="20"/>
        <v>0</v>
      </c>
      <c r="H29" s="3040">
        <f t="shared" si="20"/>
        <v>0</v>
      </c>
      <c r="I29" s="3040">
        <f t="shared" si="20"/>
        <v>0</v>
      </c>
      <c r="J29" s="3040">
        <f t="shared" si="9"/>
        <v>263723.70149069594</v>
      </c>
      <c r="K29" s="3040">
        <f t="shared" si="9"/>
        <v>162575.16470262382</v>
      </c>
      <c r="L29" s="3040">
        <f t="shared" si="9"/>
        <v>42071.589584179819</v>
      </c>
      <c r="M29" s="3040">
        <f t="shared" si="9"/>
        <v>68884.199961534716</v>
      </c>
      <c r="N29" s="3040">
        <f t="shared" ref="N29:P29" si="21">+N10*N$6</f>
        <v>0</v>
      </c>
      <c r="O29" s="3040">
        <f t="shared" si="21"/>
        <v>0</v>
      </c>
      <c r="P29" s="3040">
        <f t="shared" si="21"/>
        <v>0</v>
      </c>
      <c r="Q29" s="3040">
        <f t="shared" ref="Q29" si="22">+Q10*Q$6</f>
        <v>0</v>
      </c>
      <c r="R29" s="1605">
        <v>2009</v>
      </c>
      <c r="S29" s="3044">
        <f t="shared" si="12"/>
        <v>537254.65573903429</v>
      </c>
      <c r="T29" s="3045">
        <f t="shared" si="13"/>
        <v>12937775.247569835</v>
      </c>
      <c r="U29" s="3046">
        <f t="shared" si="18"/>
        <v>4.1526046438312446E-2</v>
      </c>
      <c r="V29" s="1618"/>
      <c r="W29" s="1618"/>
      <c r="X29" s="1618"/>
    </row>
    <row r="30" spans="1:24">
      <c r="A30" s="3038">
        <f t="shared" ref="A30:C30" si="23">A11</f>
        <v>2010</v>
      </c>
      <c r="B30" s="3038" t="str">
        <f t="shared" si="23"/>
        <v>PICHINCHA</v>
      </c>
      <c r="C30" s="3038" t="str">
        <f t="shared" si="23"/>
        <v>Quito</v>
      </c>
      <c r="D30" s="3040">
        <f t="shared" ref="D30:I30" si="24">+D11*D$6</f>
        <v>0</v>
      </c>
      <c r="E30" s="3040">
        <f t="shared" si="24"/>
        <v>0</v>
      </c>
      <c r="F30" s="3040">
        <f t="shared" si="24"/>
        <v>0</v>
      </c>
      <c r="G30" s="3040">
        <f t="shared" si="24"/>
        <v>0</v>
      </c>
      <c r="H30" s="3040">
        <f t="shared" si="24"/>
        <v>0</v>
      </c>
      <c r="I30" s="3040">
        <f t="shared" si="24"/>
        <v>0</v>
      </c>
      <c r="J30" s="3040">
        <f t="shared" si="9"/>
        <v>296427.69033150922</v>
      </c>
      <c r="K30" s="3040">
        <f t="shared" si="9"/>
        <v>180854.10508680283</v>
      </c>
      <c r="L30" s="3040">
        <f t="shared" si="9"/>
        <v>46560.53573452952</v>
      </c>
      <c r="M30" s="3040">
        <f t="shared" si="9"/>
        <v>81093.656624270749</v>
      </c>
      <c r="N30" s="3040">
        <f t="shared" ref="N30:P30" si="25">+N11*N$6</f>
        <v>0</v>
      </c>
      <c r="O30" s="3040">
        <f t="shared" si="25"/>
        <v>0</v>
      </c>
      <c r="P30" s="3040">
        <f t="shared" si="25"/>
        <v>0</v>
      </c>
      <c r="Q30" s="3040">
        <f t="shared" ref="Q30" si="26">+Q11*Q$6</f>
        <v>0</v>
      </c>
      <c r="R30" s="1605">
        <v>2010</v>
      </c>
      <c r="S30" s="3044">
        <f t="shared" si="12"/>
        <v>604935.98777711228</v>
      </c>
      <c r="T30" s="3045">
        <f t="shared" si="13"/>
        <v>14703420.584605612</v>
      </c>
      <c r="U30" s="3046">
        <f t="shared" si="18"/>
        <v>4.1142534439263502E-2</v>
      </c>
      <c r="V30" s="1618"/>
      <c r="W30" s="1618"/>
      <c r="X30" s="1618"/>
    </row>
    <row r="31" spans="1:24">
      <c r="A31" s="3038">
        <f t="shared" ref="A31:C31" si="27">A12</f>
        <v>2011</v>
      </c>
      <c r="B31" s="3038" t="str">
        <f t="shared" si="27"/>
        <v>PICHINCHA</v>
      </c>
      <c r="C31" s="3038" t="str">
        <f t="shared" si="27"/>
        <v>Quito</v>
      </c>
      <c r="D31" s="3040">
        <f t="shared" ref="D31:I31" si="28">+D12*D$6</f>
        <v>0</v>
      </c>
      <c r="E31" s="3040">
        <f t="shared" si="28"/>
        <v>0</v>
      </c>
      <c r="F31" s="3040">
        <f t="shared" si="28"/>
        <v>0</v>
      </c>
      <c r="G31" s="3040">
        <f t="shared" si="28"/>
        <v>0</v>
      </c>
      <c r="H31" s="3040">
        <f t="shared" si="28"/>
        <v>0</v>
      </c>
      <c r="I31" s="3040">
        <f t="shared" si="28"/>
        <v>0</v>
      </c>
      <c r="J31" s="3040">
        <f t="shared" si="9"/>
        <v>337341.43208725739</v>
      </c>
      <c r="K31" s="3040">
        <f t="shared" si="9"/>
        <v>165509.97578864801</v>
      </c>
      <c r="L31" s="3040">
        <f t="shared" si="9"/>
        <v>53282.335746835124</v>
      </c>
      <c r="M31" s="3040">
        <f t="shared" si="9"/>
        <v>85875.70865493844</v>
      </c>
      <c r="N31" s="3040">
        <f t="shared" ref="N31:P31" si="29">+N12*N$6</f>
        <v>0</v>
      </c>
      <c r="O31" s="3040">
        <f t="shared" si="29"/>
        <v>0</v>
      </c>
      <c r="P31" s="3040">
        <f t="shared" si="29"/>
        <v>0</v>
      </c>
      <c r="Q31" s="3040">
        <f t="shared" ref="Q31" si="30">+Q12*Q$6</f>
        <v>0</v>
      </c>
      <c r="R31" s="1605">
        <v>2011</v>
      </c>
      <c r="S31" s="3044">
        <f t="shared" si="12"/>
        <v>642009.452277679</v>
      </c>
      <c r="T31" s="3045">
        <f t="shared" si="13"/>
        <v>16511524.155526428</v>
      </c>
      <c r="U31" s="3046">
        <f t="shared" si="18"/>
        <v>3.8882506922463464E-2</v>
      </c>
      <c r="V31" s="1618"/>
      <c r="W31" s="1618"/>
      <c r="X31" s="1618"/>
    </row>
    <row r="32" spans="1:24">
      <c r="A32" s="3038">
        <f t="shared" ref="A32:C32" si="31">A13</f>
        <v>2012</v>
      </c>
      <c r="B32" s="3038" t="str">
        <f t="shared" si="31"/>
        <v>PICHINCHA</v>
      </c>
      <c r="C32" s="3038" t="str">
        <f t="shared" si="31"/>
        <v>Quito</v>
      </c>
      <c r="D32" s="3040">
        <f t="shared" ref="D32:I32" si="32">+D13*D$6</f>
        <v>0</v>
      </c>
      <c r="E32" s="3040">
        <f t="shared" si="32"/>
        <v>0</v>
      </c>
      <c r="F32" s="3040">
        <f t="shared" si="32"/>
        <v>0</v>
      </c>
      <c r="G32" s="3040">
        <f t="shared" si="32"/>
        <v>0</v>
      </c>
      <c r="H32" s="3040">
        <f t="shared" si="32"/>
        <v>0</v>
      </c>
      <c r="I32" s="3040">
        <f t="shared" si="32"/>
        <v>0</v>
      </c>
      <c r="J32" s="3040">
        <f t="shared" si="9"/>
        <v>421801.52447812504</v>
      </c>
      <c r="K32" s="3040">
        <f t="shared" si="9"/>
        <v>183465.46677046129</v>
      </c>
      <c r="L32" s="3040">
        <f t="shared" si="9"/>
        <v>66183.215634030814</v>
      </c>
      <c r="M32" s="3040">
        <f t="shared" si="9"/>
        <v>100319.42852829615</v>
      </c>
      <c r="N32" s="3040">
        <f t="shared" ref="N32:P32" si="33">+N13*N$6</f>
        <v>0</v>
      </c>
      <c r="O32" s="3040">
        <f t="shared" si="33"/>
        <v>0</v>
      </c>
      <c r="P32" s="3040">
        <f t="shared" si="33"/>
        <v>0</v>
      </c>
      <c r="Q32" s="3040">
        <f t="shared" ref="Q32" si="34">+Q13*Q$6</f>
        <v>0</v>
      </c>
      <c r="R32" s="1605">
        <v>2012</v>
      </c>
      <c r="S32" s="3044">
        <f t="shared" si="12"/>
        <v>771769.63541091338</v>
      </c>
      <c r="T32" s="3045">
        <f t="shared" si="13"/>
        <v>18837116.680155415</v>
      </c>
      <c r="U32" s="3046">
        <f t="shared" si="18"/>
        <v>4.0970688270140602E-2</v>
      </c>
      <c r="V32" s="1618"/>
      <c r="W32" s="1618"/>
      <c r="X32" s="1618"/>
    </row>
    <row r="33" spans="1:24">
      <c r="A33" s="3038">
        <f t="shared" ref="A33:C33" si="35">A14</f>
        <v>2013</v>
      </c>
      <c r="B33" s="3038" t="str">
        <f t="shared" si="35"/>
        <v>PICHINCHA</v>
      </c>
      <c r="C33" s="3038" t="str">
        <f t="shared" si="35"/>
        <v>Quito</v>
      </c>
      <c r="D33" s="3040">
        <f t="shared" ref="D33:I33" si="36">+D14*D$6</f>
        <v>0</v>
      </c>
      <c r="E33" s="3040">
        <f t="shared" si="36"/>
        <v>0</v>
      </c>
      <c r="F33" s="3040">
        <f t="shared" si="36"/>
        <v>0</v>
      </c>
      <c r="G33" s="3040">
        <f t="shared" si="36"/>
        <v>0</v>
      </c>
      <c r="H33" s="3040">
        <f t="shared" si="36"/>
        <v>0</v>
      </c>
      <c r="I33" s="3040">
        <f t="shared" si="36"/>
        <v>0</v>
      </c>
      <c r="J33" s="3040">
        <f t="shared" si="9"/>
        <v>483549.37214129994</v>
      </c>
      <c r="K33" s="3040">
        <f t="shared" si="9"/>
        <v>202860.95185187692</v>
      </c>
      <c r="L33" s="3040">
        <f t="shared" si="9"/>
        <v>61292.787849270011</v>
      </c>
      <c r="M33" s="3040">
        <f t="shared" si="9"/>
        <v>106346.28390118282</v>
      </c>
      <c r="N33" s="3040">
        <f t="shared" ref="N33:P33" si="37">+N14*N$6</f>
        <v>0</v>
      </c>
      <c r="O33" s="3040">
        <f t="shared" si="37"/>
        <v>0</v>
      </c>
      <c r="P33" s="3040">
        <f t="shared" si="37"/>
        <v>0</v>
      </c>
      <c r="Q33" s="3040">
        <f t="shared" ref="Q33" si="38">+Q14*Q$6</f>
        <v>0</v>
      </c>
      <c r="R33" s="1605">
        <v>2013</v>
      </c>
      <c r="S33" s="3044">
        <f t="shared" si="12"/>
        <v>854049.39574362978</v>
      </c>
      <c r="T33" s="3045">
        <f t="shared" si="13"/>
        <v>20940259.705790155</v>
      </c>
      <c r="U33" s="3046">
        <f t="shared" si="18"/>
        <v>4.0785043153379712E-2</v>
      </c>
      <c r="V33" s="1618"/>
      <c r="W33" s="1618"/>
      <c r="X33" s="1618"/>
    </row>
    <row r="34" spans="1:24">
      <c r="A34" s="3038">
        <f t="shared" ref="A34:C34" si="39">A15</f>
        <v>2014</v>
      </c>
      <c r="B34" s="3038" t="str">
        <f t="shared" si="39"/>
        <v>PICHINCHA</v>
      </c>
      <c r="C34" s="3038" t="str">
        <f t="shared" si="39"/>
        <v>Quito</v>
      </c>
      <c r="D34" s="3040">
        <f t="shared" ref="D34:I34" si="40">+D15*D$6</f>
        <v>0</v>
      </c>
      <c r="E34" s="3040">
        <f t="shared" si="40"/>
        <v>0</v>
      </c>
      <c r="F34" s="3040">
        <f t="shared" si="40"/>
        <v>0</v>
      </c>
      <c r="G34" s="3040">
        <f t="shared" si="40"/>
        <v>0</v>
      </c>
      <c r="H34" s="3040">
        <f t="shared" si="40"/>
        <v>0</v>
      </c>
      <c r="I34" s="3040">
        <f t="shared" si="40"/>
        <v>0</v>
      </c>
      <c r="J34" s="3040">
        <f t="shared" si="9"/>
        <v>535769.95107360627</v>
      </c>
      <c r="K34" s="3040">
        <f t="shared" si="9"/>
        <v>224008.36771249355</v>
      </c>
      <c r="L34" s="3040">
        <f t="shared" si="9"/>
        <v>71456.360485589496</v>
      </c>
      <c r="M34" s="3040">
        <f t="shared" si="9"/>
        <v>118329.31215278675</v>
      </c>
      <c r="N34" s="3040">
        <f t="shared" ref="N34:P34" si="41">+N15*N$6</f>
        <v>0</v>
      </c>
      <c r="O34" s="3040">
        <f t="shared" si="41"/>
        <v>0</v>
      </c>
      <c r="P34" s="3040">
        <f t="shared" si="41"/>
        <v>0</v>
      </c>
      <c r="Q34" s="3040">
        <f t="shared" ref="Q34" si="42">+Q15*Q$6</f>
        <v>0</v>
      </c>
      <c r="R34" s="1605">
        <v>2014</v>
      </c>
      <c r="S34" s="3044">
        <f t="shared" si="12"/>
        <v>949563.99142447603</v>
      </c>
      <c r="T34" s="3045">
        <f t="shared" si="13"/>
        <v>22997319.155908685</v>
      </c>
      <c r="U34" s="3046">
        <f t="shared" si="18"/>
        <v>4.1290203653172555E-2</v>
      </c>
      <c r="V34" s="1618"/>
      <c r="W34" s="1618"/>
      <c r="X34" s="1618"/>
    </row>
    <row r="35" spans="1:24">
      <c r="A35" s="3038">
        <f t="shared" ref="A35:C35" si="43">A16</f>
        <v>2015</v>
      </c>
      <c r="B35" s="3038" t="str">
        <f t="shared" si="43"/>
        <v>PICHINCHA</v>
      </c>
      <c r="C35" s="3038" t="str">
        <f t="shared" si="43"/>
        <v>Quito</v>
      </c>
      <c r="D35" s="3040">
        <f t="shared" ref="D35:I35" si="44">+D16*D$6</f>
        <v>0</v>
      </c>
      <c r="E35" s="3040">
        <f t="shared" si="44"/>
        <v>0</v>
      </c>
      <c r="F35" s="3040">
        <f t="shared" si="44"/>
        <v>0</v>
      </c>
      <c r="G35" s="3040">
        <f t="shared" si="44"/>
        <v>0</v>
      </c>
      <c r="H35" s="3040">
        <f t="shared" si="44"/>
        <v>0</v>
      </c>
      <c r="I35" s="3040">
        <f t="shared" si="44"/>
        <v>0</v>
      </c>
      <c r="J35" s="3040">
        <f t="shared" si="9"/>
        <v>552811.99787082756</v>
      </c>
      <c r="K35" s="3040">
        <f t="shared" si="9"/>
        <v>207350.83709959645</v>
      </c>
      <c r="L35" s="3040">
        <f t="shared" si="9"/>
        <v>71175.657018573256</v>
      </c>
      <c r="M35" s="3040">
        <f t="shared" si="9"/>
        <v>110387.19371199475</v>
      </c>
      <c r="N35" s="3040">
        <f t="shared" ref="N35:P35" si="45">+N16*N$6</f>
        <v>0</v>
      </c>
      <c r="O35" s="3040">
        <f t="shared" si="45"/>
        <v>0</v>
      </c>
      <c r="P35" s="3040">
        <f t="shared" si="45"/>
        <v>0</v>
      </c>
      <c r="Q35" s="3040">
        <f t="shared" ref="Q35" si="46">+Q16*Q$6</f>
        <v>0</v>
      </c>
      <c r="R35" s="1605">
        <v>2015</v>
      </c>
      <c r="S35" s="3044">
        <f t="shared" si="12"/>
        <v>941725.68570099201</v>
      </c>
      <c r="T35" s="3047">
        <f t="shared" si="13"/>
        <v>23232402.031223733</v>
      </c>
      <c r="U35" s="3046">
        <f>+S35/T35</f>
        <v>4.0535011594381741E-2</v>
      </c>
      <c r="V35" s="1618"/>
      <c r="W35" s="1618"/>
      <c r="X35" s="1618"/>
    </row>
    <row r="36" spans="1:24">
      <c r="A36" s="3038">
        <f t="shared" ref="A36:C36" si="47">A17</f>
        <v>2016</v>
      </c>
      <c r="B36" s="3038" t="str">
        <f t="shared" si="47"/>
        <v>PICHINCHA</v>
      </c>
      <c r="C36" s="3038" t="str">
        <f t="shared" si="47"/>
        <v>Quito</v>
      </c>
      <c r="D36" s="3040">
        <f t="shared" ref="D36:I36" si="48">+D17*D$6</f>
        <v>0</v>
      </c>
      <c r="E36" s="3040">
        <f t="shared" si="48"/>
        <v>0</v>
      </c>
      <c r="F36" s="3040">
        <f t="shared" si="48"/>
        <v>0</v>
      </c>
      <c r="G36" s="3040">
        <f t="shared" si="48"/>
        <v>0</v>
      </c>
      <c r="H36" s="3040">
        <f t="shared" si="48"/>
        <v>0</v>
      </c>
      <c r="I36" s="3040">
        <f t="shared" si="48"/>
        <v>0</v>
      </c>
      <c r="J36" s="3040">
        <f t="shared" si="9"/>
        <v>551461.33182469895</v>
      </c>
      <c r="K36" s="3040">
        <f t="shared" si="9"/>
        <v>213569.74849360689</v>
      </c>
      <c r="L36" s="3040">
        <f t="shared" si="9"/>
        <v>72429.62300505153</v>
      </c>
      <c r="M36" s="3040">
        <f t="shared" si="9"/>
        <v>101616.4638862928</v>
      </c>
      <c r="N36" s="3040">
        <f t="shared" ref="N36:P36" si="49">+N17*N$6</f>
        <v>0</v>
      </c>
      <c r="O36" s="3040">
        <f t="shared" si="49"/>
        <v>0</v>
      </c>
      <c r="P36" s="3040">
        <f t="shared" si="49"/>
        <v>0</v>
      </c>
      <c r="Q36" s="3040">
        <f t="shared" ref="Q36" si="50">+Q17*Q$6</f>
        <v>0</v>
      </c>
      <c r="R36" s="1605">
        <v>2016</v>
      </c>
      <c r="S36" s="3044">
        <f t="shared" si="12"/>
        <v>939077.16720965016</v>
      </c>
      <c r="T36" s="3047">
        <f t="shared" si="13"/>
        <v>23228687.19759446</v>
      </c>
      <c r="U36" s="3046">
        <f>+S36/T36</f>
        <v>4.0427474838392936E-2</v>
      </c>
      <c r="V36" s="1618"/>
      <c r="W36" s="1618"/>
      <c r="X36" s="1618"/>
    </row>
    <row r="37" spans="1:24">
      <c r="A37" s="3038">
        <f t="shared" ref="A37:C37" si="51">A18</f>
        <v>2017</v>
      </c>
      <c r="B37" s="3038" t="str">
        <f t="shared" si="51"/>
        <v>PICHINCHA</v>
      </c>
      <c r="C37" s="3038" t="str">
        <f t="shared" si="51"/>
        <v>Quito</v>
      </c>
      <c r="D37" s="3040">
        <f t="shared" ref="D37:I37" si="52">+D18*D$6</f>
        <v>0</v>
      </c>
      <c r="E37" s="3040">
        <f t="shared" si="52"/>
        <v>0</v>
      </c>
      <c r="F37" s="3040">
        <f t="shared" si="52"/>
        <v>0</v>
      </c>
      <c r="G37" s="3040">
        <f t="shared" si="52"/>
        <v>0</v>
      </c>
      <c r="H37" s="3040">
        <f t="shared" si="52"/>
        <v>0</v>
      </c>
      <c r="I37" s="3040">
        <f t="shared" si="52"/>
        <v>0</v>
      </c>
      <c r="J37" s="3040">
        <f t="shared" si="9"/>
        <v>586293.03526271228</v>
      </c>
      <c r="K37" s="3040">
        <f t="shared" si="9"/>
        <v>217247.80024017749</v>
      </c>
      <c r="L37" s="3040">
        <f t="shared" si="9"/>
        <v>83429.047718994407</v>
      </c>
      <c r="M37" s="3040">
        <f t="shared" si="9"/>
        <v>112351.79701088587</v>
      </c>
      <c r="N37" s="3040">
        <f t="shared" ref="N37:P37" si="53">+N18*N$6</f>
        <v>0</v>
      </c>
      <c r="O37" s="3040">
        <f t="shared" si="53"/>
        <v>0</v>
      </c>
      <c r="P37" s="3040">
        <f t="shared" si="53"/>
        <v>0</v>
      </c>
      <c r="Q37" s="3040">
        <f t="shared" ref="Q37" si="54">+Q18*Q$6</f>
        <v>0</v>
      </c>
      <c r="R37" s="1605">
        <v>2017</v>
      </c>
      <c r="S37" s="3044">
        <f t="shared" si="12"/>
        <v>999321.68023277004</v>
      </c>
      <c r="T37" s="3047">
        <f t="shared" si="13"/>
        <v>24426597.899817355</v>
      </c>
      <c r="U37" s="3046">
        <f>+S37/T37</f>
        <v>4.0911210162436998E-2</v>
      </c>
      <c r="V37" s="1618"/>
      <c r="W37" s="1618"/>
      <c r="X37" s="1618"/>
    </row>
    <row r="38" spans="1:24">
      <c r="A38" s="3017">
        <f t="shared" ref="A38:C38" si="55">A19</f>
        <v>2018</v>
      </c>
      <c r="B38" s="3017" t="str">
        <f t="shared" si="55"/>
        <v>PICHINCHA</v>
      </c>
      <c r="C38" s="3017" t="str">
        <f t="shared" si="55"/>
        <v>Quito</v>
      </c>
      <c r="D38" s="3018">
        <f t="shared" ref="D38:I38" si="56">+D19*D$6</f>
        <v>0</v>
      </c>
      <c r="E38" s="3018">
        <f t="shared" si="56"/>
        <v>0</v>
      </c>
      <c r="F38" s="3018">
        <f t="shared" si="56"/>
        <v>0</v>
      </c>
      <c r="G38" s="3018">
        <f t="shared" si="56"/>
        <v>0</v>
      </c>
      <c r="H38" s="3018">
        <f t="shared" si="56"/>
        <v>0</v>
      </c>
      <c r="I38" s="3018">
        <f t="shared" si="56"/>
        <v>0</v>
      </c>
      <c r="J38" s="3018">
        <f t="shared" si="9"/>
        <v>586293.03526271228</v>
      </c>
      <c r="K38" s="3018">
        <f t="shared" si="9"/>
        <v>217247.80024017749</v>
      </c>
      <c r="L38" s="3018">
        <f t="shared" si="9"/>
        <v>83429.047718994407</v>
      </c>
      <c r="M38" s="3018">
        <f t="shared" si="9"/>
        <v>112351.79701088587</v>
      </c>
      <c r="N38" s="3018">
        <f t="shared" ref="N38:P38" si="57">+N19*N$6</f>
        <v>0</v>
      </c>
      <c r="O38" s="3018">
        <f t="shared" si="57"/>
        <v>0</v>
      </c>
      <c r="P38" s="3018">
        <f t="shared" si="57"/>
        <v>0</v>
      </c>
      <c r="Q38" s="3018">
        <f t="shared" ref="Q38" si="58">+Q19*Q$6</f>
        <v>0</v>
      </c>
      <c r="R38" s="2760">
        <v>2018</v>
      </c>
      <c r="S38" s="2771">
        <f t="shared" si="12"/>
        <v>999321.68023277004</v>
      </c>
      <c r="T38" s="2762">
        <f t="shared" ref="T38:T39" si="59">R19</f>
        <v>24426597.899817355</v>
      </c>
      <c r="U38" s="3019">
        <f>+S38/T38</f>
        <v>4.0911210162436998E-2</v>
      </c>
      <c r="V38" s="2765"/>
      <c r="W38" s="2765"/>
      <c r="X38" s="2765"/>
    </row>
    <row r="39" spans="1:24">
      <c r="A39" s="3017">
        <f>A20</f>
        <v>2019</v>
      </c>
      <c r="B39" s="3017" t="str">
        <f t="shared" ref="B39:C39" si="60">B20</f>
        <v>PICHINCHA</v>
      </c>
      <c r="C39" s="3017" t="str">
        <f t="shared" si="60"/>
        <v>Quito</v>
      </c>
      <c r="D39" s="3018">
        <f t="shared" ref="D39:I39" si="61">+D20*D$6</f>
        <v>0</v>
      </c>
      <c r="E39" s="3018">
        <f t="shared" si="61"/>
        <v>0</v>
      </c>
      <c r="F39" s="3018">
        <f t="shared" si="61"/>
        <v>0</v>
      </c>
      <c r="G39" s="3018">
        <f t="shared" si="61"/>
        <v>0</v>
      </c>
      <c r="H39" s="3018">
        <f t="shared" si="61"/>
        <v>0</v>
      </c>
      <c r="I39" s="3018">
        <f t="shared" si="61"/>
        <v>0</v>
      </c>
      <c r="J39" s="3018">
        <f t="shared" si="9"/>
        <v>586293.03526271228</v>
      </c>
      <c r="K39" s="3018">
        <f t="shared" si="9"/>
        <v>217247.80024017749</v>
      </c>
      <c r="L39" s="3018">
        <f t="shared" si="9"/>
        <v>83429.047718994407</v>
      </c>
      <c r="M39" s="3018">
        <f t="shared" si="9"/>
        <v>112351.79701088587</v>
      </c>
      <c r="N39" s="3018">
        <f t="shared" ref="N39:P39" si="62">+N20*N$6</f>
        <v>0</v>
      </c>
      <c r="O39" s="3018">
        <f t="shared" si="62"/>
        <v>0</v>
      </c>
      <c r="P39" s="3018">
        <f t="shared" si="62"/>
        <v>0</v>
      </c>
      <c r="Q39" s="3018">
        <f t="shared" ref="Q39" si="63">+Q20*Q$6</f>
        <v>0</v>
      </c>
      <c r="R39" s="2760">
        <v>2019</v>
      </c>
      <c r="S39" s="2771">
        <f t="shared" si="12"/>
        <v>999321.68023277004</v>
      </c>
      <c r="T39" s="2762">
        <f t="shared" si="59"/>
        <v>24426597.899817355</v>
      </c>
      <c r="U39" s="3019">
        <f>+S39/T39</f>
        <v>4.0911210162436998E-2</v>
      </c>
      <c r="V39" s="2765"/>
      <c r="W39" s="2765"/>
      <c r="X39" s="2765"/>
    </row>
    <row r="40" spans="1:24">
      <c r="X40" s="1610"/>
    </row>
    <row r="43" spans="1:24" ht="22.15" customHeight="1">
      <c r="N43" s="3961" t="s">
        <v>1392</v>
      </c>
      <c r="O43" s="3961"/>
      <c r="P43" s="3961"/>
      <c r="Q43" s="2790" t="s">
        <v>1324</v>
      </c>
      <c r="R43" s="3963" t="s">
        <v>1321</v>
      </c>
      <c r="S43" s="3963"/>
      <c r="T43" s="3963"/>
      <c r="U43" s="3963"/>
    </row>
    <row r="44" spans="1:24" ht="22.15" customHeight="1">
      <c r="N44" s="3961" t="s">
        <v>1393</v>
      </c>
      <c r="O44" s="3961"/>
      <c r="P44" s="3961"/>
      <c r="Q44" s="2790" t="s">
        <v>9</v>
      </c>
      <c r="R44" s="3963" t="s">
        <v>1323</v>
      </c>
      <c r="S44" s="3963"/>
      <c r="T44" s="3963"/>
      <c r="U44" s="3963"/>
    </row>
    <row r="45" spans="1:24" ht="22.15" customHeight="1">
      <c r="A45" s="1613" t="s">
        <v>1396</v>
      </c>
      <c r="N45" s="3007"/>
      <c r="O45" s="3007"/>
      <c r="P45" s="3007"/>
      <c r="Q45" s="3008"/>
      <c r="R45" s="3009"/>
      <c r="S45" s="3009"/>
      <c r="T45" s="3009"/>
      <c r="U45" s="3009"/>
    </row>
    <row r="46" spans="1:24" ht="22.15" customHeight="1">
      <c r="I46" s="3054"/>
      <c r="N46" s="3007"/>
      <c r="O46" s="3007"/>
      <c r="P46" s="3007"/>
      <c r="Q46" s="3008"/>
      <c r="R46" s="3009"/>
      <c r="S46" s="3009"/>
      <c r="T46" s="3009"/>
      <c r="U46" s="3009"/>
    </row>
    <row r="47" spans="1:24">
      <c r="D47" s="3962" t="s">
        <v>1388</v>
      </c>
      <c r="E47" s="3962"/>
      <c r="F47" s="3962"/>
      <c r="G47" s="3962"/>
      <c r="H47" s="3962"/>
      <c r="I47" s="3962"/>
      <c r="J47" s="3962"/>
      <c r="K47" s="3962"/>
      <c r="L47" s="3962"/>
      <c r="M47" s="3962"/>
      <c r="N47" s="3962"/>
      <c r="O47" s="3962"/>
      <c r="P47" s="3962"/>
      <c r="Q47" s="3962"/>
    </row>
    <row r="48" spans="1:24" s="2879" customFormat="1" ht="26.25" thickBot="1">
      <c r="A48" s="1612"/>
      <c r="B48" s="1612"/>
      <c r="C48" s="3031" t="s">
        <v>1391</v>
      </c>
      <c r="D48" s="3030"/>
      <c r="E48" s="3030"/>
      <c r="F48" s="3030"/>
      <c r="G48" s="3030"/>
      <c r="H48" s="3030"/>
      <c r="I48" s="3030">
        <v>2.5000000000000001E-2</v>
      </c>
      <c r="J48" s="3030">
        <v>0.85499999999999998</v>
      </c>
      <c r="K48" s="3030">
        <v>6.5000000000000002E-2</v>
      </c>
      <c r="L48" s="3030">
        <v>2.7E-2</v>
      </c>
      <c r="M48" s="3030">
        <v>5.8500000000000003E-2</v>
      </c>
      <c r="N48" s="3030">
        <v>3.0000000000000001E-3</v>
      </c>
      <c r="O48" s="3030"/>
      <c r="P48" s="3030"/>
      <c r="Q48" s="3030"/>
      <c r="R48" s="1612"/>
      <c r="S48" s="1612"/>
      <c r="T48" s="1612"/>
      <c r="U48" s="1612"/>
      <c r="V48" s="1612"/>
      <c r="W48" s="1612"/>
    </row>
    <row r="49" spans="1:23" ht="39" thickBot="1">
      <c r="A49" s="1606" t="s">
        <v>215</v>
      </c>
      <c r="B49" s="1606" t="s">
        <v>581</v>
      </c>
      <c r="C49" s="1607" t="s">
        <v>582</v>
      </c>
      <c r="D49" s="1619" t="s">
        <v>984</v>
      </c>
      <c r="E49" s="1620" t="s">
        <v>985</v>
      </c>
      <c r="F49" s="1620" t="s">
        <v>986</v>
      </c>
      <c r="G49" s="1620" t="s">
        <v>987</v>
      </c>
      <c r="H49" s="1620" t="s">
        <v>988</v>
      </c>
      <c r="I49" s="1620" t="s">
        <v>989</v>
      </c>
      <c r="J49" s="1621" t="s">
        <v>990</v>
      </c>
      <c r="K49" s="1620" t="s">
        <v>991</v>
      </c>
      <c r="L49" s="1620" t="s">
        <v>992</v>
      </c>
      <c r="M49" s="1620" t="s">
        <v>993</v>
      </c>
      <c r="N49" s="1620" t="s">
        <v>994</v>
      </c>
      <c r="O49" s="1620" t="s">
        <v>995</v>
      </c>
      <c r="P49" s="1620" t="s">
        <v>996</v>
      </c>
      <c r="Q49" s="1622" t="s">
        <v>997</v>
      </c>
      <c r="R49" s="1623" t="s">
        <v>998</v>
      </c>
      <c r="S49" s="1624" t="s">
        <v>999</v>
      </c>
      <c r="T49" s="1624" t="s">
        <v>1000</v>
      </c>
    </row>
    <row r="50" spans="1:23">
      <c r="A50" s="3020">
        <f>A18</f>
        <v>2017</v>
      </c>
      <c r="B50" s="3020" t="str">
        <f t="shared" ref="B50:C52" si="64">B18</f>
        <v>PICHINCHA</v>
      </c>
      <c r="C50" s="3021" t="str">
        <f t="shared" si="64"/>
        <v>Quito</v>
      </c>
      <c r="D50" s="3022">
        <f t="shared" ref="D50:P50" si="65">D18*D48</f>
        <v>0</v>
      </c>
      <c r="E50" s="3022">
        <f t="shared" si="65"/>
        <v>0</v>
      </c>
      <c r="F50" s="3022">
        <f t="shared" si="65"/>
        <v>0</v>
      </c>
      <c r="G50" s="3022">
        <f t="shared" si="65"/>
        <v>0</v>
      </c>
      <c r="H50" s="3022">
        <f t="shared" si="65"/>
        <v>0</v>
      </c>
      <c r="I50" s="3022">
        <f t="shared" si="65"/>
        <v>38842.633371384953</v>
      </c>
      <c r="J50" s="3022">
        <f t="shared" si="65"/>
        <v>501280.54514961899</v>
      </c>
      <c r="K50" s="3022">
        <f t="shared" si="65"/>
        <v>108623.90012008874</v>
      </c>
      <c r="L50" s="3022">
        <f t="shared" si="65"/>
        <v>40956.077971142709</v>
      </c>
      <c r="M50" s="3022">
        <f t="shared" si="65"/>
        <v>285764.35326681845</v>
      </c>
      <c r="N50" s="3022">
        <f t="shared" si="65"/>
        <v>11693.339085741118</v>
      </c>
      <c r="O50" s="3022">
        <f t="shared" si="65"/>
        <v>0</v>
      </c>
      <c r="P50" s="3022">
        <f t="shared" si="65"/>
        <v>0</v>
      </c>
      <c r="Q50" s="3023"/>
      <c r="R50" s="3022">
        <f>SUM(D50:Q50)</f>
        <v>987160.84896479489</v>
      </c>
      <c r="S50" s="3024">
        <f>R50/R18</f>
        <v>4.0413358135812115E-2</v>
      </c>
      <c r="T50" s="3021" t="s">
        <v>1389</v>
      </c>
    </row>
    <row r="51" spans="1:23">
      <c r="A51" s="3020">
        <f>A19</f>
        <v>2018</v>
      </c>
      <c r="B51" s="3020" t="str">
        <f t="shared" si="64"/>
        <v>PICHINCHA</v>
      </c>
      <c r="C51" s="3021" t="str">
        <f t="shared" si="64"/>
        <v>Quito</v>
      </c>
      <c r="D51" s="3022">
        <f>D19*D48</f>
        <v>0</v>
      </c>
      <c r="E51" s="3022">
        <f t="shared" ref="E51:Q51" si="66">E19*E48</f>
        <v>0</v>
      </c>
      <c r="F51" s="3022">
        <f t="shared" si="66"/>
        <v>0</v>
      </c>
      <c r="G51" s="3022">
        <f t="shared" si="66"/>
        <v>0</v>
      </c>
      <c r="H51" s="3022">
        <f t="shared" si="66"/>
        <v>0</v>
      </c>
      <c r="I51" s="3022">
        <f t="shared" si="66"/>
        <v>38842.633371384953</v>
      </c>
      <c r="J51" s="3022">
        <f t="shared" si="66"/>
        <v>501280.54514961899</v>
      </c>
      <c r="K51" s="3022">
        <f t="shared" si="66"/>
        <v>108623.90012008874</v>
      </c>
      <c r="L51" s="3022">
        <f t="shared" si="66"/>
        <v>40956.077971142709</v>
      </c>
      <c r="M51" s="3022">
        <f t="shared" si="66"/>
        <v>285764.35326681845</v>
      </c>
      <c r="N51" s="3022">
        <f t="shared" si="66"/>
        <v>11693.339085741118</v>
      </c>
      <c r="O51" s="3022">
        <f t="shared" si="66"/>
        <v>0</v>
      </c>
      <c r="P51" s="3022">
        <f t="shared" si="66"/>
        <v>0</v>
      </c>
      <c r="Q51" s="3022">
        <f t="shared" si="66"/>
        <v>0</v>
      </c>
      <c r="R51" s="3022">
        <f>SUM(D51:Q51)</f>
        <v>987160.84896479489</v>
      </c>
      <c r="S51" s="3024">
        <f>R51/R19</f>
        <v>4.0413358135812115E-2</v>
      </c>
      <c r="T51" s="3021" t="s">
        <v>1389</v>
      </c>
    </row>
    <row r="52" spans="1:23">
      <c r="A52" s="3020">
        <f>A20</f>
        <v>2019</v>
      </c>
      <c r="B52" s="3020" t="str">
        <f t="shared" si="64"/>
        <v>PICHINCHA</v>
      </c>
      <c r="C52" s="3021" t="str">
        <f t="shared" si="64"/>
        <v>Quito</v>
      </c>
      <c r="D52" s="3022">
        <f>D20*D48</f>
        <v>0</v>
      </c>
      <c r="E52" s="3022">
        <f t="shared" ref="E52:Q52" si="67">E20*E48</f>
        <v>0</v>
      </c>
      <c r="F52" s="3022">
        <f t="shared" si="67"/>
        <v>0</v>
      </c>
      <c r="G52" s="3022">
        <f t="shared" si="67"/>
        <v>0</v>
      </c>
      <c r="H52" s="3022">
        <f t="shared" si="67"/>
        <v>0</v>
      </c>
      <c r="I52" s="3022">
        <f t="shared" si="67"/>
        <v>38842.633371384953</v>
      </c>
      <c r="J52" s="3022">
        <f t="shared" si="67"/>
        <v>501280.54514961899</v>
      </c>
      <c r="K52" s="3022">
        <f t="shared" si="67"/>
        <v>108623.90012008874</v>
      </c>
      <c r="L52" s="3022">
        <f t="shared" si="67"/>
        <v>40956.077971142709</v>
      </c>
      <c r="M52" s="3022">
        <f t="shared" si="67"/>
        <v>285764.35326681845</v>
      </c>
      <c r="N52" s="3022">
        <f t="shared" si="67"/>
        <v>11693.339085741118</v>
      </c>
      <c r="O52" s="3022">
        <f t="shared" si="67"/>
        <v>0</v>
      </c>
      <c r="P52" s="3022">
        <f t="shared" si="67"/>
        <v>0</v>
      </c>
      <c r="Q52" s="3022">
        <f t="shared" si="67"/>
        <v>0</v>
      </c>
      <c r="R52" s="3022">
        <f>SUM(D52:Q52)</f>
        <v>987160.84896479489</v>
      </c>
      <c r="S52" s="3024">
        <f>R52/R20</f>
        <v>4.0413358135812115E-2</v>
      </c>
      <c r="T52" s="3021" t="s">
        <v>1389</v>
      </c>
    </row>
    <row r="54" spans="1:23" ht="15.75" thickBot="1"/>
    <row r="55" spans="1:23" s="2879" customFormat="1" ht="26.25" thickBot="1">
      <c r="A55" s="1612"/>
      <c r="B55" s="1612"/>
      <c r="C55" s="3032" t="s">
        <v>1390</v>
      </c>
      <c r="D55" s="3025"/>
      <c r="E55" s="3025"/>
      <c r="F55" s="3025"/>
      <c r="G55" s="3025"/>
      <c r="H55" s="3025"/>
      <c r="I55" s="3025">
        <v>2.4296168541821025E-2</v>
      </c>
      <c r="J55" s="3025">
        <v>0.27757035691790694</v>
      </c>
      <c r="K55" s="3025">
        <v>2.3976350305267579E-2</v>
      </c>
      <c r="L55" s="3025">
        <v>2.6486874543632084E-2</v>
      </c>
      <c r="M55" s="3025">
        <v>5.6161314544625786E-2</v>
      </c>
      <c r="N55" s="3025">
        <v>2.7272334406707008E-3</v>
      </c>
      <c r="O55" s="3025"/>
      <c r="P55" s="3025"/>
      <c r="Q55" s="3025"/>
      <c r="R55" s="1612"/>
      <c r="S55" s="1612"/>
      <c r="T55" s="1612"/>
      <c r="U55" s="1612"/>
      <c r="V55" s="1612"/>
      <c r="W55" s="1612"/>
    </row>
    <row r="56" spans="1:23" ht="39" thickBot="1">
      <c r="A56" s="1606" t="s">
        <v>215</v>
      </c>
      <c r="B56" s="1606" t="s">
        <v>581</v>
      </c>
      <c r="C56" s="1607" t="s">
        <v>582</v>
      </c>
      <c r="D56" s="1619" t="s">
        <v>984</v>
      </c>
      <c r="E56" s="1620" t="s">
        <v>985</v>
      </c>
      <c r="F56" s="1620" t="s">
        <v>986</v>
      </c>
      <c r="G56" s="1620" t="s">
        <v>987</v>
      </c>
      <c r="H56" s="1620" t="s">
        <v>988</v>
      </c>
      <c r="I56" s="1620" t="s">
        <v>989</v>
      </c>
      <c r="J56" s="1621" t="s">
        <v>990</v>
      </c>
      <c r="K56" s="1620" t="s">
        <v>991</v>
      </c>
      <c r="L56" s="1620" t="s">
        <v>992</v>
      </c>
      <c r="M56" s="1620" t="s">
        <v>993</v>
      </c>
      <c r="N56" s="1620" t="s">
        <v>994</v>
      </c>
      <c r="O56" s="1620" t="s">
        <v>995</v>
      </c>
      <c r="P56" s="1620" t="s">
        <v>996</v>
      </c>
      <c r="Q56" s="1622" t="s">
        <v>997</v>
      </c>
      <c r="R56" s="1623" t="s">
        <v>998</v>
      </c>
      <c r="S56" s="1624" t="s">
        <v>999</v>
      </c>
      <c r="T56" s="1624" t="s">
        <v>1000</v>
      </c>
    </row>
    <row r="57" spans="1:23">
      <c r="A57" s="3055">
        <f>A18</f>
        <v>2017</v>
      </c>
      <c r="B57" s="3056" t="str">
        <f>B18</f>
        <v>PICHINCHA</v>
      </c>
      <c r="C57" s="3029" t="str">
        <f>C18</f>
        <v>Quito</v>
      </c>
      <c r="D57" s="3027">
        <f t="shared" ref="D57:Q57" si="68">D18*D55</f>
        <v>0</v>
      </c>
      <c r="E57" s="3027">
        <f t="shared" si="68"/>
        <v>0</v>
      </c>
      <c r="F57" s="3027">
        <f t="shared" si="68"/>
        <v>0</v>
      </c>
      <c r="G57" s="3027">
        <f t="shared" si="68"/>
        <v>0</v>
      </c>
      <c r="H57" s="3027">
        <f t="shared" si="68"/>
        <v>0</v>
      </c>
      <c r="I57" s="3027">
        <f t="shared" si="68"/>
        <v>37749.086679973225</v>
      </c>
      <c r="J57" s="3027">
        <f t="shared" si="68"/>
        <v>162737.56705635405</v>
      </c>
      <c r="K57" s="3027">
        <f t="shared" si="68"/>
        <v>40067.764320056071</v>
      </c>
      <c r="L57" s="3027">
        <f t="shared" si="68"/>
        <v>40177.72218595817</v>
      </c>
      <c r="M57" s="3027">
        <f t="shared" si="68"/>
        <v>274340.20050357864</v>
      </c>
      <c r="N57" s="3027">
        <f t="shared" si="68"/>
        <v>10630.155129244979</v>
      </c>
      <c r="O57" s="3027">
        <f t="shared" si="68"/>
        <v>0</v>
      </c>
      <c r="P57" s="3027">
        <f t="shared" si="68"/>
        <v>0</v>
      </c>
      <c r="Q57" s="3027">
        <f t="shared" si="68"/>
        <v>0</v>
      </c>
      <c r="R57" s="3027">
        <f>SUM(D57:Q57)</f>
        <v>565702.4958751651</v>
      </c>
      <c r="S57" s="3028">
        <f>R57/R18</f>
        <v>2.3159283097684061E-2</v>
      </c>
      <c r="T57" s="3029" t="s">
        <v>1389</v>
      </c>
      <c r="U57" s="3026"/>
      <c r="V57" s="3026"/>
      <c r="W57" s="3026"/>
    </row>
    <row r="58" spans="1:23">
      <c r="A58" s="3055">
        <f t="shared" ref="A58:C58" si="69">A19</f>
        <v>2018</v>
      </c>
      <c r="B58" s="3056" t="str">
        <f t="shared" si="69"/>
        <v>PICHINCHA</v>
      </c>
      <c r="C58" s="3029" t="str">
        <f t="shared" si="69"/>
        <v>Quito</v>
      </c>
      <c r="D58" s="3027">
        <f t="shared" ref="D58:Q58" si="70">D19*D55</f>
        <v>0</v>
      </c>
      <c r="E58" s="3027">
        <f t="shared" si="70"/>
        <v>0</v>
      </c>
      <c r="F58" s="3027">
        <f t="shared" si="70"/>
        <v>0</v>
      </c>
      <c r="G58" s="3027">
        <f t="shared" si="70"/>
        <v>0</v>
      </c>
      <c r="H58" s="3027">
        <f t="shared" si="70"/>
        <v>0</v>
      </c>
      <c r="I58" s="3027">
        <f t="shared" si="70"/>
        <v>37749.086679973225</v>
      </c>
      <c r="J58" s="3027">
        <f t="shared" si="70"/>
        <v>162737.56705635405</v>
      </c>
      <c r="K58" s="3027">
        <f t="shared" si="70"/>
        <v>40067.764320056071</v>
      </c>
      <c r="L58" s="3027">
        <f t="shared" si="70"/>
        <v>40177.72218595817</v>
      </c>
      <c r="M58" s="3027">
        <f t="shared" si="70"/>
        <v>274340.20050357864</v>
      </c>
      <c r="N58" s="3027">
        <f t="shared" si="70"/>
        <v>10630.155129244979</v>
      </c>
      <c r="O58" s="3027">
        <f t="shared" si="70"/>
        <v>0</v>
      </c>
      <c r="P58" s="3027">
        <f t="shared" si="70"/>
        <v>0</v>
      </c>
      <c r="Q58" s="3027">
        <f t="shared" si="70"/>
        <v>0</v>
      </c>
      <c r="R58" s="3027">
        <f>SUM(D58:Q58)</f>
        <v>565702.4958751651</v>
      </c>
      <c r="S58" s="3028">
        <f>R58/R19</f>
        <v>2.3159283097684061E-2</v>
      </c>
      <c r="T58" s="3029" t="s">
        <v>1389</v>
      </c>
      <c r="U58" s="3026"/>
      <c r="V58" s="3026"/>
      <c r="W58" s="3026"/>
    </row>
    <row r="59" spans="1:23">
      <c r="A59" s="3055">
        <f t="shared" ref="A59:C59" si="71">A20</f>
        <v>2019</v>
      </c>
      <c r="B59" s="3056" t="str">
        <f t="shared" si="71"/>
        <v>PICHINCHA</v>
      </c>
      <c r="C59" s="3029" t="str">
        <f t="shared" si="71"/>
        <v>Quito</v>
      </c>
      <c r="D59" s="3027">
        <f t="shared" ref="D59:Q59" si="72">D20*D55</f>
        <v>0</v>
      </c>
      <c r="E59" s="3027">
        <f t="shared" si="72"/>
        <v>0</v>
      </c>
      <c r="F59" s="3027">
        <f t="shared" si="72"/>
        <v>0</v>
      </c>
      <c r="G59" s="3027">
        <f t="shared" si="72"/>
        <v>0</v>
      </c>
      <c r="H59" s="3027">
        <f t="shared" si="72"/>
        <v>0</v>
      </c>
      <c r="I59" s="3027">
        <f t="shared" si="72"/>
        <v>37749.086679973225</v>
      </c>
      <c r="J59" s="3027">
        <f t="shared" si="72"/>
        <v>162737.56705635405</v>
      </c>
      <c r="K59" s="3027">
        <f t="shared" si="72"/>
        <v>40067.764320056071</v>
      </c>
      <c r="L59" s="3027">
        <f t="shared" si="72"/>
        <v>40177.72218595817</v>
      </c>
      <c r="M59" s="3027">
        <f t="shared" si="72"/>
        <v>274340.20050357864</v>
      </c>
      <c r="N59" s="3027">
        <f t="shared" si="72"/>
        <v>10630.155129244979</v>
      </c>
      <c r="O59" s="3027">
        <f t="shared" si="72"/>
        <v>0</v>
      </c>
      <c r="P59" s="3027">
        <f t="shared" si="72"/>
        <v>0</v>
      </c>
      <c r="Q59" s="3027">
        <f t="shared" si="72"/>
        <v>0</v>
      </c>
      <c r="R59" s="3027">
        <f>SUM(D59:Q59)</f>
        <v>565702.4958751651</v>
      </c>
      <c r="S59" s="3028">
        <f>R59/R20</f>
        <v>2.3159283097684061E-2</v>
      </c>
      <c r="T59" s="3029" t="s">
        <v>1389</v>
      </c>
      <c r="U59" s="3026"/>
      <c r="V59" s="3026"/>
      <c r="W59" s="3026"/>
    </row>
  </sheetData>
  <mergeCells count="7">
    <mergeCell ref="U18:W18"/>
    <mergeCell ref="D25:Q25"/>
    <mergeCell ref="D47:Q47"/>
    <mergeCell ref="R43:U43"/>
    <mergeCell ref="R44:U44"/>
    <mergeCell ref="N43:P43"/>
    <mergeCell ref="N44:P44"/>
  </mergeCells>
  <hyperlinks>
    <hyperlink ref="R43" r:id="rId1"/>
    <hyperlink ref="R44" r:id="rId2"/>
  </hyperlinks>
  <pageMargins left="0.17" right="0.17" top="0.45" bottom="0.43" header="0.31496062992125984" footer="0.31496062992125984"/>
  <pageSetup paperSize="9" scale="46" fitToWidth="2" orientation="landscape" verticalDpi="597" r:id="rId3"/>
  <drawing r:id="rId4"/>
  <legacyDrawing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T32"/>
  <sheetViews>
    <sheetView showGridLines="0" zoomScale="90" zoomScaleNormal="90" workbookViewId="0">
      <selection activeCell="G16" sqref="G16"/>
    </sheetView>
  </sheetViews>
  <sheetFormatPr baseColWidth="10" defaultRowHeight="15"/>
  <cols>
    <col min="1" max="1" width="2.28515625" style="55" customWidth="1"/>
    <col min="2" max="2" width="47.42578125" customWidth="1"/>
    <col min="3" max="3" width="14" bestFit="1" customWidth="1"/>
    <col min="4" max="4" width="14.140625" customWidth="1"/>
    <col min="5" max="5" width="28.7109375" bestFit="1" customWidth="1"/>
    <col min="6" max="6" width="13.28515625" bestFit="1" customWidth="1"/>
    <col min="8" max="8" width="11.7109375" bestFit="1" customWidth="1"/>
  </cols>
  <sheetData>
    <row r="1" spans="1:10" s="1642" customFormat="1" ht="21">
      <c r="B1" s="2656" t="s">
        <v>1184</v>
      </c>
      <c r="I1" s="779"/>
      <c r="J1" s="779"/>
    </row>
    <row r="3" spans="1:10" ht="15.75" thickBot="1"/>
    <row r="4" spans="1:10" s="2" customFormat="1" ht="12.75">
      <c r="A4" s="258"/>
      <c r="B4" s="3966" t="s">
        <v>218</v>
      </c>
      <c r="C4" s="740">
        <v>2008</v>
      </c>
      <c r="D4" s="742">
        <f>'% y # establecimientos act econ'!D41</f>
        <v>2533</v>
      </c>
      <c r="E4" s="734"/>
    </row>
    <row r="5" spans="1:10" s="2" customFormat="1" ht="15" customHeight="1">
      <c r="A5" s="258"/>
      <c r="B5" s="3967"/>
      <c r="C5" s="741">
        <v>2009</v>
      </c>
      <c r="D5" s="743">
        <f>'% y # establecimientos act econ'!E41</f>
        <v>3014</v>
      </c>
      <c r="E5" s="734"/>
      <c r="F5" s="5">
        <f>D5/D4-1</f>
        <v>0.18989340702724045</v>
      </c>
    </row>
    <row r="6" spans="1:10" s="2" customFormat="1" ht="15" customHeight="1">
      <c r="A6" s="258"/>
      <c r="B6" s="3967"/>
      <c r="C6" s="741">
        <v>2010</v>
      </c>
      <c r="D6" s="743">
        <f>'% y # establecimientos act econ'!F41</f>
        <v>2719</v>
      </c>
      <c r="E6" s="734"/>
      <c r="F6" s="5">
        <f t="shared" ref="F6:F12" si="0">D6/D5-1</f>
        <v>-9.7876575978765756E-2</v>
      </c>
    </row>
    <row r="7" spans="1:10" s="2" customFormat="1" ht="15" customHeight="1">
      <c r="A7" s="258"/>
      <c r="B7" s="3967"/>
      <c r="C7" s="741">
        <v>2011</v>
      </c>
      <c r="D7" s="743">
        <f>'% y # establecimientos act econ'!G41</f>
        <v>2924</v>
      </c>
      <c r="E7" s="734"/>
      <c r="F7" s="5">
        <f t="shared" si="0"/>
        <v>7.5395365943361492E-2</v>
      </c>
    </row>
    <row r="8" spans="1:10" s="2" customFormat="1" ht="15" customHeight="1">
      <c r="A8" s="258"/>
      <c r="B8" s="3967"/>
      <c r="C8" s="741">
        <v>2012</v>
      </c>
      <c r="D8" s="743">
        <v>3503</v>
      </c>
      <c r="E8" s="746" t="s">
        <v>915</v>
      </c>
      <c r="F8" s="5">
        <f t="shared" si="0"/>
        <v>0.19801641586867302</v>
      </c>
    </row>
    <row r="9" spans="1:10" s="2" customFormat="1" ht="15" customHeight="1">
      <c r="A9" s="258"/>
      <c r="B9" s="3967"/>
      <c r="C9" s="741">
        <v>2013</v>
      </c>
      <c r="D9" s="743">
        <f>'% y # establecimientos act econ'!I41</f>
        <v>4488</v>
      </c>
      <c r="E9" s="734"/>
      <c r="F9" s="5">
        <f t="shared" si="0"/>
        <v>0.28118755352554947</v>
      </c>
    </row>
    <row r="10" spans="1:10" s="2" customFormat="1" ht="15" customHeight="1">
      <c r="A10" s="258"/>
      <c r="B10" s="3967"/>
      <c r="C10" s="741">
        <v>2014</v>
      </c>
      <c r="D10" s="743">
        <f>'% y # establecimientos act econ'!J41</f>
        <v>4909</v>
      </c>
      <c r="E10" s="734"/>
      <c r="F10" s="5">
        <f t="shared" si="0"/>
        <v>9.3805704099821696E-2</v>
      </c>
    </row>
    <row r="11" spans="1:10" s="2" customFormat="1" ht="15" customHeight="1">
      <c r="A11" s="258"/>
      <c r="B11" s="3967"/>
      <c r="C11" s="741">
        <v>2015</v>
      </c>
      <c r="D11" s="743">
        <v>5220</v>
      </c>
      <c r="E11" s="746" t="s">
        <v>681</v>
      </c>
      <c r="F11" s="5">
        <f t="shared" si="0"/>
        <v>6.3353025056019474E-2</v>
      </c>
      <c r="G11" s="566" t="s">
        <v>446</v>
      </c>
      <c r="H11" s="718"/>
      <c r="I11" s="719"/>
    </row>
    <row r="12" spans="1:10" s="2" customFormat="1" ht="15.75" customHeight="1">
      <c r="A12" s="258"/>
      <c r="B12" s="3967"/>
      <c r="C12" s="741">
        <v>2016</v>
      </c>
      <c r="D12" s="743">
        <v>5109</v>
      </c>
      <c r="E12" s="746" t="s">
        <v>938</v>
      </c>
      <c r="F12" s="5">
        <f t="shared" si="0"/>
        <v>-2.1264367816091978E-2</v>
      </c>
      <c r="G12" s="566" t="s">
        <v>633</v>
      </c>
      <c r="H12" s="718"/>
      <c r="I12" s="719"/>
    </row>
    <row r="13" spans="1:10" s="2" customFormat="1" ht="15.75" customHeight="1">
      <c r="A13" s="258"/>
      <c r="B13" s="3967"/>
      <c r="C13" s="741">
        <v>2017</v>
      </c>
      <c r="D13" s="743">
        <v>5231</v>
      </c>
      <c r="E13" s="746" t="s">
        <v>938</v>
      </c>
      <c r="F13" s="5">
        <f>D13/D12-1</f>
        <v>2.3879428459581131E-2</v>
      </c>
      <c r="G13" s="566" t="s">
        <v>693</v>
      </c>
      <c r="H13" s="718"/>
      <c r="I13" s="719"/>
    </row>
    <row r="14" spans="1:10" s="2" customFormat="1" ht="15.75" customHeight="1">
      <c r="A14" s="258"/>
      <c r="B14" s="2606"/>
      <c r="C14" s="2607">
        <v>2018</v>
      </c>
      <c r="D14" s="2608">
        <v>4381</v>
      </c>
      <c r="E14" s="1594" t="s">
        <v>1168</v>
      </c>
      <c r="F14" s="565">
        <f>D14/D13-1</f>
        <v>-0.16249283119862357</v>
      </c>
      <c r="G14" s="566" t="s">
        <v>1070</v>
      </c>
      <c r="H14" s="718"/>
      <c r="I14" s="719"/>
    </row>
    <row r="15" spans="1:10" s="723" customFormat="1" ht="12.75">
      <c r="A15" s="725"/>
      <c r="E15" s="744"/>
    </row>
    <row r="16" spans="1:10" s="723" customFormat="1" ht="12.75">
      <c r="A16" s="725"/>
      <c r="B16" s="1614" t="s">
        <v>1188</v>
      </c>
      <c r="E16" s="744"/>
    </row>
    <row r="17" spans="1:20" s="723" customFormat="1" ht="12.75">
      <c r="A17" s="725"/>
      <c r="B17" s="1614" t="s">
        <v>950</v>
      </c>
      <c r="E17" s="744"/>
    </row>
    <row r="18" spans="1:20" s="723" customFormat="1" ht="13.5" thickBot="1">
      <c r="A18" s="725"/>
      <c r="B18" s="1614"/>
      <c r="E18" s="744"/>
    </row>
    <row r="19" spans="1:20" s="723" customFormat="1" ht="13.5" thickBot="1">
      <c r="A19" s="725"/>
      <c r="B19" s="3964" t="s">
        <v>661</v>
      </c>
      <c r="C19" s="735" t="s">
        <v>209</v>
      </c>
      <c r="D19" s="736" t="s">
        <v>210</v>
      </c>
      <c r="E19" s="747" t="str">
        <f>E14</f>
        <v>Dato 16ene2019 Dir. Calidad email</v>
      </c>
      <c r="F19" s="737" t="s">
        <v>211</v>
      </c>
    </row>
    <row r="20" spans="1:20" s="723" customFormat="1" ht="13.5" thickBot="1">
      <c r="A20" s="725"/>
      <c r="B20" s="3965"/>
      <c r="C20" s="738">
        <v>3774</v>
      </c>
      <c r="D20" s="2609">
        <f>D14-C20</f>
        <v>607</v>
      </c>
      <c r="E20" s="745"/>
      <c r="F20" s="737">
        <f>SUM(C20:D20)</f>
        <v>4381</v>
      </c>
    </row>
    <row r="21" spans="1:20" s="723" customFormat="1" ht="12.75">
      <c r="A21" s="725"/>
      <c r="C21" s="739">
        <f>C20/F20</f>
        <v>0.86144715818306328</v>
      </c>
      <c r="D21" s="739">
        <f>D20/F20</f>
        <v>0.13855284181693678</v>
      </c>
      <c r="E21" s="739"/>
      <c r="F21" s="725"/>
    </row>
    <row r="22" spans="1:20" s="723" customFormat="1" ht="12.75">
      <c r="A22" s="725"/>
      <c r="B22" s="778"/>
    </row>
    <row r="23" spans="1:20" s="723" customFormat="1" ht="12.75">
      <c r="A23" s="725"/>
    </row>
    <row r="24" spans="1:20" s="723" customFormat="1" ht="12.75">
      <c r="A24" s="725"/>
      <c r="B24" s="723" t="s">
        <v>1174</v>
      </c>
    </row>
    <row r="25" spans="1:20">
      <c r="B25" s="1756" t="s">
        <v>1027</v>
      </c>
    </row>
    <row r="30" spans="1:20">
      <c r="K30" s="1614" t="s">
        <v>1173</v>
      </c>
    </row>
    <row r="32" spans="1:20">
      <c r="J32" s="59"/>
      <c r="K32" s="59"/>
      <c r="L32" s="59"/>
      <c r="M32" s="59"/>
      <c r="N32" s="59"/>
      <c r="O32" s="59"/>
      <c r="P32" s="59"/>
      <c r="Q32" s="59"/>
      <c r="R32" s="59"/>
      <c r="S32" s="59"/>
      <c r="T32" s="59"/>
    </row>
  </sheetData>
  <mergeCells count="2">
    <mergeCell ref="B19:B20"/>
    <mergeCell ref="B4:B13"/>
  </mergeCells>
  <hyperlinks>
    <hyperlink ref="B25" r:id="rId1"/>
  </hyperlinks>
  <pageMargins left="0.70866141732283472" right="0.70866141732283472" top="0.74803149606299213" bottom="0.74803149606299213" header="0.31496062992125984" footer="0.31496062992125984"/>
  <pageSetup scale="43" orientation="landscape" verticalDpi="597"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B68"/>
  <sheetViews>
    <sheetView zoomScale="80" zoomScaleNormal="80" workbookViewId="0">
      <selection activeCell="G16" sqref="G16"/>
    </sheetView>
  </sheetViews>
  <sheetFormatPr baseColWidth="10" defaultColWidth="12.28515625" defaultRowHeight="13.15" customHeight="1"/>
  <cols>
    <col min="1" max="1" width="5.28515625" style="2582" customWidth="1"/>
    <col min="2" max="3" width="25.28515625" style="42" customWidth="1"/>
    <col min="4" max="4" width="11.28515625" style="159" hidden="1" customWidth="1"/>
    <col min="5" max="9" width="11.28515625" style="66" hidden="1" customWidth="1"/>
    <col min="10" max="10" width="11.28515625" style="66" customWidth="1"/>
    <col min="11" max="14" width="11.28515625" style="724" customWidth="1"/>
    <col min="15" max="15" width="11.28515625" style="724" hidden="1" customWidth="1"/>
    <col min="16" max="16" width="9.85546875" style="42" customWidth="1"/>
    <col min="17" max="17" width="56.140625" style="722" customWidth="1"/>
    <col min="18" max="21" width="12.28515625" style="722" bestFit="1" customWidth="1"/>
    <col min="22" max="28" width="12.28515625" style="722"/>
    <col min="29" max="16384" width="12.28515625" style="42"/>
  </cols>
  <sheetData>
    <row r="1" spans="1:28" s="1642" customFormat="1" ht="21">
      <c r="B1" s="2656" t="s">
        <v>1185</v>
      </c>
      <c r="I1" s="779"/>
      <c r="J1" s="779"/>
    </row>
    <row r="2" spans="1:28" s="2582" customFormat="1" ht="13.15" customHeight="1">
      <c r="D2" s="159"/>
      <c r="E2" s="66"/>
      <c r="F2" s="66"/>
      <c r="G2" s="66"/>
      <c r="H2" s="66"/>
      <c r="I2" s="66"/>
      <c r="J2" s="66"/>
      <c r="K2" s="724"/>
      <c r="L2" s="724"/>
      <c r="M2" s="724"/>
      <c r="N2" s="724"/>
      <c r="O2" s="724"/>
      <c r="Q2" s="722"/>
      <c r="R2" s="722"/>
      <c r="S2" s="722"/>
      <c r="T2" s="722"/>
      <c r="U2" s="722"/>
      <c r="V2" s="722"/>
      <c r="W2" s="722"/>
      <c r="X2" s="722"/>
      <c r="Y2" s="722"/>
      <c r="Z2" s="722"/>
      <c r="AA2" s="722"/>
      <c r="AB2" s="722"/>
    </row>
    <row r="3" spans="1:28" s="148" customFormat="1" ht="13.15" customHeight="1">
      <c r="A3" s="2583"/>
      <c r="D3" s="149"/>
      <c r="E3" s="150"/>
      <c r="F3" s="150"/>
      <c r="G3" s="150"/>
      <c r="H3" s="150"/>
      <c r="I3" s="151"/>
      <c r="J3" s="151"/>
      <c r="K3" s="752" t="s">
        <v>674</v>
      </c>
      <c r="L3" s="752" t="s">
        <v>677</v>
      </c>
      <c r="M3" s="752" t="s">
        <v>933</v>
      </c>
      <c r="N3" s="752" t="s">
        <v>1172</v>
      </c>
      <c r="O3" s="752"/>
      <c r="Q3" s="720"/>
      <c r="R3" s="720"/>
      <c r="S3" s="720"/>
      <c r="T3" s="720"/>
      <c r="U3" s="720"/>
      <c r="V3" s="720"/>
      <c r="W3" s="720"/>
      <c r="X3" s="720"/>
      <c r="Y3" s="720"/>
      <c r="Z3" s="720"/>
      <c r="AA3" s="720"/>
      <c r="AB3" s="720"/>
    </row>
    <row r="4" spans="1:28" s="160" customFormat="1" ht="13.15" customHeight="1">
      <c r="B4" s="160" t="s">
        <v>328</v>
      </c>
      <c r="C4" s="152" t="s">
        <v>330</v>
      </c>
      <c r="D4" s="153" t="s">
        <v>331</v>
      </c>
      <c r="E4" s="154" t="s">
        <v>332</v>
      </c>
      <c r="F4" s="154" t="s">
        <v>333</v>
      </c>
      <c r="G4" s="154" t="s">
        <v>334</v>
      </c>
      <c r="H4" s="154" t="s">
        <v>335</v>
      </c>
      <c r="I4" s="154" t="s">
        <v>336</v>
      </c>
      <c r="J4" s="154" t="s">
        <v>337</v>
      </c>
      <c r="K4" s="753" t="s">
        <v>656</v>
      </c>
      <c r="L4" s="754" t="s">
        <v>657</v>
      </c>
      <c r="M4" s="1595" t="s">
        <v>947</v>
      </c>
      <c r="N4" s="2625" t="s">
        <v>1169</v>
      </c>
      <c r="O4" s="2625" t="s">
        <v>1170</v>
      </c>
      <c r="Q4" s="721"/>
      <c r="R4" s="721"/>
      <c r="S4" s="721"/>
      <c r="T4" s="721"/>
      <c r="U4" s="721"/>
      <c r="V4" s="721"/>
      <c r="W4" s="721"/>
      <c r="X4" s="721"/>
      <c r="Y4" s="721"/>
      <c r="Z4" s="721"/>
      <c r="AA4" s="721"/>
      <c r="AB4" s="721"/>
    </row>
    <row r="5" spans="1:28" ht="13.15" customHeight="1">
      <c r="B5" s="161" t="s">
        <v>948</v>
      </c>
      <c r="C5" s="155" t="s">
        <v>320</v>
      </c>
      <c r="D5" s="156">
        <v>111</v>
      </c>
      <c r="E5" s="157">
        <v>131</v>
      </c>
      <c r="F5" s="157">
        <v>131</v>
      </c>
      <c r="G5" s="157">
        <v>148</v>
      </c>
      <c r="H5" s="157">
        <v>165</v>
      </c>
      <c r="I5" s="2586">
        <v>187</v>
      </c>
      <c r="J5" s="2586">
        <v>212</v>
      </c>
      <c r="K5" s="755">
        <v>259</v>
      </c>
      <c r="L5" s="564">
        <v>246</v>
      </c>
      <c r="M5" s="564">
        <v>299</v>
      </c>
      <c r="N5" s="2618">
        <v>309</v>
      </c>
      <c r="O5" s="2626"/>
    </row>
    <row r="6" spans="1:28" ht="13.15" customHeight="1">
      <c r="B6" s="161" t="s">
        <v>948</v>
      </c>
      <c r="C6" s="155" t="s">
        <v>321</v>
      </c>
      <c r="D6" s="156">
        <v>127</v>
      </c>
      <c r="E6" s="157">
        <v>133</v>
      </c>
      <c r="F6" s="157">
        <v>103</v>
      </c>
      <c r="G6" s="157">
        <v>103</v>
      </c>
      <c r="H6" s="157">
        <v>103</v>
      </c>
      <c r="I6" s="2586">
        <v>115</v>
      </c>
      <c r="J6" s="2586">
        <v>114</v>
      </c>
      <c r="K6" s="751">
        <v>105</v>
      </c>
      <c r="L6" s="564">
        <v>100</v>
      </c>
      <c r="M6" s="564">
        <v>105</v>
      </c>
      <c r="N6" s="2618">
        <v>65</v>
      </c>
      <c r="O6" s="2626"/>
      <c r="Q6" s="564" t="s">
        <v>330</v>
      </c>
      <c r="R6" s="564" t="s">
        <v>680</v>
      </c>
    </row>
    <row r="7" spans="1:28" ht="13.15" customHeight="1">
      <c r="B7" s="161" t="s">
        <v>948</v>
      </c>
      <c r="C7" s="155" t="s">
        <v>322</v>
      </c>
      <c r="D7" s="156">
        <v>36</v>
      </c>
      <c r="E7" s="157">
        <v>48</v>
      </c>
      <c r="F7" s="157">
        <v>42</v>
      </c>
      <c r="G7" s="157">
        <v>47</v>
      </c>
      <c r="H7" s="157">
        <v>54</v>
      </c>
      <c r="I7" s="2586">
        <v>63</v>
      </c>
      <c r="J7" s="2586">
        <v>72</v>
      </c>
      <c r="K7" s="751">
        <v>72</v>
      </c>
      <c r="L7" s="564">
        <v>73</v>
      </c>
      <c r="M7" s="564">
        <v>81</v>
      </c>
      <c r="N7" s="2618">
        <v>59</v>
      </c>
      <c r="O7" s="2626"/>
    </row>
    <row r="8" spans="1:28" ht="13.15" customHeight="1">
      <c r="B8" s="161" t="s">
        <v>948</v>
      </c>
      <c r="C8" s="155" t="s">
        <v>323</v>
      </c>
      <c r="D8" s="156">
        <v>182</v>
      </c>
      <c r="E8" s="157">
        <v>210</v>
      </c>
      <c r="F8" s="157">
        <v>188</v>
      </c>
      <c r="G8" s="157">
        <v>215</v>
      </c>
      <c r="H8" s="157">
        <v>242</v>
      </c>
      <c r="I8" s="158">
        <v>266</v>
      </c>
      <c r="J8" s="158">
        <v>281</v>
      </c>
      <c r="K8" s="751">
        <v>286</v>
      </c>
      <c r="L8" s="564">
        <v>241</v>
      </c>
      <c r="M8" s="564">
        <v>254</v>
      </c>
      <c r="N8" s="2618">
        <v>211</v>
      </c>
      <c r="O8" s="2626"/>
      <c r="Q8" s="564" t="s">
        <v>328</v>
      </c>
      <c r="R8" s="564" t="s">
        <v>678</v>
      </c>
      <c r="S8" s="564" t="s">
        <v>679</v>
      </c>
      <c r="T8" s="564" t="s">
        <v>937</v>
      </c>
      <c r="U8" s="564" t="s">
        <v>1171</v>
      </c>
      <c r="V8" s="723"/>
      <c r="W8" s="723"/>
      <c r="X8" s="723"/>
      <c r="Y8" s="723"/>
      <c r="Z8" s="723"/>
    </row>
    <row r="9" spans="1:28" ht="13.15" customHeight="1">
      <c r="B9" s="2611" t="s">
        <v>339</v>
      </c>
      <c r="C9" s="2612" t="s">
        <v>299</v>
      </c>
      <c r="D9" s="2613">
        <v>91</v>
      </c>
      <c r="E9" s="2614">
        <v>112</v>
      </c>
      <c r="F9" s="2614">
        <v>83</v>
      </c>
      <c r="G9" s="2614">
        <v>111</v>
      </c>
      <c r="H9" s="2614">
        <v>159</v>
      </c>
      <c r="I9" s="2615">
        <v>255</v>
      </c>
      <c r="J9" s="2615">
        <v>279</v>
      </c>
      <c r="K9" s="2616">
        <v>291</v>
      </c>
      <c r="L9" s="2615">
        <v>273</v>
      </c>
      <c r="M9" s="2615">
        <v>279</v>
      </c>
      <c r="N9" s="2619">
        <v>168</v>
      </c>
      <c r="O9" s="2627"/>
      <c r="Q9" s="564" t="s">
        <v>303</v>
      </c>
      <c r="R9" s="733">
        <v>713</v>
      </c>
      <c r="S9" s="733">
        <v>721</v>
      </c>
      <c r="T9" s="1597">
        <v>653</v>
      </c>
      <c r="U9" s="1597">
        <v>684</v>
      </c>
      <c r="V9" s="723"/>
      <c r="W9" s="723"/>
      <c r="X9" s="723"/>
      <c r="Y9" s="723"/>
      <c r="Z9" s="723"/>
    </row>
    <row r="10" spans="1:28" ht="13.15" customHeight="1">
      <c r="B10" s="2611" t="s">
        <v>339</v>
      </c>
      <c r="C10" s="2612" t="s">
        <v>300</v>
      </c>
      <c r="D10" s="2613">
        <v>125</v>
      </c>
      <c r="E10" s="2614">
        <v>145</v>
      </c>
      <c r="F10" s="2614">
        <v>183</v>
      </c>
      <c r="G10" s="2614">
        <v>130</v>
      </c>
      <c r="H10" s="2614">
        <v>188</v>
      </c>
      <c r="I10" s="2615">
        <v>286</v>
      </c>
      <c r="J10" s="2615">
        <v>320</v>
      </c>
      <c r="K10" s="2616">
        <v>355</v>
      </c>
      <c r="L10" s="2615">
        <v>357</v>
      </c>
      <c r="M10" s="2615">
        <v>364</v>
      </c>
      <c r="N10" s="2620">
        <v>319</v>
      </c>
      <c r="O10" s="2627"/>
      <c r="Q10" s="564" t="s">
        <v>291</v>
      </c>
      <c r="R10" s="733">
        <v>189</v>
      </c>
      <c r="S10" s="733">
        <v>184</v>
      </c>
      <c r="T10" s="1597">
        <v>197</v>
      </c>
      <c r="U10" s="1597">
        <v>174</v>
      </c>
      <c r="V10" s="723"/>
      <c r="W10" s="723"/>
      <c r="X10" s="723"/>
      <c r="Y10" s="723"/>
      <c r="Z10" s="723"/>
    </row>
    <row r="11" spans="1:28" ht="13.15" customHeight="1">
      <c r="B11" s="2611" t="s">
        <v>339</v>
      </c>
      <c r="C11" s="2612" t="s">
        <v>301</v>
      </c>
      <c r="D11" s="2613">
        <v>123</v>
      </c>
      <c r="E11" s="2614">
        <v>170</v>
      </c>
      <c r="F11" s="2614">
        <v>119</v>
      </c>
      <c r="G11" s="2614">
        <v>270</v>
      </c>
      <c r="H11" s="2614">
        <v>352</v>
      </c>
      <c r="I11" s="2615">
        <v>476</v>
      </c>
      <c r="J11" s="2615">
        <v>568</v>
      </c>
      <c r="K11" s="2616">
        <v>578</v>
      </c>
      <c r="L11" s="2615">
        <v>567</v>
      </c>
      <c r="M11" s="2615">
        <v>580</v>
      </c>
      <c r="N11" s="2620">
        <v>404</v>
      </c>
      <c r="O11" s="2627"/>
      <c r="Q11" s="564" t="s">
        <v>292</v>
      </c>
      <c r="R11" s="733">
        <v>102</v>
      </c>
      <c r="S11" s="733">
        <v>110</v>
      </c>
      <c r="T11" s="1597">
        <v>125</v>
      </c>
      <c r="U11" s="1597">
        <v>93</v>
      </c>
      <c r="V11" s="723"/>
      <c r="W11" s="723"/>
      <c r="X11" s="723"/>
      <c r="Y11" s="723"/>
      <c r="Z11" s="723"/>
    </row>
    <row r="12" spans="1:28" ht="13.15" customHeight="1">
      <c r="B12" s="2611" t="s">
        <v>339</v>
      </c>
      <c r="C12" s="2612" t="s">
        <v>302</v>
      </c>
      <c r="D12" s="2613">
        <v>1096</v>
      </c>
      <c r="E12" s="2613">
        <v>1328</v>
      </c>
      <c r="F12" s="2613">
        <v>1191</v>
      </c>
      <c r="G12" s="2613">
        <v>1241</v>
      </c>
      <c r="H12" s="2613">
        <v>1546</v>
      </c>
      <c r="I12" s="2615">
        <v>2004</v>
      </c>
      <c r="J12" s="2615">
        <v>2149</v>
      </c>
      <c r="K12" s="2616">
        <v>2262</v>
      </c>
      <c r="L12" s="2615">
        <v>2237</v>
      </c>
      <c r="M12" s="2615">
        <v>2294</v>
      </c>
      <c r="N12" s="2620">
        <v>1895</v>
      </c>
      <c r="O12" s="2627"/>
      <c r="Q12" s="564" t="s">
        <v>339</v>
      </c>
      <c r="R12" s="733">
        <v>3486</v>
      </c>
      <c r="S12" s="733">
        <v>3434</v>
      </c>
      <c r="T12" s="1597">
        <v>3517</v>
      </c>
      <c r="U12" s="1597">
        <v>2786</v>
      </c>
      <c r="V12" s="723"/>
      <c r="W12" s="723"/>
      <c r="X12" s="723"/>
      <c r="Y12" s="723"/>
      <c r="Z12" s="723"/>
    </row>
    <row r="13" spans="1:28" s="722" customFormat="1" ht="13.15" customHeight="1">
      <c r="B13" s="748" t="s">
        <v>303</v>
      </c>
      <c r="C13" s="749" t="s">
        <v>216</v>
      </c>
      <c r="D13" s="750">
        <v>3</v>
      </c>
      <c r="E13" s="733">
        <v>4</v>
      </c>
      <c r="F13" s="733">
        <v>3</v>
      </c>
      <c r="G13" s="733">
        <v>4</v>
      </c>
      <c r="H13" s="733">
        <v>3</v>
      </c>
      <c r="I13" s="564">
        <v>2</v>
      </c>
      <c r="J13" s="564">
        <v>2</v>
      </c>
      <c r="K13" s="751">
        <v>1</v>
      </c>
      <c r="L13" s="564">
        <v>1</v>
      </c>
      <c r="M13" s="564">
        <v>0</v>
      </c>
      <c r="N13" s="2618"/>
      <c r="O13" s="2626"/>
      <c r="Q13" s="564" t="s">
        <v>948</v>
      </c>
      <c r="R13" s="733">
        <v>722</v>
      </c>
      <c r="S13" s="733">
        <v>660</v>
      </c>
      <c r="T13" s="1597">
        <v>739</v>
      </c>
      <c r="U13" s="1597">
        <v>644</v>
      </c>
      <c r="V13" s="723"/>
      <c r="W13" s="723"/>
      <c r="X13" s="723"/>
      <c r="Y13" s="723"/>
      <c r="Z13" s="723"/>
    </row>
    <row r="14" spans="1:28" s="722" customFormat="1" ht="13.15" customHeight="1">
      <c r="B14" s="748" t="s">
        <v>303</v>
      </c>
      <c r="C14" s="749" t="s">
        <v>295</v>
      </c>
      <c r="D14" s="750">
        <v>8</v>
      </c>
      <c r="E14" s="733">
        <v>10</v>
      </c>
      <c r="F14" s="733">
        <v>10</v>
      </c>
      <c r="G14" s="733">
        <v>7</v>
      </c>
      <c r="H14" s="733">
        <v>5</v>
      </c>
      <c r="I14" s="564">
        <v>6</v>
      </c>
      <c r="J14" s="564">
        <v>6</v>
      </c>
      <c r="K14" s="751">
        <v>6</v>
      </c>
      <c r="L14" s="564">
        <v>6</v>
      </c>
      <c r="M14" s="564">
        <v>1</v>
      </c>
      <c r="N14" s="2618"/>
      <c r="O14" s="2626"/>
      <c r="Q14" s="564" t="s">
        <v>55</v>
      </c>
      <c r="R14" s="733">
        <v>5212</v>
      </c>
      <c r="S14" s="733">
        <v>5109</v>
      </c>
      <c r="T14" s="1597">
        <v>5231</v>
      </c>
      <c r="U14" s="1597">
        <v>4381</v>
      </c>
      <c r="V14" s="723"/>
      <c r="W14" s="723"/>
      <c r="X14" s="723"/>
      <c r="Y14" s="723"/>
      <c r="Z14" s="723"/>
    </row>
    <row r="15" spans="1:28" s="722" customFormat="1" ht="13.15" customHeight="1">
      <c r="B15" s="748" t="s">
        <v>303</v>
      </c>
      <c r="C15" s="749" t="s">
        <v>304</v>
      </c>
      <c r="D15" s="750">
        <v>1</v>
      </c>
      <c r="E15" s="733">
        <v>1</v>
      </c>
      <c r="F15" s="733">
        <v>2</v>
      </c>
      <c r="G15" s="733">
        <v>1</v>
      </c>
      <c r="H15" s="733">
        <v>2</v>
      </c>
      <c r="I15" s="564">
        <v>4</v>
      </c>
      <c r="J15" s="564">
        <v>4</v>
      </c>
      <c r="K15" s="751">
        <v>3</v>
      </c>
      <c r="L15" s="564">
        <v>2</v>
      </c>
      <c r="M15" s="564">
        <v>0</v>
      </c>
      <c r="N15" s="2618"/>
      <c r="O15" s="2626"/>
      <c r="Q15" s="1614"/>
      <c r="R15" s="732"/>
      <c r="S15" s="732"/>
      <c r="T15" s="732"/>
      <c r="U15" s="732"/>
      <c r="V15" s="723"/>
      <c r="W15" s="723"/>
      <c r="X15" s="723"/>
      <c r="Y15" s="723"/>
      <c r="Z15" s="723"/>
    </row>
    <row r="16" spans="1:28" s="722" customFormat="1" ht="13.15" customHeight="1">
      <c r="B16" s="748" t="s">
        <v>303</v>
      </c>
      <c r="C16" s="749" t="s">
        <v>305</v>
      </c>
      <c r="D16" s="750">
        <v>214</v>
      </c>
      <c r="E16" s="733">
        <v>234</v>
      </c>
      <c r="F16" s="733">
        <v>232</v>
      </c>
      <c r="G16" s="733">
        <v>243</v>
      </c>
      <c r="H16" s="733">
        <v>267</v>
      </c>
      <c r="I16" s="564">
        <v>293</v>
      </c>
      <c r="J16" s="564">
        <v>324</v>
      </c>
      <c r="K16" s="751">
        <f>239+168</f>
        <v>407</v>
      </c>
      <c r="L16" s="564">
        <f>323+127</f>
        <v>450</v>
      </c>
      <c r="M16" s="564">
        <v>474</v>
      </c>
      <c r="N16" s="2618">
        <v>504</v>
      </c>
      <c r="O16" s="2626"/>
      <c r="Q16" s="732"/>
      <c r="R16" s="732"/>
      <c r="S16" s="732"/>
      <c r="T16" s="732"/>
      <c r="U16" s="732"/>
      <c r="V16" s="723"/>
      <c r="W16" s="723"/>
      <c r="X16" s="723"/>
      <c r="Y16" s="723"/>
      <c r="Z16" s="723"/>
    </row>
    <row r="17" spans="2:28" s="722" customFormat="1" ht="13.15" customHeight="1">
      <c r="B17" s="748" t="s">
        <v>303</v>
      </c>
      <c r="C17" s="749" t="s">
        <v>306</v>
      </c>
      <c r="D17" s="750">
        <v>14</v>
      </c>
      <c r="E17" s="733">
        <v>18</v>
      </c>
      <c r="F17" s="733">
        <v>14</v>
      </c>
      <c r="G17" s="733">
        <v>14</v>
      </c>
      <c r="H17" s="733">
        <v>14</v>
      </c>
      <c r="I17" s="564">
        <v>15</v>
      </c>
      <c r="J17" s="564">
        <v>21</v>
      </c>
      <c r="K17" s="751">
        <v>28</v>
      </c>
      <c r="L17" s="564">
        <v>32</v>
      </c>
      <c r="M17" s="564">
        <v>25</v>
      </c>
      <c r="N17" s="2618">
        <v>27</v>
      </c>
      <c r="O17" s="2626"/>
      <c r="Q17" s="732"/>
      <c r="R17" s="732"/>
      <c r="S17" s="732"/>
      <c r="T17" s="732"/>
      <c r="U17" s="732"/>
    </row>
    <row r="18" spans="2:28" s="722" customFormat="1" ht="13.15" customHeight="1">
      <c r="B18" s="748" t="s">
        <v>303</v>
      </c>
      <c r="C18" s="749" t="s">
        <v>307</v>
      </c>
      <c r="D18" s="750">
        <v>76</v>
      </c>
      <c r="E18" s="733">
        <v>79</v>
      </c>
      <c r="F18" s="733">
        <v>77</v>
      </c>
      <c r="G18" s="733">
        <v>80</v>
      </c>
      <c r="H18" s="733">
        <v>74</v>
      </c>
      <c r="I18" s="564">
        <v>86</v>
      </c>
      <c r="J18" s="564">
        <v>88</v>
      </c>
      <c r="K18" s="751">
        <f>66+3+23</f>
        <v>92</v>
      </c>
      <c r="L18" s="564">
        <f>84+2+18</f>
        <v>104</v>
      </c>
      <c r="M18" s="564">
        <v>123</v>
      </c>
      <c r="N18" s="2618">
        <v>132</v>
      </c>
      <c r="O18" s="2626"/>
      <c r="Q18" s="732"/>
      <c r="R18" s="732"/>
      <c r="S18" s="732"/>
      <c r="T18" s="732"/>
      <c r="U18" s="732"/>
    </row>
    <row r="19" spans="2:28" s="722" customFormat="1" ht="13.15" customHeight="1">
      <c r="B19" s="748" t="s">
        <v>303</v>
      </c>
      <c r="C19" s="749" t="s">
        <v>308</v>
      </c>
      <c r="D19" s="750">
        <v>24</v>
      </c>
      <c r="E19" s="733">
        <v>31</v>
      </c>
      <c r="F19" s="733">
        <v>34</v>
      </c>
      <c r="G19" s="733">
        <v>33</v>
      </c>
      <c r="H19" s="733">
        <v>35</v>
      </c>
      <c r="I19" s="564">
        <v>38</v>
      </c>
      <c r="J19" s="564">
        <v>40</v>
      </c>
      <c r="K19" s="751">
        <v>41</v>
      </c>
      <c r="L19" s="564">
        <v>37</v>
      </c>
      <c r="M19" s="564">
        <v>0</v>
      </c>
      <c r="N19" s="2618"/>
      <c r="O19" s="2626"/>
      <c r="Q19" s="732"/>
      <c r="R19" s="732"/>
      <c r="S19" s="732"/>
      <c r="T19" s="732"/>
      <c r="U19" s="732"/>
    </row>
    <row r="20" spans="2:28" s="722" customFormat="1" ht="13.15" customHeight="1">
      <c r="B20" s="748" t="s">
        <v>303</v>
      </c>
      <c r="C20" s="749" t="s">
        <v>309</v>
      </c>
      <c r="D20" s="750">
        <v>86</v>
      </c>
      <c r="E20" s="733">
        <v>99</v>
      </c>
      <c r="F20" s="733">
        <v>90</v>
      </c>
      <c r="G20" s="733">
        <v>93</v>
      </c>
      <c r="H20" s="733">
        <v>96</v>
      </c>
      <c r="I20" s="564">
        <v>141</v>
      </c>
      <c r="J20" s="564">
        <v>157</v>
      </c>
      <c r="K20" s="751">
        <v>134</v>
      </c>
      <c r="L20" s="564">
        <v>88</v>
      </c>
      <c r="M20" s="564">
        <v>12</v>
      </c>
      <c r="N20" s="2618">
        <v>2</v>
      </c>
      <c r="O20" s="2626"/>
      <c r="Q20" s="732"/>
      <c r="R20" s="732"/>
      <c r="V20" s="3968"/>
      <c r="W20" s="3968"/>
      <c r="X20" s="3968"/>
      <c r="Y20" s="3968"/>
      <c r="Z20" s="3968"/>
      <c r="AA20" s="3968"/>
      <c r="AB20" s="3968"/>
    </row>
    <row r="21" spans="2:28" s="722" customFormat="1" ht="13.15" customHeight="1">
      <c r="B21" s="748" t="s">
        <v>303</v>
      </c>
      <c r="C21" s="749" t="s">
        <v>297</v>
      </c>
      <c r="D21" s="750"/>
      <c r="E21" s="733"/>
      <c r="F21" s="733"/>
      <c r="G21" s="733"/>
      <c r="H21" s="733"/>
      <c r="I21" s="564"/>
      <c r="J21" s="564"/>
      <c r="K21" s="733">
        <v>1</v>
      </c>
      <c r="L21" s="733">
        <v>1</v>
      </c>
      <c r="M21" s="733">
        <v>0</v>
      </c>
      <c r="N21" s="2621"/>
      <c r="O21" s="2628"/>
      <c r="Q21" s="732"/>
      <c r="R21" s="732"/>
      <c r="S21" s="732"/>
      <c r="T21" s="732"/>
      <c r="U21" s="732"/>
    </row>
    <row r="22" spans="2:28" s="722" customFormat="1" ht="13.15" customHeight="1">
      <c r="B22" s="748" t="s">
        <v>303</v>
      </c>
      <c r="C22" s="749" t="s">
        <v>934</v>
      </c>
      <c r="D22" s="750"/>
      <c r="E22" s="733"/>
      <c r="F22" s="733"/>
      <c r="G22" s="733"/>
      <c r="H22" s="733"/>
      <c r="I22" s="564"/>
      <c r="J22" s="564">
        <v>0</v>
      </c>
      <c r="K22" s="733">
        <v>0</v>
      </c>
      <c r="L22" s="733">
        <v>0</v>
      </c>
      <c r="M22" s="733">
        <v>7</v>
      </c>
      <c r="N22" s="2621">
        <v>6</v>
      </c>
      <c r="O22" s="2628"/>
      <c r="Q22" s="732"/>
      <c r="R22" s="732"/>
      <c r="S22" s="732"/>
      <c r="T22" s="732"/>
      <c r="U22" s="732"/>
    </row>
    <row r="23" spans="2:28" s="722" customFormat="1" ht="13.15" customHeight="1">
      <c r="B23" s="748" t="s">
        <v>303</v>
      </c>
      <c r="C23" s="749" t="s">
        <v>935</v>
      </c>
      <c r="D23" s="750"/>
      <c r="E23" s="733"/>
      <c r="F23" s="733"/>
      <c r="G23" s="733"/>
      <c r="H23" s="733"/>
      <c r="I23" s="564"/>
      <c r="J23" s="564">
        <v>0</v>
      </c>
      <c r="K23" s="733">
        <v>0</v>
      </c>
      <c r="L23" s="733">
        <v>0</v>
      </c>
      <c r="M23" s="733">
        <v>3</v>
      </c>
      <c r="N23" s="2621">
        <v>6</v>
      </c>
      <c r="O23" s="2628"/>
      <c r="Q23" s="732"/>
      <c r="R23" s="732"/>
      <c r="S23" s="732"/>
      <c r="T23" s="732"/>
      <c r="U23" s="732"/>
    </row>
    <row r="24" spans="2:28" s="722" customFormat="1" ht="13.15" customHeight="1">
      <c r="B24" s="748" t="s">
        <v>303</v>
      </c>
      <c r="C24" s="749" t="s">
        <v>441</v>
      </c>
      <c r="D24" s="750"/>
      <c r="E24" s="733"/>
      <c r="F24" s="733"/>
      <c r="G24" s="733"/>
      <c r="H24" s="733"/>
      <c r="I24" s="564"/>
      <c r="J24" s="564">
        <v>0</v>
      </c>
      <c r="K24" s="733">
        <v>0</v>
      </c>
      <c r="L24" s="733">
        <v>0</v>
      </c>
      <c r="M24" s="733">
        <v>6</v>
      </c>
      <c r="N24" s="2621">
        <v>4</v>
      </c>
      <c r="O24" s="2628"/>
      <c r="Q24" s="732"/>
      <c r="R24" s="732"/>
      <c r="S24" s="732"/>
      <c r="T24" s="732"/>
      <c r="U24" s="732"/>
    </row>
    <row r="25" spans="2:28" s="722" customFormat="1" ht="13.15" customHeight="1">
      <c r="B25" s="748" t="s">
        <v>303</v>
      </c>
      <c r="C25" s="749" t="s">
        <v>936</v>
      </c>
      <c r="D25" s="750"/>
      <c r="E25" s="733"/>
      <c r="F25" s="733"/>
      <c r="G25" s="733"/>
      <c r="H25" s="733"/>
      <c r="I25" s="564"/>
      <c r="J25" s="564">
        <v>0</v>
      </c>
      <c r="K25" s="733">
        <v>0</v>
      </c>
      <c r="L25" s="733">
        <v>0</v>
      </c>
      <c r="M25" s="733">
        <v>2</v>
      </c>
      <c r="N25" s="2621">
        <v>3</v>
      </c>
      <c r="O25" s="2628"/>
      <c r="Q25" s="732"/>
      <c r="R25" s="732"/>
      <c r="S25" s="732"/>
      <c r="T25" s="732"/>
      <c r="U25" s="732"/>
    </row>
    <row r="26" spans="2:28" ht="13.15" customHeight="1">
      <c r="B26" s="2617" t="s">
        <v>290</v>
      </c>
      <c r="C26" s="2612" t="s">
        <v>326</v>
      </c>
      <c r="D26" s="2613">
        <v>8</v>
      </c>
      <c r="E26" s="2614">
        <v>9</v>
      </c>
      <c r="F26" s="2614">
        <v>7</v>
      </c>
      <c r="G26" s="2614">
        <v>6</v>
      </c>
      <c r="H26" s="2614">
        <v>7</v>
      </c>
      <c r="I26" s="2615">
        <v>0</v>
      </c>
      <c r="J26" s="2615">
        <v>0</v>
      </c>
      <c r="K26" s="2616">
        <v>0</v>
      </c>
      <c r="L26" s="2615">
        <v>0</v>
      </c>
      <c r="M26" s="2615">
        <v>0</v>
      </c>
      <c r="N26" s="2622"/>
      <c r="O26" s="2629"/>
      <c r="Q26" s="732"/>
      <c r="R26" s="732"/>
      <c r="S26" s="732"/>
      <c r="T26" s="732"/>
      <c r="U26" s="732"/>
    </row>
    <row r="27" spans="2:28" ht="13.15" customHeight="1">
      <c r="B27" s="2617" t="s">
        <v>290</v>
      </c>
      <c r="C27" s="2612" t="s">
        <v>327</v>
      </c>
      <c r="D27" s="2613">
        <v>5</v>
      </c>
      <c r="E27" s="2614">
        <v>3</v>
      </c>
      <c r="F27" s="2614">
        <v>4</v>
      </c>
      <c r="G27" s="2614">
        <v>4</v>
      </c>
      <c r="H27" s="2614">
        <v>4</v>
      </c>
      <c r="I27" s="2615">
        <v>0</v>
      </c>
      <c r="J27" s="2613">
        <v>0</v>
      </c>
      <c r="K27" s="2616">
        <v>0</v>
      </c>
      <c r="L27" s="2613">
        <v>0</v>
      </c>
      <c r="M27" s="2613">
        <v>0</v>
      </c>
      <c r="N27" s="2623"/>
      <c r="O27" s="2630"/>
      <c r="Q27" s="564" t="s">
        <v>328</v>
      </c>
      <c r="R27" s="564" t="s">
        <v>303</v>
      </c>
      <c r="S27" s="732"/>
      <c r="T27" s="732"/>
      <c r="U27" s="732"/>
    </row>
    <row r="28" spans="2:28" ht="13.15" customHeight="1">
      <c r="B28" s="161" t="s">
        <v>291</v>
      </c>
      <c r="C28" s="155" t="s">
        <v>310</v>
      </c>
      <c r="D28" s="156">
        <v>2</v>
      </c>
      <c r="E28" s="157">
        <v>2</v>
      </c>
      <c r="F28" s="157">
        <v>2</v>
      </c>
      <c r="G28" s="157">
        <v>2</v>
      </c>
      <c r="H28" s="157">
        <v>2</v>
      </c>
      <c r="I28" s="158">
        <v>3</v>
      </c>
      <c r="J28" s="158">
        <v>2</v>
      </c>
      <c r="K28" s="751">
        <v>2</v>
      </c>
      <c r="L28" s="564">
        <v>2</v>
      </c>
      <c r="M28" s="564">
        <v>2</v>
      </c>
      <c r="N28" s="2618">
        <v>1</v>
      </c>
      <c r="O28" s="2626"/>
      <c r="Q28" s="732"/>
      <c r="R28" s="732"/>
      <c r="S28" s="732"/>
      <c r="T28" s="732"/>
      <c r="U28" s="732"/>
    </row>
    <row r="29" spans="2:28" ht="13.15" customHeight="1">
      <c r="B29" s="161" t="s">
        <v>291</v>
      </c>
      <c r="C29" s="155" t="s">
        <v>311</v>
      </c>
      <c r="D29" s="156">
        <v>1</v>
      </c>
      <c r="E29" s="157">
        <v>1</v>
      </c>
      <c r="F29" s="157">
        <v>1</v>
      </c>
      <c r="G29" s="157">
        <v>1</v>
      </c>
      <c r="H29" s="157">
        <v>1</v>
      </c>
      <c r="I29" s="2586">
        <v>3</v>
      </c>
      <c r="J29" s="2586">
        <v>4</v>
      </c>
      <c r="K29" s="751">
        <v>4</v>
      </c>
      <c r="L29" s="564">
        <v>4</v>
      </c>
      <c r="M29" s="564">
        <v>6</v>
      </c>
      <c r="N29" s="2618">
        <v>5</v>
      </c>
      <c r="O29" s="2626"/>
      <c r="Q29" s="564" t="s">
        <v>330</v>
      </c>
      <c r="R29" s="564" t="s">
        <v>678</v>
      </c>
      <c r="S29" s="564" t="s">
        <v>679</v>
      </c>
      <c r="T29" s="564" t="s">
        <v>937</v>
      </c>
      <c r="U29" s="564" t="s">
        <v>1171</v>
      </c>
    </row>
    <row r="30" spans="2:28" ht="13.15" customHeight="1">
      <c r="B30" s="161" t="s">
        <v>291</v>
      </c>
      <c r="C30" s="155" t="s">
        <v>312</v>
      </c>
      <c r="D30" s="156">
        <v>1</v>
      </c>
      <c r="E30" s="157">
        <v>3</v>
      </c>
      <c r="F30" s="157">
        <v>3</v>
      </c>
      <c r="G30" s="157">
        <v>3</v>
      </c>
      <c r="H30" s="157">
        <v>0</v>
      </c>
      <c r="I30" s="158">
        <v>4</v>
      </c>
      <c r="J30" s="158">
        <v>5</v>
      </c>
      <c r="K30" s="751">
        <v>5</v>
      </c>
      <c r="L30" s="564">
        <v>5</v>
      </c>
      <c r="M30" s="564">
        <v>5</v>
      </c>
      <c r="N30" s="2618">
        <v>5</v>
      </c>
      <c r="O30" s="2626"/>
      <c r="Q30" s="564" t="s">
        <v>216</v>
      </c>
      <c r="R30" s="1598">
        <v>1</v>
      </c>
      <c r="S30" s="1598">
        <v>1</v>
      </c>
      <c r="T30" s="1598">
        <v>0</v>
      </c>
      <c r="U30" s="1598"/>
    </row>
    <row r="31" spans="2:28" ht="13.15" customHeight="1">
      <c r="B31" s="161" t="s">
        <v>291</v>
      </c>
      <c r="C31" s="155" t="s">
        <v>313</v>
      </c>
      <c r="D31" s="156">
        <v>30</v>
      </c>
      <c r="E31" s="157">
        <v>33</v>
      </c>
      <c r="F31" s="157">
        <v>26</v>
      </c>
      <c r="G31" s="157">
        <v>33</v>
      </c>
      <c r="H31" s="157">
        <v>44</v>
      </c>
      <c r="I31" s="158">
        <v>98</v>
      </c>
      <c r="J31" s="158">
        <v>116</v>
      </c>
      <c r="K31" s="751">
        <v>133</v>
      </c>
      <c r="L31" s="564">
        <v>130</v>
      </c>
      <c r="M31" s="564">
        <v>144</v>
      </c>
      <c r="N31" s="2618">
        <v>128</v>
      </c>
      <c r="O31" s="2626"/>
      <c r="Q31" s="564" t="s">
        <v>295</v>
      </c>
      <c r="R31" s="1598">
        <v>6</v>
      </c>
      <c r="S31" s="1598">
        <v>6</v>
      </c>
      <c r="T31" s="1598">
        <v>1</v>
      </c>
      <c r="U31" s="1598"/>
    </row>
    <row r="32" spans="2:28" ht="13.15" customHeight="1">
      <c r="B32" s="161" t="s">
        <v>291</v>
      </c>
      <c r="C32" s="155" t="s">
        <v>314</v>
      </c>
      <c r="D32" s="156">
        <v>0</v>
      </c>
      <c r="E32" s="157">
        <v>0</v>
      </c>
      <c r="F32" s="157">
        <v>0</v>
      </c>
      <c r="G32" s="157">
        <v>0</v>
      </c>
      <c r="H32" s="157">
        <v>1</v>
      </c>
      <c r="I32" s="2586">
        <v>1</v>
      </c>
      <c r="J32" s="2586">
        <v>2</v>
      </c>
      <c r="K32" s="751">
        <v>2</v>
      </c>
      <c r="L32" s="564">
        <v>2</v>
      </c>
      <c r="M32" s="564">
        <v>2</v>
      </c>
      <c r="N32" s="2618">
        <v>1</v>
      </c>
      <c r="O32" s="2626"/>
      <c r="Q32" s="564" t="s">
        <v>304</v>
      </c>
      <c r="R32" s="1598">
        <v>3</v>
      </c>
      <c r="S32" s="1598">
        <v>2</v>
      </c>
      <c r="T32" s="1598">
        <v>0</v>
      </c>
      <c r="U32" s="1598"/>
    </row>
    <row r="33" spans="2:28" ht="13.15" customHeight="1">
      <c r="B33" s="161" t="s">
        <v>291</v>
      </c>
      <c r="C33" s="155" t="s">
        <v>315</v>
      </c>
      <c r="D33" s="156">
        <v>4</v>
      </c>
      <c r="E33" s="157">
        <v>5</v>
      </c>
      <c r="F33" s="157">
        <v>4</v>
      </c>
      <c r="G33" s="157">
        <v>4</v>
      </c>
      <c r="H33" s="157">
        <v>4</v>
      </c>
      <c r="I33" s="2586">
        <v>4</v>
      </c>
      <c r="J33" s="2586">
        <v>4</v>
      </c>
      <c r="K33" s="751">
        <v>4</v>
      </c>
      <c r="L33" s="564">
        <v>4</v>
      </c>
      <c r="M33" s="564">
        <v>4</v>
      </c>
      <c r="N33" s="2618">
        <v>2</v>
      </c>
      <c r="O33" s="2626"/>
      <c r="Q33" s="564" t="s">
        <v>305</v>
      </c>
      <c r="R33" s="1598">
        <v>407</v>
      </c>
      <c r="S33" s="1598">
        <v>450</v>
      </c>
      <c r="T33" s="1598">
        <v>474</v>
      </c>
      <c r="U33" s="1598">
        <v>504</v>
      </c>
    </row>
    <row r="34" spans="2:28" ht="13.15" customHeight="1">
      <c r="B34" s="161" t="s">
        <v>291</v>
      </c>
      <c r="C34" s="155" t="s">
        <v>316</v>
      </c>
      <c r="D34" s="156">
        <v>1</v>
      </c>
      <c r="E34" s="157">
        <v>1</v>
      </c>
      <c r="F34" s="157">
        <v>1</v>
      </c>
      <c r="G34" s="157">
        <v>1</v>
      </c>
      <c r="H34" s="157">
        <v>1</v>
      </c>
      <c r="I34" s="2586">
        <v>3</v>
      </c>
      <c r="J34" s="2586">
        <v>3</v>
      </c>
      <c r="K34" s="751">
        <v>2</v>
      </c>
      <c r="L34" s="564">
        <v>2</v>
      </c>
      <c r="M34" s="564">
        <v>1</v>
      </c>
      <c r="N34" s="2618">
        <v>1</v>
      </c>
      <c r="O34" s="2626"/>
      <c r="Q34" s="564" t="s">
        <v>306</v>
      </c>
      <c r="R34" s="1598">
        <v>28</v>
      </c>
      <c r="S34" s="1598">
        <v>32</v>
      </c>
      <c r="T34" s="1598">
        <v>25</v>
      </c>
      <c r="U34" s="1598">
        <v>27</v>
      </c>
    </row>
    <row r="35" spans="2:28" ht="13.15" customHeight="1">
      <c r="B35" s="161" t="s">
        <v>291</v>
      </c>
      <c r="C35" s="155" t="s">
        <v>317</v>
      </c>
      <c r="D35" s="156">
        <v>10</v>
      </c>
      <c r="E35" s="157">
        <v>11</v>
      </c>
      <c r="F35" s="157">
        <v>8</v>
      </c>
      <c r="G35" s="157">
        <v>6</v>
      </c>
      <c r="H35" s="157">
        <v>5</v>
      </c>
      <c r="I35" s="158">
        <v>3</v>
      </c>
      <c r="J35" s="158">
        <v>3</v>
      </c>
      <c r="K35" s="751">
        <v>3</v>
      </c>
      <c r="L35" s="564">
        <v>2</v>
      </c>
      <c r="M35" s="564">
        <v>1</v>
      </c>
      <c r="N35" s="2618">
        <v>1</v>
      </c>
      <c r="O35" s="2626"/>
      <c r="Q35" s="564" t="s">
        <v>307</v>
      </c>
      <c r="R35" s="1598">
        <v>92</v>
      </c>
      <c r="S35" s="1598">
        <v>104</v>
      </c>
      <c r="T35" s="1598">
        <v>123</v>
      </c>
      <c r="U35" s="1598">
        <v>132</v>
      </c>
    </row>
    <row r="36" spans="2:28" ht="13.15" customHeight="1">
      <c r="B36" s="161" t="s">
        <v>291</v>
      </c>
      <c r="C36" s="155" t="s">
        <v>318</v>
      </c>
      <c r="D36" s="156">
        <v>29</v>
      </c>
      <c r="E36" s="157">
        <v>33</v>
      </c>
      <c r="F36" s="157">
        <v>28</v>
      </c>
      <c r="G36" s="157">
        <v>33</v>
      </c>
      <c r="H36" s="157">
        <v>32</v>
      </c>
      <c r="I36" s="2586">
        <v>27</v>
      </c>
      <c r="J36" s="2586">
        <v>27</v>
      </c>
      <c r="K36" s="751">
        <v>28</v>
      </c>
      <c r="L36" s="564">
        <v>28</v>
      </c>
      <c r="M36" s="564">
        <v>27</v>
      </c>
      <c r="N36" s="2618">
        <v>27</v>
      </c>
      <c r="O36" s="2626"/>
      <c r="Q36" s="564" t="s">
        <v>308</v>
      </c>
      <c r="R36" s="1598">
        <v>41</v>
      </c>
      <c r="S36" s="1598">
        <v>37</v>
      </c>
      <c r="T36" s="1598">
        <v>0</v>
      </c>
      <c r="U36" s="1598"/>
    </row>
    <row r="37" spans="2:28" ht="13.15" customHeight="1">
      <c r="B37" s="161" t="s">
        <v>291</v>
      </c>
      <c r="C37" s="155" t="s">
        <v>319</v>
      </c>
      <c r="D37" s="156">
        <v>7</v>
      </c>
      <c r="E37" s="157">
        <v>12</v>
      </c>
      <c r="F37" s="157">
        <v>12</v>
      </c>
      <c r="G37" s="157">
        <v>13</v>
      </c>
      <c r="H37" s="157">
        <v>10</v>
      </c>
      <c r="I37" s="158">
        <v>5</v>
      </c>
      <c r="J37" s="158">
        <v>5</v>
      </c>
      <c r="K37" s="751">
        <v>6</v>
      </c>
      <c r="L37" s="564">
        <v>5</v>
      </c>
      <c r="M37" s="564">
        <v>5</v>
      </c>
      <c r="N37" s="2618">
        <v>3</v>
      </c>
      <c r="O37" s="2626"/>
      <c r="Q37" s="564" t="s">
        <v>309</v>
      </c>
      <c r="R37" s="1598">
        <v>134</v>
      </c>
      <c r="S37" s="1598">
        <v>88</v>
      </c>
      <c r="T37" s="1598">
        <v>12</v>
      </c>
      <c r="U37" s="1598">
        <v>2</v>
      </c>
    </row>
    <row r="38" spans="2:28" ht="13.15" customHeight="1">
      <c r="B38" s="2611" t="s">
        <v>292</v>
      </c>
      <c r="C38" s="2612" t="s">
        <v>324</v>
      </c>
      <c r="D38" s="2613">
        <v>19</v>
      </c>
      <c r="E38" s="2614">
        <v>19</v>
      </c>
      <c r="F38" s="2614">
        <v>13</v>
      </c>
      <c r="G38" s="2614">
        <v>14</v>
      </c>
      <c r="H38" s="2614">
        <v>21</v>
      </c>
      <c r="I38" s="2615">
        <v>23</v>
      </c>
      <c r="J38" s="2615">
        <v>22</v>
      </c>
      <c r="K38" s="2616">
        <v>23</v>
      </c>
      <c r="L38" s="2615">
        <v>23</v>
      </c>
      <c r="M38" s="2615">
        <v>29</v>
      </c>
      <c r="N38" s="2622">
        <f>'Transporte TUR'!F6</f>
        <v>14</v>
      </c>
      <c r="O38" s="2629"/>
      <c r="Q38" s="564" t="s">
        <v>297</v>
      </c>
      <c r="R38" s="1598">
        <v>1</v>
      </c>
      <c r="S38" s="1598">
        <v>1</v>
      </c>
      <c r="T38" s="1598">
        <v>0</v>
      </c>
      <c r="U38" s="1598"/>
    </row>
    <row r="39" spans="2:28" ht="13.15" customHeight="1">
      <c r="B39" s="2611" t="s">
        <v>292</v>
      </c>
      <c r="C39" s="2612" t="s">
        <v>325</v>
      </c>
      <c r="D39" s="2613">
        <v>29</v>
      </c>
      <c r="E39" s="2614">
        <v>30</v>
      </c>
      <c r="F39" s="2614">
        <v>26</v>
      </c>
      <c r="G39" s="2614">
        <v>29</v>
      </c>
      <c r="H39" s="2614">
        <v>47</v>
      </c>
      <c r="I39" s="2615">
        <v>29</v>
      </c>
      <c r="J39" s="2615">
        <v>28</v>
      </c>
      <c r="K39" s="2616">
        <v>29</v>
      </c>
      <c r="L39" s="2615">
        <v>29</v>
      </c>
      <c r="M39" s="2615">
        <v>73</v>
      </c>
      <c r="N39" s="2622">
        <f>'Transporte TUR'!F8</f>
        <v>18</v>
      </c>
      <c r="O39" s="2629"/>
      <c r="Q39" s="564" t="s">
        <v>934</v>
      </c>
      <c r="R39" s="1598">
        <v>0</v>
      </c>
      <c r="S39" s="1598">
        <v>0</v>
      </c>
      <c r="T39" s="1598">
        <v>7</v>
      </c>
      <c r="U39" s="1598">
        <v>6</v>
      </c>
    </row>
    <row r="40" spans="2:28" s="162" customFormat="1" ht="13.15" customHeight="1">
      <c r="B40" s="2611" t="s">
        <v>292</v>
      </c>
      <c r="C40" s="2612" t="s">
        <v>675</v>
      </c>
      <c r="D40" s="2613">
        <v>70</v>
      </c>
      <c r="E40" s="2614">
        <v>99</v>
      </c>
      <c r="F40" s="2614">
        <v>82</v>
      </c>
      <c r="G40" s="2614">
        <v>35</v>
      </c>
      <c r="H40" s="2614">
        <v>30</v>
      </c>
      <c r="I40" s="2615">
        <v>48</v>
      </c>
      <c r="J40" s="2615">
        <v>51</v>
      </c>
      <c r="K40" s="2616">
        <v>50</v>
      </c>
      <c r="L40" s="2615">
        <v>58</v>
      </c>
      <c r="M40" s="2615">
        <v>23</v>
      </c>
      <c r="N40" s="2622">
        <f>'Transporte TUR'!F7</f>
        <v>61</v>
      </c>
      <c r="O40" s="2629"/>
      <c r="Q40" s="564" t="s">
        <v>935</v>
      </c>
      <c r="R40" s="1598">
        <v>0</v>
      </c>
      <c r="S40" s="1598">
        <v>0</v>
      </c>
      <c r="T40" s="1598">
        <v>3</v>
      </c>
      <c r="U40" s="1598">
        <v>6</v>
      </c>
      <c r="V40" s="726"/>
      <c r="W40" s="726"/>
      <c r="X40" s="726"/>
      <c r="Y40" s="726"/>
      <c r="Z40" s="726"/>
      <c r="AA40" s="726"/>
      <c r="AB40" s="726"/>
    </row>
    <row r="41" spans="2:28" ht="13.15" customHeight="1">
      <c r="B41" s="162"/>
      <c r="C41" s="728" t="s">
        <v>329</v>
      </c>
      <c r="D41" s="2631">
        <f t="shared" ref="D41:N41" si="0">SUM(D5:D40)</f>
        <v>2533</v>
      </c>
      <c r="E41" s="2631">
        <f t="shared" si="0"/>
        <v>3014</v>
      </c>
      <c r="F41" s="2631">
        <f t="shared" si="0"/>
        <v>2719</v>
      </c>
      <c r="G41" s="2631">
        <f t="shared" si="0"/>
        <v>2924</v>
      </c>
      <c r="H41" s="2631">
        <f t="shared" si="0"/>
        <v>3514</v>
      </c>
      <c r="I41" s="2631">
        <f t="shared" si="0"/>
        <v>4488</v>
      </c>
      <c r="J41" s="2631">
        <f t="shared" si="0"/>
        <v>4909</v>
      </c>
      <c r="K41" s="756">
        <f t="shared" si="0"/>
        <v>5212</v>
      </c>
      <c r="L41" s="2632">
        <f t="shared" si="0"/>
        <v>5109</v>
      </c>
      <c r="M41" s="2632">
        <f t="shared" si="0"/>
        <v>5231</v>
      </c>
      <c r="N41" s="2632">
        <f t="shared" si="0"/>
        <v>4381</v>
      </c>
      <c r="O41" s="2624"/>
      <c r="Q41" s="564" t="s">
        <v>441</v>
      </c>
      <c r="R41" s="1598">
        <v>0</v>
      </c>
      <c r="S41" s="1598">
        <v>0</v>
      </c>
      <c r="T41" s="1598">
        <v>6</v>
      </c>
      <c r="U41" s="1598">
        <v>4</v>
      </c>
      <c r="V41" s="720"/>
      <c r="W41" s="720"/>
      <c r="X41" s="720"/>
    </row>
    <row r="42" spans="2:28" ht="13.15" customHeight="1">
      <c r="Q42" s="564" t="s">
        <v>936</v>
      </c>
      <c r="R42" s="1598">
        <v>0</v>
      </c>
      <c r="S42" s="1598">
        <v>0</v>
      </c>
      <c r="T42" s="1598">
        <v>2</v>
      </c>
      <c r="U42" s="1598">
        <v>3</v>
      </c>
      <c r="V42" s="757"/>
      <c r="W42" s="758"/>
      <c r="X42" s="720"/>
    </row>
    <row r="43" spans="2:28" ht="13.15" customHeight="1">
      <c r="B43" s="1614" t="s">
        <v>1188</v>
      </c>
      <c r="D43" s="42"/>
      <c r="E43" s="42"/>
      <c r="F43" s="42"/>
      <c r="G43" s="42"/>
      <c r="H43" s="42"/>
      <c r="I43" s="42"/>
      <c r="J43" s="42"/>
      <c r="K43" s="722"/>
      <c r="L43" s="722"/>
      <c r="M43" s="722"/>
      <c r="N43" s="722"/>
      <c r="O43" s="722"/>
      <c r="Q43" s="564" t="s">
        <v>55</v>
      </c>
      <c r="R43" s="733">
        <v>713</v>
      </c>
      <c r="S43" s="733">
        <v>721</v>
      </c>
      <c r="T43" s="733">
        <v>653</v>
      </c>
      <c r="U43" s="1597">
        <v>684</v>
      </c>
      <c r="V43" s="759"/>
      <c r="W43" s="760"/>
      <c r="X43" s="720"/>
    </row>
    <row r="44" spans="2:28" ht="13.15" customHeight="1">
      <c r="B44" s="778" t="s">
        <v>950</v>
      </c>
      <c r="Q44"/>
      <c r="R44"/>
      <c r="S44"/>
      <c r="T44"/>
      <c r="U44"/>
      <c r="V44" s="759"/>
      <c r="W44" s="760"/>
      <c r="X44" s="720"/>
    </row>
    <row r="45" spans="2:28" ht="13.15" customHeight="1">
      <c r="Q45"/>
      <c r="R45"/>
      <c r="S45"/>
      <c r="T45"/>
      <c r="U45"/>
      <c r="V45" s="761"/>
      <c r="W45" s="762"/>
      <c r="X45" s="720"/>
    </row>
    <row r="46" spans="2:28" ht="13.15" customHeight="1">
      <c r="Q46"/>
      <c r="R46"/>
      <c r="S46"/>
      <c r="T46"/>
      <c r="U46"/>
      <c r="V46" s="763"/>
      <c r="W46" s="764"/>
      <c r="X46" s="720"/>
    </row>
    <row r="47" spans="2:28" ht="13.15" customHeight="1">
      <c r="Q47"/>
      <c r="R47"/>
      <c r="S47"/>
      <c r="T47"/>
      <c r="U47"/>
      <c r="V47" s="720"/>
      <c r="W47" s="720"/>
      <c r="X47" s="720"/>
    </row>
    <row r="48" spans="2:28" ht="13.15" customHeight="1">
      <c r="Q48"/>
      <c r="R48"/>
      <c r="S48"/>
      <c r="T48"/>
      <c r="U48"/>
      <c r="V48" s="720"/>
      <c r="W48" s="720"/>
      <c r="X48" s="720"/>
    </row>
    <row r="49" spans="17:24" ht="13.15" customHeight="1">
      <c r="Q49"/>
      <c r="R49"/>
      <c r="S49"/>
      <c r="T49"/>
      <c r="U49"/>
      <c r="V49" s="720"/>
      <c r="W49" s="720"/>
      <c r="X49" s="720"/>
    </row>
    <row r="50" spans="17:24" ht="13.15" customHeight="1">
      <c r="Q50"/>
      <c r="R50"/>
      <c r="S50"/>
      <c r="T50"/>
      <c r="U50"/>
      <c r="V50" s="720"/>
      <c r="W50" s="720"/>
      <c r="X50" s="720"/>
    </row>
    <row r="51" spans="17:24" ht="13.15" customHeight="1">
      <c r="Q51"/>
      <c r="R51"/>
      <c r="S51"/>
      <c r="T51"/>
      <c r="U51"/>
    </row>
    <row r="52" spans="17:24" ht="13.15" customHeight="1">
      <c r="Q52"/>
      <c r="R52"/>
      <c r="S52"/>
      <c r="T52"/>
      <c r="U52"/>
    </row>
    <row r="53" spans="17:24" ht="13.15" customHeight="1">
      <c r="Q53"/>
      <c r="R53"/>
      <c r="S53"/>
      <c r="T53"/>
      <c r="U53"/>
    </row>
    <row r="54" spans="17:24" ht="13.15" customHeight="1">
      <c r="Q54"/>
      <c r="R54"/>
      <c r="S54"/>
      <c r="T54"/>
      <c r="U54"/>
    </row>
    <row r="55" spans="17:24" ht="13.15" customHeight="1">
      <c r="Q55"/>
      <c r="R55"/>
      <c r="S55"/>
      <c r="T55"/>
      <c r="U55"/>
    </row>
    <row r="56" spans="17:24" ht="13.15" customHeight="1">
      <c r="Q56"/>
      <c r="R56"/>
      <c r="S56"/>
      <c r="T56"/>
      <c r="U56"/>
    </row>
    <row r="57" spans="17:24" ht="13.15" customHeight="1">
      <c r="Q57"/>
      <c r="R57"/>
      <c r="S57"/>
      <c r="T57"/>
      <c r="U57"/>
    </row>
    <row r="58" spans="17:24" ht="13.15" customHeight="1">
      <c r="Q58"/>
      <c r="R58"/>
      <c r="S58"/>
      <c r="T58"/>
      <c r="U58"/>
    </row>
    <row r="59" spans="17:24" ht="13.15" customHeight="1">
      <c r="Q59"/>
      <c r="R59"/>
      <c r="S59"/>
      <c r="T59"/>
      <c r="U59"/>
    </row>
    <row r="60" spans="17:24" ht="13.15" customHeight="1">
      <c r="Q60"/>
      <c r="R60"/>
      <c r="S60"/>
      <c r="T60"/>
      <c r="U60"/>
    </row>
    <row r="61" spans="17:24" ht="13.15" customHeight="1">
      <c r="Q61"/>
      <c r="R61"/>
      <c r="S61"/>
      <c r="T61"/>
      <c r="U61"/>
    </row>
    <row r="62" spans="17:24" ht="13.15" customHeight="1">
      <c r="Q62"/>
      <c r="R62"/>
      <c r="S62"/>
      <c r="T62"/>
      <c r="U62"/>
    </row>
    <row r="63" spans="17:24" ht="13.15" customHeight="1">
      <c r="Q63"/>
      <c r="R63"/>
      <c r="S63"/>
      <c r="T63"/>
      <c r="U63"/>
    </row>
    <row r="64" spans="17:24" ht="13.15" customHeight="1">
      <c r="Q64"/>
      <c r="R64"/>
      <c r="S64"/>
      <c r="T64"/>
      <c r="U64"/>
    </row>
    <row r="65" spans="17:21" ht="13.15" customHeight="1">
      <c r="Q65"/>
      <c r="R65"/>
      <c r="S65"/>
      <c r="T65"/>
      <c r="U65"/>
    </row>
    <row r="66" spans="17:21" ht="13.15" customHeight="1">
      <c r="Q66"/>
      <c r="R66"/>
      <c r="S66"/>
      <c r="T66"/>
      <c r="U66"/>
    </row>
    <row r="67" spans="17:21" ht="13.15" customHeight="1">
      <c r="Q67" s="778"/>
      <c r="R67"/>
      <c r="S67"/>
      <c r="T67"/>
      <c r="U67"/>
    </row>
    <row r="68" spans="17:21" ht="13.15" customHeight="1">
      <c r="Q68" s="732"/>
      <c r="R68" s="732"/>
    </row>
  </sheetData>
  <mergeCells count="1">
    <mergeCell ref="V20:AB20"/>
  </mergeCells>
  <printOptions horizontalCentered="1"/>
  <pageMargins left="0.51181102362204722" right="0.51181102362204722" top="0.19685039370078741" bottom="0.51181102362204722" header="0" footer="0"/>
  <pageSetup paperSize="9" scale="46" orientation="landscape" verticalDpi="597" r:id="rId3"/>
  <drawing r:id="rId4"/>
  <tableParts count="1">
    <tablePart r:id="rId5"/>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Z34"/>
  <sheetViews>
    <sheetView showGridLines="0" workbookViewId="0">
      <selection activeCell="C5" sqref="C5"/>
    </sheetView>
  </sheetViews>
  <sheetFormatPr baseColWidth="10" defaultRowHeight="15"/>
  <cols>
    <col min="1" max="1" width="2.28515625" style="55" customWidth="1"/>
    <col min="2" max="2" width="14.7109375" customWidth="1"/>
    <col min="3" max="3" width="59.140625" customWidth="1"/>
    <col min="4" max="10" width="5.5703125" hidden="1" customWidth="1"/>
    <col min="11" max="11" width="6" hidden="1" customWidth="1"/>
    <col min="12" max="13" width="5" hidden="1" customWidth="1"/>
    <col min="14" max="14" width="10.7109375" customWidth="1"/>
    <col min="15" max="15" width="10.7109375" hidden="1" customWidth="1"/>
    <col min="16" max="16" width="5" style="642" hidden="1" customWidth="1"/>
    <col min="17" max="17" width="10.85546875" style="266" hidden="1" customWidth="1"/>
    <col min="18" max="19" width="10.85546875" style="642" hidden="1" customWidth="1"/>
    <col min="20" max="20" width="10.7109375" style="642" customWidth="1"/>
    <col min="21" max="21" width="5.5703125" style="642" customWidth="1"/>
    <col min="22" max="24" width="0" style="642" hidden="1" customWidth="1"/>
    <col min="25" max="25" width="11.5703125" style="642"/>
    <col min="26" max="26" width="11.42578125" style="642"/>
  </cols>
  <sheetData>
    <row r="1" spans="1:26" s="1642" customFormat="1" ht="21">
      <c r="B1" s="2656" t="s">
        <v>1183</v>
      </c>
      <c r="H1" s="779"/>
      <c r="I1" s="779"/>
    </row>
    <row r="2" spans="1:26" ht="15.75" thickBot="1"/>
    <row r="3" spans="1:26" s="2" customFormat="1" ht="34.5" thickBot="1">
      <c r="A3" s="258">
        <v>3</v>
      </c>
      <c r="B3" s="3969" t="s">
        <v>212</v>
      </c>
      <c r="C3" s="259" t="s">
        <v>213</v>
      </c>
      <c r="D3" s="765">
        <v>2008</v>
      </c>
      <c r="E3" s="765">
        <v>2009</v>
      </c>
      <c r="F3" s="765">
        <v>2010</v>
      </c>
      <c r="G3" s="765">
        <v>2011</v>
      </c>
      <c r="H3" s="765">
        <v>2012</v>
      </c>
      <c r="I3" s="765">
        <v>2013</v>
      </c>
      <c r="J3" s="736">
        <v>2014</v>
      </c>
      <c r="K3" s="736">
        <v>2015</v>
      </c>
      <c r="L3" s="736">
        <v>2016</v>
      </c>
      <c r="M3" s="736">
        <v>2017</v>
      </c>
      <c r="N3" s="776">
        <v>2018</v>
      </c>
      <c r="O3" s="3493"/>
      <c r="P3" s="772"/>
      <c r="Q3" s="768" t="s">
        <v>658</v>
      </c>
      <c r="R3" s="771" t="s">
        <v>659</v>
      </c>
      <c r="S3" s="771" t="s">
        <v>939</v>
      </c>
      <c r="T3" s="2638" t="s">
        <v>1175</v>
      </c>
      <c r="U3" s="772"/>
      <c r="V3" s="2636" t="s">
        <v>430</v>
      </c>
      <c r="W3" s="2636" t="s">
        <v>660</v>
      </c>
      <c r="X3" s="2636" t="s">
        <v>940</v>
      </c>
      <c r="Y3" s="2633" t="s">
        <v>1176</v>
      </c>
      <c r="Z3" s="772"/>
    </row>
    <row r="4" spans="1:26">
      <c r="B4" s="3970"/>
      <c r="C4" s="727" t="s">
        <v>948</v>
      </c>
      <c r="D4" s="766">
        <v>456</v>
      </c>
      <c r="E4" s="767">
        <v>522</v>
      </c>
      <c r="F4" s="767">
        <v>464</v>
      </c>
      <c r="G4" s="767">
        <v>513</v>
      </c>
      <c r="H4" s="767">
        <v>564</v>
      </c>
      <c r="I4" s="767">
        <v>631</v>
      </c>
      <c r="J4" s="767">
        <v>679</v>
      </c>
      <c r="K4" s="767">
        <f>SUMIFS('% y # establecimientos act econ'!$K$5:$K$40,'% y # establecimientos act econ'!$B$5:$B$40,C4)</f>
        <v>722</v>
      </c>
      <c r="L4" s="767">
        <f>SUMIFS('% y # establecimientos act econ'!$L$5:$L$40,'% y # establecimientos act econ'!$B$5:$B$40,C4)</f>
        <v>660</v>
      </c>
      <c r="M4" s="767">
        <v>739</v>
      </c>
      <c r="N4" s="777">
        <v>644</v>
      </c>
      <c r="O4" s="3494"/>
      <c r="P4" s="774"/>
      <c r="Q4" s="769">
        <f t="shared" ref="Q4:Q9" si="0">K4/$K$10</f>
        <v>0.13852647735993862</v>
      </c>
      <c r="R4" s="773">
        <f t="shared" ref="R4:R9" si="1">L4/$L$10</f>
        <v>0.12918379330593072</v>
      </c>
      <c r="S4" s="773">
        <f>M4/$M$10</f>
        <v>0.14127317912445039</v>
      </c>
      <c r="T4" s="2639">
        <f>N4/$N$10</f>
        <v>0.14699840219128052</v>
      </c>
      <c r="U4" s="774"/>
      <c r="V4" s="2637">
        <f>K4/J4-1</f>
        <v>6.3328424153166418E-2</v>
      </c>
      <c r="W4" s="2637">
        <f>L4/K4-1</f>
        <v>-8.5872576177285276E-2</v>
      </c>
      <c r="X4" s="2637">
        <f>M4/L4-1</f>
        <v>0.11969696969696964</v>
      </c>
      <c r="Y4" s="2634">
        <f>N4/M4-1</f>
        <v>-0.12855209742895801</v>
      </c>
      <c r="Z4" s="774"/>
    </row>
    <row r="5" spans="1:26">
      <c r="B5" s="3970"/>
      <c r="C5" s="727" t="s">
        <v>339</v>
      </c>
      <c r="D5" s="766">
        <v>1435</v>
      </c>
      <c r="E5" s="767">
        <v>1755</v>
      </c>
      <c r="F5" s="767">
        <v>1576</v>
      </c>
      <c r="G5" s="767">
        <v>1752</v>
      </c>
      <c r="H5" s="767">
        <v>2245</v>
      </c>
      <c r="I5" s="767">
        <v>3021</v>
      </c>
      <c r="J5" s="767">
        <v>3316</v>
      </c>
      <c r="K5" s="767">
        <f>SUMIFS('% y # establecimientos act econ'!$K$5:$K$40,'% y # establecimientos act econ'!$B$5:$B$40,C5)</f>
        <v>3486</v>
      </c>
      <c r="L5" s="767">
        <f>SUMIFS('% y # establecimientos act econ'!$L$5:$L$40,'% y # establecimientos act econ'!$B$5:$B$40,C5)</f>
        <v>3434</v>
      </c>
      <c r="M5" s="767">
        <v>3517</v>
      </c>
      <c r="N5" s="777">
        <v>2786</v>
      </c>
      <c r="O5" s="3494"/>
      <c r="P5" s="774"/>
      <c r="Q5" s="769">
        <f t="shared" si="0"/>
        <v>0.66884113584036842</v>
      </c>
      <c r="R5" s="773">
        <f t="shared" si="1"/>
        <v>0.67214719123116073</v>
      </c>
      <c r="S5" s="773">
        <f t="shared" ref="S5:S10" si="2">M5/$M$10</f>
        <v>0.67233798508889309</v>
      </c>
      <c r="T5" s="2639">
        <f t="shared" ref="T5:T9" si="3">N5/$N$10</f>
        <v>0.63592787034923537</v>
      </c>
      <c r="U5" s="774"/>
      <c r="V5" s="2637">
        <f t="shared" ref="V5:Y10" si="4">K5/J5-1</f>
        <v>5.126658624849223E-2</v>
      </c>
      <c r="W5" s="2637">
        <f t="shared" si="4"/>
        <v>-1.4916810097532984E-2</v>
      </c>
      <c r="X5" s="2637">
        <f t="shared" si="4"/>
        <v>2.4170064065230035E-2</v>
      </c>
      <c r="Y5" s="2634">
        <f t="shared" si="4"/>
        <v>-0.20784759738413416</v>
      </c>
      <c r="Z5" s="774"/>
    </row>
    <row r="6" spans="1:26">
      <c r="B6" s="3970"/>
      <c r="C6" s="727" t="s">
        <v>303</v>
      </c>
      <c r="D6" s="766">
        <v>426</v>
      </c>
      <c r="E6" s="767">
        <v>476</v>
      </c>
      <c r="F6" s="767">
        <v>462</v>
      </c>
      <c r="G6" s="767">
        <v>475</v>
      </c>
      <c r="H6" s="767">
        <v>496</v>
      </c>
      <c r="I6" s="767">
        <v>585</v>
      </c>
      <c r="J6" s="767">
        <v>642</v>
      </c>
      <c r="K6" s="767">
        <f>SUMIFS('% y # establecimientos act econ'!$K$5:$K$40,'% y # establecimientos act econ'!$B$5:$B$40,C6)</f>
        <v>713</v>
      </c>
      <c r="L6" s="767">
        <f>SUMIFS('% y # establecimientos act econ'!$L$5:$L$40,'% y # establecimientos act econ'!$B$5:$B$40,C6)</f>
        <v>721</v>
      </c>
      <c r="M6" s="767">
        <v>653</v>
      </c>
      <c r="N6" s="777">
        <v>684</v>
      </c>
      <c r="O6" s="3494"/>
      <c r="P6" s="774"/>
      <c r="Q6" s="769">
        <f t="shared" si="0"/>
        <v>0.13679969301611666</v>
      </c>
      <c r="R6" s="773">
        <f t="shared" si="1"/>
        <v>0.14112350753572128</v>
      </c>
      <c r="S6" s="773">
        <f t="shared" si="2"/>
        <v>0.12483272796788376</v>
      </c>
      <c r="T6" s="2639">
        <f t="shared" si="3"/>
        <v>0.15612873773111161</v>
      </c>
      <c r="U6" s="774"/>
      <c r="V6" s="2637">
        <f t="shared" si="4"/>
        <v>0.11059190031152655</v>
      </c>
      <c r="W6" s="2637">
        <f t="shared" si="4"/>
        <v>1.1220196353436185E-2</v>
      </c>
      <c r="X6" s="2637">
        <f t="shared" si="4"/>
        <v>-9.4313453536754466E-2</v>
      </c>
      <c r="Y6" s="2634">
        <f t="shared" si="4"/>
        <v>4.7473200612557331E-2</v>
      </c>
      <c r="Z6" s="774"/>
    </row>
    <row r="7" spans="1:26">
      <c r="B7" s="3970"/>
      <c r="C7" s="729" t="s">
        <v>290</v>
      </c>
      <c r="D7" s="766">
        <v>13</v>
      </c>
      <c r="E7" s="767">
        <v>12</v>
      </c>
      <c r="F7" s="767">
        <v>11</v>
      </c>
      <c r="G7" s="767">
        <v>10</v>
      </c>
      <c r="H7" s="767">
        <v>0</v>
      </c>
      <c r="I7" s="767">
        <v>0</v>
      </c>
      <c r="J7" s="767">
        <v>0</v>
      </c>
      <c r="K7" s="767">
        <f>SUMIFS('% y # establecimientos act econ'!$K$5:$K$40,'% y # establecimientos act econ'!$B$5:$B$40,C7)</f>
        <v>0</v>
      </c>
      <c r="L7" s="767">
        <f>SUMIFS('% y # establecimientos act econ'!$L$5:$L$40,'% y # establecimientos act econ'!$B$5:$B$40,C7)</f>
        <v>0</v>
      </c>
      <c r="M7" s="767">
        <v>0</v>
      </c>
      <c r="N7" s="777"/>
      <c r="O7" s="3494"/>
      <c r="P7" s="774"/>
      <c r="Q7" s="769">
        <f t="shared" si="0"/>
        <v>0</v>
      </c>
      <c r="R7" s="773">
        <f t="shared" si="1"/>
        <v>0</v>
      </c>
      <c r="S7" s="773">
        <f t="shared" si="2"/>
        <v>0</v>
      </c>
      <c r="T7" s="2639">
        <f t="shared" si="3"/>
        <v>0</v>
      </c>
      <c r="U7" s="774"/>
      <c r="V7" s="2637"/>
      <c r="W7" s="2637"/>
      <c r="X7" s="2637"/>
      <c r="Y7" s="2634"/>
      <c r="Z7" s="774"/>
    </row>
    <row r="8" spans="1:26">
      <c r="B8" s="3970"/>
      <c r="C8" s="727" t="s">
        <v>291</v>
      </c>
      <c r="D8" s="766">
        <v>85</v>
      </c>
      <c r="E8" s="767">
        <v>101</v>
      </c>
      <c r="F8" s="767">
        <v>85</v>
      </c>
      <c r="G8" s="767">
        <v>96</v>
      </c>
      <c r="H8" s="767">
        <v>100</v>
      </c>
      <c r="I8" s="767">
        <v>151</v>
      </c>
      <c r="J8" s="767">
        <v>171</v>
      </c>
      <c r="K8" s="767">
        <f>SUMIFS('% y # establecimientos act econ'!$K$5:$K$40,'% y # establecimientos act econ'!$B$5:$B$40,C8)</f>
        <v>189</v>
      </c>
      <c r="L8" s="767">
        <f>SUMIFS('% y # establecimientos act econ'!$L$5:$L$40,'% y # establecimientos act econ'!$B$5:$B$40,C8)</f>
        <v>184</v>
      </c>
      <c r="M8" s="767">
        <v>197</v>
      </c>
      <c r="N8" s="777">
        <v>174</v>
      </c>
      <c r="O8" s="3494"/>
      <c r="P8" s="774"/>
      <c r="Q8" s="769">
        <f t="shared" si="0"/>
        <v>3.6262471220260939E-2</v>
      </c>
      <c r="R8" s="773">
        <f t="shared" si="1"/>
        <v>3.6014875709532199E-2</v>
      </c>
      <c r="S8" s="773">
        <f t="shared" si="2"/>
        <v>3.7660103230739823E-2</v>
      </c>
      <c r="T8" s="2639">
        <f t="shared" si="3"/>
        <v>3.9716959598265239E-2</v>
      </c>
      <c r="U8" s="774"/>
      <c r="V8" s="2637">
        <f t="shared" si="4"/>
        <v>0.10526315789473695</v>
      </c>
      <c r="W8" s="2637">
        <f t="shared" si="4"/>
        <v>-2.6455026455026509E-2</v>
      </c>
      <c r="X8" s="2637">
        <f t="shared" si="4"/>
        <v>7.0652173913043459E-2</v>
      </c>
      <c r="Y8" s="2634">
        <f t="shared" si="4"/>
        <v>-0.11675126903553301</v>
      </c>
      <c r="Z8" s="774"/>
    </row>
    <row r="9" spans="1:26" ht="15.75" thickBot="1">
      <c r="B9" s="3971"/>
      <c r="C9" s="727" t="s">
        <v>292</v>
      </c>
      <c r="D9" s="766">
        <v>118</v>
      </c>
      <c r="E9" s="767">
        <v>148</v>
      </c>
      <c r="F9" s="767">
        <v>121</v>
      </c>
      <c r="G9" s="767">
        <v>78</v>
      </c>
      <c r="H9" s="767">
        <v>98</v>
      </c>
      <c r="I9" s="767">
        <v>100</v>
      </c>
      <c r="J9" s="767">
        <v>101</v>
      </c>
      <c r="K9" s="767">
        <f>SUMIFS('% y # establecimientos act econ'!$K$5:$K$40,'% y # establecimientos act econ'!$B$5:$B$40,C9)</f>
        <v>102</v>
      </c>
      <c r="L9" s="767">
        <f>SUMIFS('% y # establecimientos act econ'!$L$5:$L$40,'% y # establecimientos act econ'!$B$5:$B$40,C9)</f>
        <v>110</v>
      </c>
      <c r="M9" s="767">
        <v>125</v>
      </c>
      <c r="N9" s="777">
        <v>93</v>
      </c>
      <c r="O9" s="3494"/>
      <c r="P9" s="774"/>
      <c r="Q9" s="769">
        <f t="shared" si="0"/>
        <v>1.9570222563315427E-2</v>
      </c>
      <c r="R9" s="773">
        <f t="shared" si="1"/>
        <v>2.1530632217655117E-2</v>
      </c>
      <c r="S9" s="773">
        <f t="shared" si="2"/>
        <v>2.3896004588032881E-2</v>
      </c>
      <c r="T9" s="2639">
        <f t="shared" si="3"/>
        <v>2.1228030130107281E-2</v>
      </c>
      <c r="U9" s="774"/>
      <c r="V9" s="2637">
        <f t="shared" si="4"/>
        <v>9.9009900990099098E-3</v>
      </c>
      <c r="W9" s="2637">
        <f t="shared" si="4"/>
        <v>7.8431372549019551E-2</v>
      </c>
      <c r="X9" s="2637">
        <f t="shared" si="4"/>
        <v>0.13636363636363646</v>
      </c>
      <c r="Y9" s="2634">
        <f t="shared" si="4"/>
        <v>-0.25600000000000001</v>
      </c>
      <c r="Z9" s="774"/>
    </row>
    <row r="10" spans="1:26" ht="15.75" thickBot="1">
      <c r="B10" s="3972"/>
      <c r="C10" s="56" t="s">
        <v>214</v>
      </c>
      <c r="D10" s="146">
        <f>SUM(D4:D9)</f>
        <v>2533</v>
      </c>
      <c r="E10" s="146">
        <f t="shared" ref="E10:L10" si="5">SUM(E4:E9)</f>
        <v>3014</v>
      </c>
      <c r="F10" s="146">
        <f t="shared" si="5"/>
        <v>2719</v>
      </c>
      <c r="G10" s="146">
        <f t="shared" si="5"/>
        <v>2924</v>
      </c>
      <c r="H10" s="146">
        <f t="shared" si="5"/>
        <v>3503</v>
      </c>
      <c r="I10" s="146">
        <f t="shared" si="5"/>
        <v>4488</v>
      </c>
      <c r="J10" s="146">
        <f t="shared" si="5"/>
        <v>4909</v>
      </c>
      <c r="K10" s="146">
        <f t="shared" si="5"/>
        <v>5212</v>
      </c>
      <c r="L10" s="146">
        <f t="shared" si="5"/>
        <v>5109</v>
      </c>
      <c r="M10" s="146">
        <f>SUM(M4:M9)</f>
        <v>5231</v>
      </c>
      <c r="N10" s="146">
        <f>SUM(N4:N9)</f>
        <v>4381</v>
      </c>
      <c r="O10" s="146"/>
      <c r="P10" s="774"/>
      <c r="Q10" s="770">
        <f>SUM(Q4:Q9)</f>
        <v>1.0000000000000002</v>
      </c>
      <c r="R10" s="775">
        <f>SUM(R4:R9)</f>
        <v>1.0000000000000002</v>
      </c>
      <c r="S10" s="775">
        <f t="shared" si="2"/>
        <v>1</v>
      </c>
      <c r="T10" s="2640">
        <f>N10/$N$10</f>
        <v>1</v>
      </c>
      <c r="U10" s="774"/>
      <c r="V10" s="2637">
        <f t="shared" si="4"/>
        <v>6.1723365247504658E-2</v>
      </c>
      <c r="W10" s="2637">
        <f t="shared" si="4"/>
        <v>-1.9762087490406754E-2</v>
      </c>
      <c r="X10" s="2637">
        <f t="shared" si="4"/>
        <v>2.3879428459581131E-2</v>
      </c>
      <c r="Y10" s="2635">
        <f t="shared" si="4"/>
        <v>-0.16249283119862357</v>
      </c>
      <c r="Z10" s="774"/>
    </row>
    <row r="11" spans="1:26">
      <c r="K11" s="58">
        <f>K10/J10-1</f>
        <v>6.1723365247504658E-2</v>
      </c>
      <c r="L11" s="58">
        <f>L10/K10-1</f>
        <v>-1.9762087490406754E-2</v>
      </c>
      <c r="M11" s="58">
        <f>M10/L10-1</f>
        <v>2.3879428459581131E-2</v>
      </c>
      <c r="N11" s="58">
        <f>N10/M10-1</f>
        <v>-0.16249283119862357</v>
      </c>
      <c r="O11" s="58"/>
    </row>
    <row r="12" spans="1:26">
      <c r="C12" s="778" t="s">
        <v>950</v>
      </c>
    </row>
    <row r="13" spans="1:26">
      <c r="C13" s="1614" t="s">
        <v>1188</v>
      </c>
    </row>
    <row r="34" spans="3:3">
      <c r="C34">
        <f>'Actividades económicas TUR'!J4</f>
        <v>679</v>
      </c>
    </row>
  </sheetData>
  <mergeCells count="1">
    <mergeCell ref="B3:B10"/>
  </mergeCells>
  <pageMargins left="0.70866141732283472" right="0.70866141732283472" top="0.74803149606299213" bottom="0.74803149606299213" header="0.31496062992125984" footer="0.31496062992125984"/>
  <pageSetup paperSize="9" scale="41" orientation="landscape" verticalDpi="597"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I18"/>
  <sheetViews>
    <sheetView showGridLines="0" workbookViewId="0">
      <selection activeCell="G16" sqref="G16"/>
    </sheetView>
  </sheetViews>
  <sheetFormatPr baseColWidth="10" defaultRowHeight="15"/>
  <cols>
    <col min="1" max="1" width="3.140625" customWidth="1"/>
    <col min="2" max="2" width="71.28515625" customWidth="1"/>
    <col min="3" max="5" width="11.140625" style="2585" customWidth="1"/>
    <col min="6" max="6" width="11.5703125" style="2585"/>
  </cols>
  <sheetData>
    <row r="1" spans="2:9" s="1642" customFormat="1" ht="21">
      <c r="B1" s="2656" t="s">
        <v>1182</v>
      </c>
      <c r="H1" s="779"/>
      <c r="I1" s="779"/>
    </row>
    <row r="3" spans="2:9">
      <c r="C3" s="731">
        <v>2015</v>
      </c>
      <c r="D3" s="731">
        <v>2016</v>
      </c>
      <c r="E3" s="731">
        <v>2017</v>
      </c>
      <c r="F3" s="2641">
        <v>2018</v>
      </c>
    </row>
    <row r="4" spans="2:9" s="2647" customFormat="1" ht="21">
      <c r="B4" s="2645" t="s">
        <v>665</v>
      </c>
      <c r="C4" s="2646">
        <f>C5+C8</f>
        <v>102</v>
      </c>
      <c r="D4" s="2646">
        <f>D5+D8</f>
        <v>110</v>
      </c>
      <c r="E4" s="2646">
        <f>E5+E8</f>
        <v>125</v>
      </c>
      <c r="F4" s="2646">
        <f>F5+F8</f>
        <v>93</v>
      </c>
    </row>
    <row r="5" spans="2:9">
      <c r="B5" s="241" t="s">
        <v>671</v>
      </c>
      <c r="C5" s="2642">
        <f>SUM(C6:C7)</f>
        <v>73</v>
      </c>
      <c r="D5" s="2642">
        <f>SUM(D6:D7)</f>
        <v>81</v>
      </c>
      <c r="E5" s="2642">
        <f>SUM(E6:E7)</f>
        <v>96</v>
      </c>
      <c r="F5" s="2642">
        <f>SUM(F6:F7)</f>
        <v>75</v>
      </c>
    </row>
    <row r="6" spans="2:9">
      <c r="B6" s="730" t="s">
        <v>672</v>
      </c>
      <c r="C6" s="2644">
        <v>23</v>
      </c>
      <c r="D6" s="2644">
        <v>23</v>
      </c>
      <c r="E6" s="2644">
        <v>23</v>
      </c>
      <c r="F6" s="2641">
        <v>14</v>
      </c>
    </row>
    <row r="7" spans="2:9">
      <c r="B7" s="730" t="s">
        <v>670</v>
      </c>
      <c r="C7" s="2644">
        <v>50</v>
      </c>
      <c r="D7" s="2644">
        <v>58</v>
      </c>
      <c r="E7" s="2644">
        <v>73</v>
      </c>
      <c r="F7" s="2641">
        <v>61</v>
      </c>
    </row>
    <row r="8" spans="2:9">
      <c r="B8" s="241" t="s">
        <v>664</v>
      </c>
      <c r="C8" s="2642">
        <f>SUM(C10:C15)</f>
        <v>29</v>
      </c>
      <c r="D8" s="2642">
        <f>SUM(D10:D15)</f>
        <v>29</v>
      </c>
      <c r="E8" s="2642">
        <f>SUM(E10:E15)</f>
        <v>29</v>
      </c>
      <c r="F8" s="2642">
        <f>SUM(F9:F15)</f>
        <v>18</v>
      </c>
    </row>
    <row r="9" spans="2:9">
      <c r="B9" s="730" t="s">
        <v>1178</v>
      </c>
      <c r="C9" s="2644">
        <v>0</v>
      </c>
      <c r="D9" s="2644">
        <v>0</v>
      </c>
      <c r="E9" s="2644">
        <v>0</v>
      </c>
      <c r="F9" s="2641">
        <v>1</v>
      </c>
    </row>
    <row r="10" spans="2:9">
      <c r="B10" s="730" t="s">
        <v>1177</v>
      </c>
      <c r="C10" s="2644">
        <v>1</v>
      </c>
      <c r="D10" s="2644">
        <v>1</v>
      </c>
      <c r="E10" s="2644">
        <v>1</v>
      </c>
      <c r="F10" s="2641">
        <v>2</v>
      </c>
    </row>
    <row r="11" spans="2:9">
      <c r="B11" s="730" t="s">
        <v>669</v>
      </c>
      <c r="C11" s="2644">
        <v>5</v>
      </c>
      <c r="D11" s="2644">
        <v>5</v>
      </c>
      <c r="E11" s="2644">
        <v>3</v>
      </c>
      <c r="F11" s="2641">
        <v>2</v>
      </c>
    </row>
    <row r="12" spans="2:9">
      <c r="B12" s="730" t="s">
        <v>668</v>
      </c>
      <c r="C12" s="2644">
        <v>15</v>
      </c>
      <c r="D12" s="2644">
        <v>17</v>
      </c>
      <c r="E12" s="2644">
        <v>18</v>
      </c>
      <c r="F12" s="2641">
        <v>10</v>
      </c>
    </row>
    <row r="13" spans="2:9">
      <c r="B13" s="730" t="s">
        <v>667</v>
      </c>
      <c r="C13" s="2644">
        <v>1</v>
      </c>
      <c r="D13" s="2644">
        <v>1</v>
      </c>
      <c r="E13" s="2644">
        <v>2</v>
      </c>
      <c r="F13" s="2641">
        <v>2</v>
      </c>
    </row>
    <row r="14" spans="2:9">
      <c r="B14" s="730" t="s">
        <v>666</v>
      </c>
      <c r="C14" s="2644">
        <v>2</v>
      </c>
      <c r="D14" s="2644">
        <v>2</v>
      </c>
      <c r="E14" s="2644">
        <v>2</v>
      </c>
      <c r="F14" s="2641"/>
    </row>
    <row r="15" spans="2:9">
      <c r="B15" s="730" t="s">
        <v>663</v>
      </c>
      <c r="C15" s="2644">
        <v>5</v>
      </c>
      <c r="D15" s="2644">
        <v>3</v>
      </c>
      <c r="E15" s="2644">
        <v>3</v>
      </c>
      <c r="F15" s="2641">
        <v>1</v>
      </c>
    </row>
    <row r="16" spans="2:9">
      <c r="F16" s="2643"/>
    </row>
    <row r="17" spans="2:6">
      <c r="B17" s="1614" t="s">
        <v>1188</v>
      </c>
      <c r="F17" s="2643"/>
    </row>
    <row r="18" spans="2:6">
      <c r="B18" s="778" t="s">
        <v>950</v>
      </c>
      <c r="F18" s="2643"/>
    </row>
  </sheetData>
  <pageMargins left="0.70866141732283472" right="0.70866141732283472" top="0.74803149606299213" bottom="0.74803149606299213" header="0.31496062992125984" footer="0.31496062992125984"/>
  <pageSetup scale="71" orientation="landscape" verticalDpi="597"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L42"/>
  <sheetViews>
    <sheetView showGridLines="0" zoomScale="85" zoomScaleNormal="85" workbookViewId="0">
      <selection activeCell="I14" sqref="I14"/>
    </sheetView>
  </sheetViews>
  <sheetFormatPr baseColWidth="10" defaultColWidth="11.42578125" defaultRowHeight="15"/>
  <cols>
    <col min="1" max="1" width="2.28515625" style="1641" customWidth="1"/>
    <col min="2" max="2" width="16.85546875" style="1642" customWidth="1"/>
    <col min="3" max="3" width="20" style="1642" customWidth="1"/>
    <col min="4" max="4" width="16.85546875" style="1642" customWidth="1"/>
    <col min="5" max="6" width="14.140625" style="1642" customWidth="1"/>
    <col min="7" max="7" width="14.140625" style="779" customWidth="1"/>
    <col min="8" max="8" width="11.42578125" style="779"/>
    <col min="9" max="9" width="17.42578125" style="1642" bestFit="1" customWidth="1"/>
    <col min="10" max="10" width="15.140625" style="1642" customWidth="1"/>
    <col min="11" max="12" width="15.7109375" style="1642" customWidth="1"/>
    <col min="13" max="16384" width="11.42578125" style="1642"/>
  </cols>
  <sheetData>
    <row r="1" spans="1:12" ht="21">
      <c r="B1" s="2656" t="s">
        <v>1181</v>
      </c>
    </row>
    <row r="2" spans="1:12" ht="15" customHeight="1" thickBot="1"/>
    <row r="3" spans="1:12" s="1649" customFormat="1" ht="30" customHeight="1">
      <c r="A3" s="1643">
        <v>5</v>
      </c>
      <c r="B3" s="3973" t="s">
        <v>293</v>
      </c>
      <c r="C3" s="1644" t="s">
        <v>215</v>
      </c>
      <c r="D3" s="1645" t="s">
        <v>979</v>
      </c>
      <c r="E3" s="1646" t="s">
        <v>662</v>
      </c>
      <c r="F3" s="1647" t="s">
        <v>980</v>
      </c>
      <c r="G3" s="1648"/>
      <c r="H3" s="1648"/>
      <c r="L3" s="1642"/>
    </row>
    <row r="4" spans="1:12" ht="15" hidden="1" customHeight="1">
      <c r="B4" s="3974"/>
      <c r="C4" s="1650">
        <v>2008</v>
      </c>
      <c r="D4" s="1651"/>
      <c r="E4" s="1652">
        <v>7402</v>
      </c>
      <c r="F4" s="1653">
        <v>14804</v>
      </c>
      <c r="G4" s="2652" t="s">
        <v>981</v>
      </c>
    </row>
    <row r="5" spans="1:12" ht="15" hidden="1" customHeight="1">
      <c r="B5" s="3974"/>
      <c r="C5" s="1650">
        <v>2009</v>
      </c>
      <c r="D5" s="1651"/>
      <c r="E5" s="1655">
        <v>7919</v>
      </c>
      <c r="F5" s="1653">
        <v>15838</v>
      </c>
      <c r="G5" s="2652" t="s">
        <v>981</v>
      </c>
    </row>
    <row r="6" spans="1:12" ht="15" hidden="1" customHeight="1">
      <c r="B6" s="3974"/>
      <c r="C6" s="1650">
        <v>2010</v>
      </c>
      <c r="D6" s="1651"/>
      <c r="E6" s="1655">
        <v>8592</v>
      </c>
      <c r="F6" s="1653">
        <v>17184</v>
      </c>
      <c r="G6" s="2652" t="s">
        <v>981</v>
      </c>
    </row>
    <row r="7" spans="1:12" ht="15" hidden="1" customHeight="1">
      <c r="B7" s="3974"/>
      <c r="C7" s="1650">
        <v>2011</v>
      </c>
      <c r="D7" s="1651"/>
      <c r="E7" s="1655">
        <v>9324</v>
      </c>
      <c r="F7" s="1653">
        <v>18648</v>
      </c>
      <c r="G7" s="2652" t="s">
        <v>981</v>
      </c>
    </row>
    <row r="8" spans="1:12" ht="15" hidden="1" customHeight="1">
      <c r="B8" s="3974"/>
      <c r="C8" s="1650">
        <v>2012</v>
      </c>
      <c r="D8" s="1651"/>
      <c r="E8" s="1655">
        <v>10651</v>
      </c>
      <c r="F8" s="1653">
        <v>21302</v>
      </c>
      <c r="G8" s="2652" t="s">
        <v>981</v>
      </c>
    </row>
    <row r="9" spans="1:12" ht="15" hidden="1" customHeight="1">
      <c r="B9" s="3974"/>
      <c r="C9" s="1650">
        <v>2013</v>
      </c>
      <c r="D9" s="1651"/>
      <c r="E9" s="1655">
        <v>11794</v>
      </c>
      <c r="F9" s="1653">
        <v>23588</v>
      </c>
      <c r="G9" s="2652" t="s">
        <v>981</v>
      </c>
    </row>
    <row r="10" spans="1:12" ht="15" hidden="1" customHeight="1">
      <c r="B10" s="3974"/>
      <c r="C10" s="1650">
        <v>2014</v>
      </c>
      <c r="D10" s="1651"/>
      <c r="E10" s="1652">
        <v>12956</v>
      </c>
      <c r="F10" s="1653">
        <v>25912</v>
      </c>
      <c r="G10" s="2652" t="s">
        <v>981</v>
      </c>
    </row>
    <row r="11" spans="1:12" ht="15" hidden="1" customHeight="1">
      <c r="B11" s="3974"/>
      <c r="C11" s="1650">
        <v>2015</v>
      </c>
      <c r="D11" s="1651"/>
      <c r="E11" s="1656">
        <v>14286</v>
      </c>
      <c r="F11" s="1653">
        <v>28572</v>
      </c>
      <c r="G11" s="2652" t="s">
        <v>981</v>
      </c>
    </row>
    <row r="12" spans="1:12" ht="15" hidden="1" customHeight="1">
      <c r="B12" s="3974"/>
      <c r="C12" s="1650">
        <v>2016</v>
      </c>
      <c r="D12" s="1651"/>
      <c r="E12" s="1656">
        <v>14739</v>
      </c>
      <c r="F12" s="1653">
        <v>29478</v>
      </c>
      <c r="G12" s="2652" t="s">
        <v>981</v>
      </c>
    </row>
    <row r="13" spans="1:12" ht="15" customHeight="1">
      <c r="B13" s="3974"/>
      <c r="C13" s="1650">
        <v>2017</v>
      </c>
      <c r="D13" s="1651">
        <v>653</v>
      </c>
      <c r="E13" s="1656">
        <v>13357</v>
      </c>
      <c r="F13" s="1653">
        <v>26851</v>
      </c>
      <c r="G13" s="2652" t="s">
        <v>981</v>
      </c>
    </row>
    <row r="14" spans="1:12" ht="15" customHeight="1" thickBot="1">
      <c r="B14" s="3974"/>
      <c r="C14" s="2648">
        <v>2018</v>
      </c>
      <c r="D14" s="2649">
        <v>684</v>
      </c>
      <c r="E14" s="2650">
        <v>13776</v>
      </c>
      <c r="F14" s="2651">
        <v>28458</v>
      </c>
      <c r="G14" s="2652" t="s">
        <v>676</v>
      </c>
    </row>
    <row r="15" spans="1:12" ht="15" customHeight="1" thickBot="1">
      <c r="B15" s="3974"/>
      <c r="C15" s="3495">
        <v>2019</v>
      </c>
      <c r="D15" s="3496">
        <f>D14</f>
        <v>684</v>
      </c>
      <c r="E15" s="3497">
        <f>E14</f>
        <v>13776</v>
      </c>
      <c r="F15" s="3498">
        <f>F14</f>
        <v>28458</v>
      </c>
      <c r="G15" s="3499" t="s">
        <v>694</v>
      </c>
    </row>
    <row r="16" spans="1:12">
      <c r="E16" s="1657"/>
      <c r="F16" s="1657"/>
    </row>
    <row r="17" spans="2:9">
      <c r="B17" s="1654" t="s">
        <v>676</v>
      </c>
      <c r="H17" s="1658"/>
    </row>
    <row r="18" spans="2:9">
      <c r="B18" s="1654" t="s">
        <v>981</v>
      </c>
    </row>
    <row r="19" spans="2:9">
      <c r="B19" s="1614" t="s">
        <v>1188</v>
      </c>
    </row>
    <row r="24" spans="2:9" ht="15.75" thickBot="1"/>
    <row r="25" spans="2:9" ht="25.5">
      <c r="C25" s="1659" t="s">
        <v>673</v>
      </c>
      <c r="D25" s="1660" t="s">
        <v>1008</v>
      </c>
      <c r="E25" s="1661" t="s">
        <v>1180</v>
      </c>
      <c r="F25" s="1662" t="s">
        <v>949</v>
      </c>
      <c r="G25" s="1642"/>
      <c r="I25" s="779"/>
    </row>
    <row r="26" spans="2:9">
      <c r="C26" s="1663" t="s">
        <v>941</v>
      </c>
      <c r="D26" s="1664">
        <v>21</v>
      </c>
      <c r="E26" s="1665">
        <v>1941</v>
      </c>
      <c r="F26" s="1666">
        <v>3721</v>
      </c>
      <c r="G26" s="1642"/>
      <c r="I26" s="779"/>
    </row>
    <row r="27" spans="2:9">
      <c r="C27" s="1663" t="s">
        <v>942</v>
      </c>
      <c r="D27" s="1664">
        <v>44</v>
      </c>
      <c r="E27" s="1665">
        <v>1791</v>
      </c>
      <c r="F27" s="1666">
        <v>3749</v>
      </c>
      <c r="G27" s="1642"/>
      <c r="I27" s="779"/>
    </row>
    <row r="28" spans="2:9">
      <c r="C28" s="1663" t="s">
        <v>946</v>
      </c>
      <c r="D28" s="1664">
        <v>99</v>
      </c>
      <c r="E28" s="1665">
        <v>2042</v>
      </c>
      <c r="F28" s="1666">
        <v>4190</v>
      </c>
      <c r="G28" s="1642"/>
      <c r="I28" s="779"/>
    </row>
    <row r="29" spans="2:9">
      <c r="C29" s="1663" t="s">
        <v>943</v>
      </c>
      <c r="D29" s="1664">
        <v>312</v>
      </c>
      <c r="E29" s="1665">
        <v>5172</v>
      </c>
      <c r="F29" s="1666">
        <v>11145</v>
      </c>
      <c r="G29" s="1642"/>
      <c r="I29" s="779"/>
    </row>
    <row r="30" spans="2:9">
      <c r="C30" s="1663" t="s">
        <v>944</v>
      </c>
      <c r="D30" s="1664">
        <v>199</v>
      </c>
      <c r="E30" s="1665">
        <v>2762</v>
      </c>
      <c r="F30" s="1666">
        <v>5512</v>
      </c>
      <c r="G30" s="1642"/>
      <c r="I30" s="779"/>
    </row>
    <row r="31" spans="2:9">
      <c r="C31" s="1663" t="s">
        <v>945</v>
      </c>
      <c r="D31" s="1664">
        <v>7</v>
      </c>
      <c r="E31" s="1665">
        <v>52</v>
      </c>
      <c r="F31" s="1666">
        <v>121</v>
      </c>
      <c r="G31" s="1642"/>
      <c r="I31" s="779"/>
    </row>
    <row r="32" spans="2:9">
      <c r="C32" s="1663" t="s">
        <v>163</v>
      </c>
      <c r="D32" s="1664">
        <v>1</v>
      </c>
      <c r="E32" s="1665">
        <v>6</v>
      </c>
      <c r="F32" s="1666">
        <v>0</v>
      </c>
      <c r="G32" s="1642"/>
      <c r="I32" s="779"/>
    </row>
    <row r="33" spans="2:9" ht="15.75" thickBot="1">
      <c r="C33" s="1663" t="s">
        <v>1179</v>
      </c>
      <c r="D33" s="1664">
        <v>1</v>
      </c>
      <c r="E33" s="1665">
        <v>10</v>
      </c>
      <c r="F33" s="1666">
        <v>20</v>
      </c>
      <c r="G33" s="1642"/>
      <c r="I33" s="779"/>
    </row>
    <row r="34" spans="2:9" ht="15.75" thickBot="1">
      <c r="C34" s="2653" t="s">
        <v>55</v>
      </c>
      <c r="D34" s="2654">
        <f>SUM(D26:D33)</f>
        <v>684</v>
      </c>
      <c r="E34" s="2654">
        <f>SUM(E26:E33)</f>
        <v>13776</v>
      </c>
      <c r="F34" s="2655">
        <f>SUM(F26:F33)</f>
        <v>28458</v>
      </c>
      <c r="G34" s="1642"/>
      <c r="I34" s="779"/>
    </row>
    <row r="41" spans="2:9" ht="18.75" customHeight="1">
      <c r="B41" s="1654" t="s">
        <v>676</v>
      </c>
    </row>
    <row r="42" spans="2:9">
      <c r="B42" s="1654" t="s">
        <v>981</v>
      </c>
    </row>
  </sheetData>
  <mergeCells count="1">
    <mergeCell ref="B3:B15"/>
  </mergeCells>
  <pageMargins left="0.70866141732283472" right="0.70866141732283472" top="0.74803149606299213" bottom="0.74803149606299213" header="0.31496062992125984" footer="0.31496062992125984"/>
  <pageSetup scale="50" orientation="landscape" verticalDpi="597"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17"/>
  <sheetViews>
    <sheetView workbookViewId="0">
      <selection sqref="A1:XFD1048576"/>
    </sheetView>
  </sheetViews>
  <sheetFormatPr baseColWidth="10" defaultRowHeight="15"/>
  <cols>
    <col min="1" max="1" width="4.7109375" customWidth="1"/>
    <col min="2" max="2" width="21" customWidth="1"/>
    <col min="3" max="10" width="13.7109375" customWidth="1"/>
    <col min="11" max="11" width="11.42578125" customWidth="1"/>
    <col min="12" max="12" width="13.140625" bestFit="1" customWidth="1"/>
    <col min="13" max="13" width="10.85546875" customWidth="1"/>
    <col min="14" max="14" width="9.7109375" customWidth="1"/>
  </cols>
  <sheetData>
    <row r="1" spans="2:14" s="1642" customFormat="1" ht="21">
      <c r="B1" s="2656" t="s">
        <v>1187</v>
      </c>
      <c r="H1" s="779"/>
      <c r="I1" s="779"/>
    </row>
    <row r="2" spans="2:14">
      <c r="B2" s="1614" t="s">
        <v>1188</v>
      </c>
    </row>
    <row r="3" spans="2:14">
      <c r="B3" s="1614"/>
    </row>
    <row r="4" spans="2:14">
      <c r="B4" s="2610"/>
      <c r="C4" s="2610"/>
      <c r="D4" s="47"/>
      <c r="E4" s="47"/>
      <c r="F4" s="47"/>
      <c r="G4" s="2610"/>
      <c r="H4" s="2610"/>
      <c r="I4" s="2610"/>
      <c r="J4" s="2610"/>
      <c r="K4" s="2610"/>
    </row>
    <row r="5" spans="2:14">
      <c r="B5" s="3066" t="s">
        <v>951</v>
      </c>
      <c r="C5" s="3067" t="s">
        <v>970</v>
      </c>
      <c r="D5" s="47"/>
      <c r="E5" s="47"/>
      <c r="F5" s="47"/>
      <c r="G5" s="2610"/>
      <c r="H5" s="2610"/>
      <c r="I5" s="2610"/>
      <c r="J5" s="2610"/>
      <c r="K5" s="2610"/>
    </row>
    <row r="6" spans="2:14">
      <c r="B6" s="2610"/>
      <c r="C6" s="2610"/>
      <c r="D6" s="47"/>
      <c r="E6" s="47"/>
      <c r="F6" s="47"/>
      <c r="G6" s="2610"/>
      <c r="H6" s="2610"/>
      <c r="I6" s="2610"/>
      <c r="J6" s="2610"/>
      <c r="K6" s="2610"/>
    </row>
    <row r="7" spans="2:14" ht="24.75">
      <c r="B7" s="3077" t="s">
        <v>1186</v>
      </c>
      <c r="C7" s="3068" t="s">
        <v>166</v>
      </c>
      <c r="D7" s="3069"/>
      <c r="E7" s="3069"/>
      <c r="F7" s="3069"/>
      <c r="G7" s="3069"/>
      <c r="H7" s="3069"/>
      <c r="I7" s="3069"/>
      <c r="J7" s="3069"/>
      <c r="K7" s="3070"/>
    </row>
    <row r="8" spans="2:14" s="22" customFormat="1">
      <c r="B8" s="3068" t="s">
        <v>952</v>
      </c>
      <c r="C8" s="3076" t="s">
        <v>941</v>
      </c>
      <c r="D8" s="3084" t="s">
        <v>942</v>
      </c>
      <c r="E8" s="3084" t="s">
        <v>946</v>
      </c>
      <c r="F8" s="3084" t="s">
        <v>943</v>
      </c>
      <c r="G8" s="3084" t="s">
        <v>1406</v>
      </c>
      <c r="H8" s="3084" t="s">
        <v>1405</v>
      </c>
      <c r="I8" s="3084" t="s">
        <v>294</v>
      </c>
      <c r="J8" s="3084" t="s">
        <v>957</v>
      </c>
      <c r="K8" s="3083" t="s">
        <v>55</v>
      </c>
      <c r="L8"/>
      <c r="M8"/>
      <c r="N8"/>
    </row>
    <row r="9" spans="2:14">
      <c r="B9" s="3071" t="s">
        <v>974</v>
      </c>
      <c r="C9" s="3072"/>
      <c r="D9" s="3081"/>
      <c r="E9" s="3081"/>
      <c r="F9" s="3081"/>
      <c r="G9" s="3081"/>
      <c r="H9" s="3081">
        <v>3</v>
      </c>
      <c r="I9" s="3081"/>
      <c r="J9" s="3081"/>
      <c r="K9" s="3078">
        <v>3</v>
      </c>
    </row>
    <row r="10" spans="2:14">
      <c r="B10" s="3073" t="s">
        <v>971</v>
      </c>
      <c r="C10" s="3074"/>
      <c r="D10" s="3082"/>
      <c r="E10" s="3082"/>
      <c r="F10" s="3082"/>
      <c r="G10" s="3082"/>
      <c r="H10" s="3082">
        <v>4</v>
      </c>
      <c r="I10" s="3082"/>
      <c r="J10" s="3082"/>
      <c r="K10" s="3079">
        <v>4</v>
      </c>
    </row>
    <row r="11" spans="2:14">
      <c r="B11" s="3073" t="s">
        <v>975</v>
      </c>
      <c r="C11" s="3074">
        <v>3</v>
      </c>
      <c r="D11" s="3082">
        <v>1</v>
      </c>
      <c r="E11" s="3082">
        <v>2</v>
      </c>
      <c r="F11" s="3082"/>
      <c r="G11" s="3082"/>
      <c r="H11" s="3082"/>
      <c r="I11" s="3082"/>
      <c r="J11" s="3082"/>
      <c r="K11" s="3079">
        <v>6</v>
      </c>
    </row>
    <row r="12" spans="2:14">
      <c r="B12" s="3073" t="s">
        <v>217</v>
      </c>
      <c r="C12" s="3074"/>
      <c r="D12" s="3082"/>
      <c r="E12" s="3082">
        <v>26</v>
      </c>
      <c r="F12" s="3082">
        <v>279</v>
      </c>
      <c r="G12" s="3082">
        <v>199</v>
      </c>
      <c r="H12" s="3082"/>
      <c r="I12" s="3082"/>
      <c r="J12" s="3082"/>
      <c r="K12" s="3079">
        <v>504</v>
      </c>
    </row>
    <row r="13" spans="2:14">
      <c r="B13" s="3073" t="s">
        <v>972</v>
      </c>
      <c r="C13" s="3074">
        <v>3</v>
      </c>
      <c r="D13" s="3082">
        <v>8</v>
      </c>
      <c r="E13" s="3082">
        <v>16</v>
      </c>
      <c r="F13" s="3082"/>
      <c r="G13" s="3082"/>
      <c r="H13" s="3082"/>
      <c r="I13" s="3082"/>
      <c r="J13" s="3082"/>
      <c r="K13" s="3079">
        <v>27</v>
      </c>
    </row>
    <row r="14" spans="2:14">
      <c r="B14" s="3073" t="s">
        <v>296</v>
      </c>
      <c r="C14" s="3074">
        <v>13</v>
      </c>
      <c r="D14" s="3082">
        <v>32</v>
      </c>
      <c r="E14" s="3082">
        <v>54</v>
      </c>
      <c r="F14" s="3082">
        <v>33</v>
      </c>
      <c r="G14" s="3082"/>
      <c r="H14" s="3082"/>
      <c r="I14" s="3082"/>
      <c r="J14" s="3082"/>
      <c r="K14" s="3079">
        <v>132</v>
      </c>
    </row>
    <row r="15" spans="2:14">
      <c r="B15" s="3073" t="s">
        <v>934</v>
      </c>
      <c r="C15" s="3074">
        <v>2</v>
      </c>
      <c r="D15" s="3082">
        <v>3</v>
      </c>
      <c r="E15" s="3082">
        <v>1</v>
      </c>
      <c r="F15" s="3082"/>
      <c r="G15" s="3082"/>
      <c r="H15" s="3082"/>
      <c r="I15" s="3082"/>
      <c r="J15" s="3082"/>
      <c r="K15" s="3079">
        <v>6</v>
      </c>
    </row>
    <row r="16" spans="2:14">
      <c r="B16" s="3073" t="s">
        <v>973</v>
      </c>
      <c r="C16" s="3074"/>
      <c r="D16" s="3082"/>
      <c r="E16" s="3082"/>
      <c r="F16" s="3082"/>
      <c r="G16" s="3082"/>
      <c r="H16" s="3082"/>
      <c r="I16" s="3082">
        <v>1</v>
      </c>
      <c r="J16" s="3082">
        <v>1</v>
      </c>
      <c r="K16" s="3079">
        <v>2</v>
      </c>
    </row>
    <row r="17" spans="2:11">
      <c r="B17" s="3085" t="s">
        <v>55</v>
      </c>
      <c r="C17" s="3075">
        <v>21</v>
      </c>
      <c r="D17" s="3086">
        <v>44</v>
      </c>
      <c r="E17" s="3086">
        <v>99</v>
      </c>
      <c r="F17" s="3086">
        <v>312</v>
      </c>
      <c r="G17" s="3086">
        <v>199</v>
      </c>
      <c r="H17" s="3086">
        <v>7</v>
      </c>
      <c r="I17" s="3086">
        <v>1</v>
      </c>
      <c r="J17" s="3086">
        <v>1</v>
      </c>
      <c r="K17" s="3080">
        <v>684</v>
      </c>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Y61"/>
  <sheetViews>
    <sheetView showGridLines="0" zoomScale="85" zoomScaleNormal="85" workbookViewId="0">
      <selection activeCell="E3" sqref="E3"/>
    </sheetView>
  </sheetViews>
  <sheetFormatPr baseColWidth="10" defaultRowHeight="15"/>
  <cols>
    <col min="3" max="3" width="31.7109375" customWidth="1"/>
    <col min="4" max="4" width="30.7109375" style="240" customWidth="1"/>
    <col min="5" max="5" width="19" style="129" customWidth="1"/>
    <col min="6" max="6" width="19" style="267" customWidth="1"/>
    <col min="8" max="8" width="25.28515625" bestFit="1" customWidth="1"/>
    <col min="17" max="17" width="28.5703125" customWidth="1"/>
    <col min="18" max="18" width="23.140625" customWidth="1"/>
    <col min="19" max="20" width="24.85546875" customWidth="1"/>
    <col min="21" max="21" width="28.5703125" customWidth="1"/>
    <col min="22" max="22" width="24.85546875" customWidth="1"/>
    <col min="23" max="23" width="28.5703125" customWidth="1"/>
    <col min="24" max="24" width="24.85546875" customWidth="1"/>
  </cols>
  <sheetData>
    <row r="1" spans="3:25">
      <c r="Q1" s="263" t="s">
        <v>338</v>
      </c>
      <c r="R1" t="s">
        <v>431</v>
      </c>
    </row>
    <row r="2" spans="3:25" s="65" customFormat="1" ht="20.25">
      <c r="D2" s="881" t="s">
        <v>497</v>
      </c>
      <c r="E2" s="882"/>
      <c r="F2" s="867"/>
      <c r="Q2" s="883" t="s">
        <v>432</v>
      </c>
      <c r="R2" s="884">
        <v>78800.937329999957</v>
      </c>
    </row>
    <row r="3" spans="3:25">
      <c r="Q3" s="50" t="s">
        <v>434</v>
      </c>
      <c r="R3" s="147">
        <v>12317</v>
      </c>
    </row>
    <row r="4" spans="3:25">
      <c r="D4" s="241" t="s">
        <v>367</v>
      </c>
      <c r="Q4" s="50" t="s">
        <v>433</v>
      </c>
      <c r="R4" s="147">
        <v>11931</v>
      </c>
    </row>
    <row r="5" spans="3:25">
      <c r="D5" s="241" t="s">
        <v>498</v>
      </c>
      <c r="Q5" s="50" t="s">
        <v>436</v>
      </c>
      <c r="R5" s="147">
        <v>7522</v>
      </c>
    </row>
    <row r="6" spans="3:25" ht="15.75" thickBot="1">
      <c r="D6" s="242"/>
      <c r="E6" s="243"/>
      <c r="F6" s="244"/>
      <c r="Q6" s="50" t="s">
        <v>435</v>
      </c>
      <c r="R6" s="147">
        <v>4147</v>
      </c>
    </row>
    <row r="7" spans="3:25" s="63" customFormat="1" ht="25.5" thickTop="1" thickBot="1">
      <c r="C7" s="63" t="s">
        <v>439</v>
      </c>
      <c r="D7" s="260" t="s">
        <v>440</v>
      </c>
      <c r="E7" s="261" t="s">
        <v>368</v>
      </c>
      <c r="F7" s="262" t="s">
        <v>369</v>
      </c>
      <c r="Q7" s="50" t="s">
        <v>437</v>
      </c>
      <c r="R7" s="147">
        <v>1384</v>
      </c>
      <c r="S7"/>
      <c r="Y7"/>
    </row>
    <row r="8" spans="3:25" ht="15.75" thickTop="1">
      <c r="C8" s="246" t="s">
        <v>432</v>
      </c>
      <c r="D8" s="247" t="s">
        <v>449</v>
      </c>
      <c r="E8" s="248">
        <v>34698.041399999966</v>
      </c>
      <c r="F8" s="272">
        <f>E8/$E$54</f>
        <v>0.29589925152437574</v>
      </c>
      <c r="I8" s="245"/>
      <c r="Q8" s="50" t="s">
        <v>495</v>
      </c>
      <c r="R8" s="147">
        <v>570.08790999999997</v>
      </c>
    </row>
    <row r="9" spans="3:25">
      <c r="C9" s="246" t="s">
        <v>432</v>
      </c>
      <c r="D9" s="247" t="s">
        <v>448</v>
      </c>
      <c r="E9" s="248">
        <v>21634.895929999999</v>
      </c>
      <c r="F9" s="272">
        <f t="shared" ref="F9:F53" si="0">E9/$E$54</f>
        <v>0.18449887239153415</v>
      </c>
      <c r="I9" s="245"/>
      <c r="Q9" s="50" t="s">
        <v>485</v>
      </c>
      <c r="R9" s="147">
        <v>531</v>
      </c>
    </row>
    <row r="10" spans="3:25">
      <c r="C10" s="246" t="s">
        <v>432</v>
      </c>
      <c r="D10" s="247" t="s">
        <v>450</v>
      </c>
      <c r="E10" s="248">
        <v>5166</v>
      </c>
      <c r="F10" s="272">
        <f t="shared" si="0"/>
        <v>4.4054807467459142E-2</v>
      </c>
      <c r="I10" s="245"/>
      <c r="Q10" s="50" t="s">
        <v>438</v>
      </c>
      <c r="R10" s="147">
        <v>60</v>
      </c>
    </row>
    <row r="11" spans="3:25">
      <c r="C11" s="246" t="s">
        <v>432</v>
      </c>
      <c r="D11" s="247" t="s">
        <v>451</v>
      </c>
      <c r="E11" s="248">
        <v>4635</v>
      </c>
      <c r="F11" s="272">
        <f t="shared" si="0"/>
        <v>3.952652586366108E-2</v>
      </c>
      <c r="I11" s="245"/>
      <c r="Q11" s="50" t="s">
        <v>55</v>
      </c>
      <c r="R11" s="147">
        <v>117263.02523999996</v>
      </c>
    </row>
    <row r="12" spans="3:25">
      <c r="C12" s="246" t="s">
        <v>432</v>
      </c>
      <c r="D12" s="247" t="s">
        <v>452</v>
      </c>
      <c r="E12" s="248">
        <v>4409</v>
      </c>
      <c r="F12" s="272">
        <f t="shared" si="0"/>
        <v>3.7599234634925933E-2</v>
      </c>
      <c r="I12" s="245"/>
    </row>
    <row r="13" spans="3:25">
      <c r="C13" s="246" t="s">
        <v>432</v>
      </c>
      <c r="D13" s="247" t="s">
        <v>453</v>
      </c>
      <c r="E13" s="248">
        <v>3001</v>
      </c>
      <c r="F13" s="272">
        <f t="shared" si="0"/>
        <v>2.5592039723160064E-2</v>
      </c>
      <c r="I13" s="245"/>
    </row>
    <row r="14" spans="3:25">
      <c r="C14" s="246" t="s">
        <v>432</v>
      </c>
      <c r="D14" s="247" t="s">
        <v>454</v>
      </c>
      <c r="E14" s="248">
        <v>2289</v>
      </c>
      <c r="F14" s="272">
        <f t="shared" si="0"/>
        <v>1.9520219568914823E-2</v>
      </c>
      <c r="I14" s="245"/>
    </row>
    <row r="15" spans="3:25" ht="24">
      <c r="C15" s="246" t="s">
        <v>432</v>
      </c>
      <c r="D15" s="247" t="s">
        <v>455</v>
      </c>
      <c r="E15" s="248">
        <v>1131</v>
      </c>
      <c r="F15" s="272">
        <f t="shared" si="0"/>
        <v>9.6449839809710208E-3</v>
      </c>
      <c r="I15" s="245"/>
    </row>
    <row r="16" spans="3:25">
      <c r="C16" s="246" t="s">
        <v>432</v>
      </c>
      <c r="D16" s="247" t="s">
        <v>456</v>
      </c>
      <c r="E16" s="248">
        <v>789</v>
      </c>
      <c r="F16" s="272">
        <f t="shared" si="0"/>
        <v>6.7284636259824357E-3</v>
      </c>
      <c r="I16" s="245"/>
    </row>
    <row r="17" spans="3:19">
      <c r="C17" s="246" t="s">
        <v>432</v>
      </c>
      <c r="D17" s="247" t="s">
        <v>457</v>
      </c>
      <c r="E17" s="248">
        <v>252</v>
      </c>
      <c r="F17" s="272">
        <f t="shared" si="0"/>
        <v>2.1490149984126411E-3</v>
      </c>
      <c r="I17" s="245"/>
    </row>
    <row r="18" spans="3:19" ht="24">
      <c r="C18" s="246" t="s">
        <v>432</v>
      </c>
      <c r="D18" s="247" t="s">
        <v>458</v>
      </c>
      <c r="E18" s="248">
        <v>192</v>
      </c>
      <c r="F18" s="272">
        <f t="shared" si="0"/>
        <v>1.6373447606953455E-3</v>
      </c>
      <c r="I18" s="245"/>
    </row>
    <row r="19" spans="3:19">
      <c r="C19" s="246" t="s">
        <v>432</v>
      </c>
      <c r="D19" s="247" t="s">
        <v>459</v>
      </c>
      <c r="E19" s="248">
        <v>176</v>
      </c>
      <c r="F19" s="272">
        <f t="shared" si="0"/>
        <v>1.5008993639707335E-3</v>
      </c>
      <c r="I19" s="245"/>
    </row>
    <row r="20" spans="3:19">
      <c r="C20" s="246" t="s">
        <v>432</v>
      </c>
      <c r="D20" s="247" t="s">
        <v>460</v>
      </c>
      <c r="E20" s="248">
        <v>151</v>
      </c>
      <c r="F20" s="272">
        <f t="shared" si="0"/>
        <v>1.2877034315885269E-3</v>
      </c>
      <c r="I20" s="245"/>
    </row>
    <row r="21" spans="3:19">
      <c r="C21" s="246" t="s">
        <v>432</v>
      </c>
      <c r="D21" s="247" t="s">
        <v>461</v>
      </c>
      <c r="E21" s="248">
        <v>144</v>
      </c>
      <c r="F21" s="272">
        <f t="shared" si="0"/>
        <v>1.2280085705215092E-3</v>
      </c>
      <c r="I21" s="245"/>
    </row>
    <row r="22" spans="3:19">
      <c r="C22" s="246" t="s">
        <v>432</v>
      </c>
      <c r="D22" s="247" t="s">
        <v>462</v>
      </c>
      <c r="E22" s="248">
        <v>47</v>
      </c>
      <c r="F22" s="272">
        <f t="shared" si="0"/>
        <v>4.0080835287854811E-4</v>
      </c>
      <c r="I22" s="245"/>
    </row>
    <row r="23" spans="3:19">
      <c r="C23" s="246" t="s">
        <v>432</v>
      </c>
      <c r="D23" s="247" t="s">
        <v>463</v>
      </c>
      <c r="E23" s="248">
        <v>43</v>
      </c>
      <c r="F23" s="272">
        <f t="shared" si="0"/>
        <v>3.6669700369739512E-4</v>
      </c>
      <c r="I23" s="245"/>
    </row>
    <row r="24" spans="3:19">
      <c r="C24" s="246" t="s">
        <v>432</v>
      </c>
      <c r="D24" s="247" t="s">
        <v>464</v>
      </c>
      <c r="E24" s="248">
        <v>43</v>
      </c>
      <c r="F24" s="272">
        <f t="shared" si="0"/>
        <v>3.6669700369739512E-4</v>
      </c>
      <c r="I24" s="245"/>
    </row>
    <row r="25" spans="3:19">
      <c r="C25" s="246" t="s">
        <v>433</v>
      </c>
      <c r="D25" s="247" t="s">
        <v>466</v>
      </c>
      <c r="E25" s="248">
        <v>8232</v>
      </c>
      <c r="F25" s="272">
        <f t="shared" si="0"/>
        <v>7.0201156614812937E-2</v>
      </c>
      <c r="I25" s="245"/>
    </row>
    <row r="26" spans="3:19">
      <c r="C26" s="246" t="s">
        <v>433</v>
      </c>
      <c r="D26" s="247" t="s">
        <v>467</v>
      </c>
      <c r="E26" s="248">
        <v>3222</v>
      </c>
      <c r="F26" s="272">
        <f t="shared" si="0"/>
        <v>2.7476691765418768E-2</v>
      </c>
      <c r="I26" s="245"/>
    </row>
    <row r="27" spans="3:19">
      <c r="C27" s="246" t="s">
        <v>433</v>
      </c>
      <c r="D27" s="247" t="s">
        <v>468</v>
      </c>
      <c r="E27" s="248">
        <v>316</v>
      </c>
      <c r="F27" s="272">
        <f t="shared" si="0"/>
        <v>2.6947965853110897E-3</v>
      </c>
      <c r="I27" s="245"/>
    </row>
    <row r="28" spans="3:19">
      <c r="C28" s="246" t="s">
        <v>433</v>
      </c>
      <c r="D28" s="247" t="s">
        <v>469</v>
      </c>
      <c r="E28" s="248">
        <v>161</v>
      </c>
      <c r="F28" s="272">
        <f t="shared" si="0"/>
        <v>1.3729818045414095E-3</v>
      </c>
      <c r="I28" s="245"/>
    </row>
    <row r="29" spans="3:19">
      <c r="C29" s="246" t="s">
        <v>434</v>
      </c>
      <c r="D29" s="247" t="s">
        <v>470</v>
      </c>
      <c r="E29" s="248">
        <v>6628</v>
      </c>
      <c r="F29" s="272">
        <f t="shared" si="0"/>
        <v>5.6522505593170576E-2</v>
      </c>
      <c r="I29" s="245"/>
    </row>
    <row r="30" spans="3:19">
      <c r="C30" s="246" t="s">
        <v>434</v>
      </c>
      <c r="D30" s="247" t="s">
        <v>471</v>
      </c>
      <c r="E30" s="248">
        <v>4829</v>
      </c>
      <c r="F30" s="272">
        <f t="shared" si="0"/>
        <v>4.1180926298946999E-2</v>
      </c>
      <c r="I30" s="245"/>
    </row>
    <row r="31" spans="3:19">
      <c r="C31" s="246" t="s">
        <v>434</v>
      </c>
      <c r="D31" s="247" t="s">
        <v>472</v>
      </c>
      <c r="E31" s="248">
        <v>344</v>
      </c>
      <c r="F31" s="272">
        <f t="shared" si="0"/>
        <v>2.933576029579161E-3</v>
      </c>
      <c r="I31" s="245"/>
    </row>
    <row r="32" spans="3:19">
      <c r="C32" s="246" t="s">
        <v>434</v>
      </c>
      <c r="D32" s="247" t="s">
        <v>473</v>
      </c>
      <c r="E32" s="248">
        <v>227</v>
      </c>
      <c r="F32" s="272">
        <f t="shared" si="0"/>
        <v>1.9358190660304347E-3</v>
      </c>
      <c r="I32" s="245"/>
      <c r="R32" s="263" t="s">
        <v>439</v>
      </c>
      <c r="S32" t="s">
        <v>433</v>
      </c>
    </row>
    <row r="33" spans="3:22">
      <c r="C33" s="246" t="s">
        <v>434</v>
      </c>
      <c r="D33" s="247" t="s">
        <v>474</v>
      </c>
      <c r="E33" s="248">
        <v>289</v>
      </c>
      <c r="F33" s="272">
        <f t="shared" si="0"/>
        <v>2.4645449783383066E-3</v>
      </c>
      <c r="I33" s="245"/>
    </row>
    <row r="34" spans="3:22" ht="24">
      <c r="C34" s="246" t="s">
        <v>435</v>
      </c>
      <c r="D34" s="247" t="s">
        <v>475</v>
      </c>
      <c r="E34" s="248">
        <v>2032</v>
      </c>
      <c r="F34" s="272">
        <f t="shared" si="0"/>
        <v>1.7328565384025739E-2</v>
      </c>
      <c r="I34" s="245"/>
      <c r="R34" s="263" t="s">
        <v>338</v>
      </c>
      <c r="S34" t="s">
        <v>431</v>
      </c>
    </row>
    <row r="35" spans="3:22">
      <c r="C35" s="246" t="s">
        <v>435</v>
      </c>
      <c r="D35" s="247" t="s">
        <v>476</v>
      </c>
      <c r="E35" s="248">
        <v>1481</v>
      </c>
      <c r="F35" s="272">
        <f t="shared" si="0"/>
        <v>1.262972703432191E-2</v>
      </c>
      <c r="I35" s="245"/>
      <c r="R35" s="50" t="s">
        <v>466</v>
      </c>
      <c r="S35" s="147">
        <v>8232</v>
      </c>
    </row>
    <row r="36" spans="3:22">
      <c r="C36" s="246" t="s">
        <v>435</v>
      </c>
      <c r="D36" s="247" t="s">
        <v>477</v>
      </c>
      <c r="E36" s="248">
        <v>390</v>
      </c>
      <c r="F36" s="272">
        <f t="shared" si="0"/>
        <v>3.3258565451624207E-3</v>
      </c>
      <c r="I36" s="245"/>
      <c r="R36" s="50" t="s">
        <v>467</v>
      </c>
      <c r="S36" s="147">
        <v>3222</v>
      </c>
    </row>
    <row r="37" spans="3:22">
      <c r="C37" s="246" t="s">
        <v>435</v>
      </c>
      <c r="D37" s="247" t="s">
        <v>478</v>
      </c>
      <c r="E37" s="248">
        <v>157</v>
      </c>
      <c r="F37" s="272">
        <f t="shared" si="0"/>
        <v>1.3388704553602565E-3</v>
      </c>
      <c r="I37" s="245"/>
      <c r="R37" s="50" t="s">
        <v>468</v>
      </c>
      <c r="S37" s="147">
        <v>316</v>
      </c>
    </row>
    <row r="38" spans="3:22">
      <c r="C38" s="246" t="s">
        <v>435</v>
      </c>
      <c r="D38" s="247" t="s">
        <v>479</v>
      </c>
      <c r="E38" s="248">
        <v>87</v>
      </c>
      <c r="F38" s="272">
        <f t="shared" si="0"/>
        <v>7.419218446900785E-4</v>
      </c>
      <c r="I38" s="245"/>
      <c r="R38" s="50" t="s">
        <v>469</v>
      </c>
      <c r="S38" s="147">
        <v>161</v>
      </c>
      <c r="V38" s="264"/>
    </row>
    <row r="39" spans="3:22">
      <c r="C39" s="246" t="s">
        <v>436</v>
      </c>
      <c r="D39" s="247" t="s">
        <v>480</v>
      </c>
      <c r="E39" s="248">
        <v>1719</v>
      </c>
      <c r="F39" s="272">
        <f t="shared" si="0"/>
        <v>1.4659352310600516E-2</v>
      </c>
      <c r="I39" s="245"/>
      <c r="R39" s="50" t="s">
        <v>55</v>
      </c>
      <c r="S39" s="147">
        <v>11931</v>
      </c>
      <c r="V39" s="264"/>
    </row>
    <row r="40" spans="3:22">
      <c r="C40" s="246" t="s">
        <v>436</v>
      </c>
      <c r="D40" s="247" t="s">
        <v>481</v>
      </c>
      <c r="E40" s="248">
        <v>4960</v>
      </c>
      <c r="F40" s="272">
        <f t="shared" si="0"/>
        <v>4.2298072984629759E-2</v>
      </c>
      <c r="V40" s="264"/>
    </row>
    <row r="41" spans="3:22">
      <c r="C41" s="246" t="s">
        <v>436</v>
      </c>
      <c r="D41" s="247" t="s">
        <v>482</v>
      </c>
      <c r="E41" s="248">
        <v>172</v>
      </c>
      <c r="F41" s="272">
        <f t="shared" si="0"/>
        <v>1.4667880147895805E-3</v>
      </c>
      <c r="V41" s="264"/>
    </row>
    <row r="42" spans="3:22">
      <c r="C42" s="246" t="s">
        <v>436</v>
      </c>
      <c r="D42" s="247" t="s">
        <v>483</v>
      </c>
      <c r="E42" s="248">
        <v>139</v>
      </c>
      <c r="F42" s="272">
        <f t="shared" si="0"/>
        <v>1.1853693840450678E-3</v>
      </c>
      <c r="V42" s="264"/>
    </row>
    <row r="43" spans="3:22">
      <c r="C43" s="246" t="s">
        <v>436</v>
      </c>
      <c r="D43" s="247" t="s">
        <v>484</v>
      </c>
      <c r="E43" s="248">
        <v>532</v>
      </c>
      <c r="F43" s="272">
        <f t="shared" si="0"/>
        <v>4.536809441093353E-3</v>
      </c>
      <c r="U43" s="50"/>
      <c r="V43" s="264"/>
    </row>
    <row r="44" spans="3:22">
      <c r="C44" s="246" t="s">
        <v>485</v>
      </c>
      <c r="D44" s="247" t="s">
        <v>486</v>
      </c>
      <c r="E44" s="248">
        <v>196</v>
      </c>
      <c r="F44" s="272">
        <f t="shared" si="0"/>
        <v>1.6714561098764985E-3</v>
      </c>
      <c r="U44" s="50"/>
      <c r="V44" s="264"/>
    </row>
    <row r="45" spans="3:22">
      <c r="C45" s="246" t="s">
        <v>485</v>
      </c>
      <c r="D45" s="247" t="s">
        <v>487</v>
      </c>
      <c r="E45" s="248">
        <v>143</v>
      </c>
      <c r="F45" s="272">
        <f t="shared" si="0"/>
        <v>1.2194807332262208E-3</v>
      </c>
      <c r="U45" s="50"/>
      <c r="V45" s="264"/>
    </row>
    <row r="46" spans="3:22">
      <c r="C46" s="246" t="s">
        <v>485</v>
      </c>
      <c r="D46" s="247" t="s">
        <v>488</v>
      </c>
      <c r="E46" s="248">
        <v>96</v>
      </c>
      <c r="F46" s="272">
        <f t="shared" si="0"/>
        <v>8.1867238034767273E-4</v>
      </c>
    </row>
    <row r="47" spans="3:22">
      <c r="C47" s="246" t="s">
        <v>485</v>
      </c>
      <c r="D47" s="247" t="s">
        <v>489</v>
      </c>
      <c r="E47" s="248">
        <v>96</v>
      </c>
      <c r="F47" s="272">
        <f t="shared" si="0"/>
        <v>8.1867238034767273E-4</v>
      </c>
    </row>
    <row r="48" spans="3:22">
      <c r="C48" s="246" t="s">
        <v>438</v>
      </c>
      <c r="D48" s="247" t="s">
        <v>490</v>
      </c>
      <c r="E48" s="248">
        <v>60</v>
      </c>
      <c r="F48" s="272">
        <f t="shared" si="0"/>
        <v>5.1167023771729549E-4</v>
      </c>
    </row>
    <row r="49" spans="3:8">
      <c r="C49" s="246" t="s">
        <v>437</v>
      </c>
      <c r="D49" s="247" t="s">
        <v>491</v>
      </c>
      <c r="E49" s="248">
        <v>416</v>
      </c>
      <c r="F49" s="272">
        <f t="shared" si="0"/>
        <v>3.5475803148399153E-3</v>
      </c>
    </row>
    <row r="50" spans="3:8">
      <c r="C50" s="246" t="s">
        <v>437</v>
      </c>
      <c r="D50" s="247" t="s">
        <v>492</v>
      </c>
      <c r="E50" s="248">
        <v>342</v>
      </c>
      <c r="F50" s="272">
        <f t="shared" si="0"/>
        <v>2.9165203549885842E-3</v>
      </c>
    </row>
    <row r="51" spans="3:8">
      <c r="C51" s="246" t="s">
        <v>437</v>
      </c>
      <c r="D51" s="247" t="s">
        <v>493</v>
      </c>
      <c r="E51" s="248">
        <v>135</v>
      </c>
      <c r="F51" s="272">
        <f t="shared" si="0"/>
        <v>1.1512580348639148E-3</v>
      </c>
    </row>
    <row r="52" spans="3:8">
      <c r="C52" s="246" t="s">
        <v>437</v>
      </c>
      <c r="D52" s="247" t="s">
        <v>494</v>
      </c>
      <c r="E52" s="248">
        <v>491</v>
      </c>
      <c r="F52" s="272">
        <f t="shared" si="0"/>
        <v>4.1871681119865344E-3</v>
      </c>
    </row>
    <row r="53" spans="3:8">
      <c r="C53" s="246" t="s">
        <v>495</v>
      </c>
      <c r="D53" s="247" t="s">
        <v>496</v>
      </c>
      <c r="E53" s="248">
        <v>570.08790999999997</v>
      </c>
      <c r="F53" s="272">
        <f t="shared" si="0"/>
        <v>4.861616940490936E-3</v>
      </c>
    </row>
    <row r="54" spans="3:8" ht="15.75" thickBot="1">
      <c r="D54" s="249" t="s">
        <v>55</v>
      </c>
      <c r="E54" s="250">
        <f>SUM(E8:E53)</f>
        <v>117263.02523999996</v>
      </c>
      <c r="F54" s="273">
        <f>SUM(F8:F53)</f>
        <v>1.0000000000000004</v>
      </c>
      <c r="H54" s="251"/>
    </row>
    <row r="55" spans="3:8" ht="15.75" thickTop="1">
      <c r="D55"/>
      <c r="E55"/>
      <c r="F55"/>
    </row>
    <row r="56" spans="3:8">
      <c r="D56"/>
      <c r="E56"/>
      <c r="F56"/>
    </row>
    <row r="57" spans="3:8">
      <c r="C57" s="234" t="s">
        <v>445</v>
      </c>
      <c r="D57"/>
      <c r="E57"/>
      <c r="F57"/>
    </row>
    <row r="58" spans="3:8">
      <c r="D58"/>
      <c r="E58"/>
      <c r="F58"/>
    </row>
    <row r="59" spans="3:8">
      <c r="D59"/>
      <c r="E59"/>
      <c r="F59"/>
    </row>
    <row r="60" spans="3:8">
      <c r="D60"/>
      <c r="E60"/>
      <c r="F60"/>
    </row>
    <row r="61" spans="3:8">
      <c r="D61"/>
      <c r="E61"/>
      <c r="F61"/>
    </row>
  </sheetData>
  <autoFilter ref="C7:F54"/>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7" workbookViewId="0">
      <selection activeCell="N12" sqref="N12"/>
    </sheetView>
  </sheetViews>
  <sheetFormatPr baseColWidth="10" defaultColWidth="11.42578125" defaultRowHeight="15"/>
  <cols>
    <col min="1" max="16384" width="11.42578125" style="274"/>
  </cols>
  <sheetData>
    <row r="1" spans="1:7">
      <c r="A1" s="274" t="s">
        <v>743</v>
      </c>
    </row>
    <row r="3" spans="1:7">
      <c r="A3" s="3775" t="s">
        <v>166</v>
      </c>
      <c r="B3" s="3775" t="s">
        <v>744</v>
      </c>
      <c r="C3" s="3775"/>
      <c r="D3" s="3775"/>
      <c r="E3" s="3775"/>
      <c r="F3" s="274" t="s">
        <v>747</v>
      </c>
    </row>
    <row r="4" spans="1:7">
      <c r="A4" s="3775"/>
      <c r="B4" s="3776" t="s">
        <v>745</v>
      </c>
      <c r="C4" s="3776"/>
      <c r="D4" s="3776" t="s">
        <v>746</v>
      </c>
      <c r="E4" s="3776"/>
      <c r="F4" s="3776" t="s">
        <v>748</v>
      </c>
      <c r="G4" s="3776"/>
    </row>
    <row r="5" spans="1:7">
      <c r="A5" s="3775"/>
      <c r="B5" s="274">
        <v>2017</v>
      </c>
      <c r="C5" s="274">
        <v>2016</v>
      </c>
      <c r="D5" s="274">
        <v>2017</v>
      </c>
      <c r="E5" s="274">
        <v>2016</v>
      </c>
      <c r="F5" s="274">
        <v>2017</v>
      </c>
      <c r="G5" s="274">
        <v>2016</v>
      </c>
    </row>
    <row r="6" spans="1:7">
      <c r="A6" s="274" t="s">
        <v>162</v>
      </c>
      <c r="C6" s="1301">
        <f>'TOH '!T50</f>
        <v>55.830990041007617</v>
      </c>
      <c r="E6" s="1300">
        <f>'TOH '!S50</f>
        <v>51.558406561218504</v>
      </c>
      <c r="G6" s="1302">
        <f>('TOH '!S50+'TOH '!T50)/2</f>
        <v>53.694698301113064</v>
      </c>
    </row>
    <row r="7" spans="1:7">
      <c r="A7" s="274" t="s">
        <v>163</v>
      </c>
      <c r="C7" s="1301">
        <f>'TOH '!T51</f>
        <v>44.932134433962268</v>
      </c>
      <c r="E7" s="1300">
        <f>'TOH '!S51</f>
        <v>43.926650943396218</v>
      </c>
      <c r="G7" s="1302">
        <f>('TOH '!S51+'TOH '!T51)/2</f>
        <v>44.429392688679243</v>
      </c>
    </row>
    <row r="8" spans="1:7">
      <c r="A8" s="274" t="s">
        <v>164</v>
      </c>
      <c r="C8" s="1301">
        <f>'TOH '!T52</f>
        <v>36.99355329949239</v>
      </c>
      <c r="E8" s="1300">
        <f>'TOH '!S52</f>
        <v>37.897258883248718</v>
      </c>
      <c r="G8" s="1302">
        <f>('TOH '!S52+'TOH '!T52)/2</f>
        <v>37.445406091370558</v>
      </c>
    </row>
    <row r="9" spans="1:7" s="1299" customFormat="1" ht="11.25"/>
    <row r="10" spans="1:7" s="1299" customFormat="1" ht="11.25">
      <c r="A10" s="1299" t="s">
        <v>622</v>
      </c>
    </row>
    <row r="11" spans="1:7" s="1299" customFormat="1" ht="11.25">
      <c r="A11" s="1299" t="s">
        <v>655</v>
      </c>
    </row>
    <row r="12" spans="1:7" s="1299" customFormat="1" ht="11.25">
      <c r="A12" s="1299" t="s">
        <v>610</v>
      </c>
    </row>
    <row r="13" spans="1:7" s="1299" customFormat="1" ht="11.25">
      <c r="A13" s="1299" t="s">
        <v>614</v>
      </c>
    </row>
    <row r="14" spans="1:7" s="1299" customFormat="1" ht="11.25">
      <c r="A14" s="1299" t="s">
        <v>621</v>
      </c>
    </row>
    <row r="15" spans="1:7" s="1299" customFormat="1" ht="11.25">
      <c r="A15" s="1299" t="s">
        <v>620</v>
      </c>
    </row>
    <row r="16" spans="1:7" s="1299" customFormat="1" ht="11.25"/>
    <row r="17" spans="1:1" s="1299" customFormat="1" ht="11.25">
      <c r="A17" s="1299" t="s">
        <v>619</v>
      </c>
    </row>
    <row r="18" spans="1:1" s="1299" customFormat="1" ht="11.25"/>
    <row r="19" spans="1:1" s="1299" customFormat="1" ht="11.25"/>
    <row r="20" spans="1:1" s="1299" customFormat="1" ht="11.25"/>
  </sheetData>
  <mergeCells count="5">
    <mergeCell ref="B3:E3"/>
    <mergeCell ref="B4:C4"/>
    <mergeCell ref="D4:E4"/>
    <mergeCell ref="F4:G4"/>
    <mergeCell ref="A3:A5"/>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11"/>
  <sheetViews>
    <sheetView workbookViewId="0">
      <selection sqref="A1:XFD1048576"/>
    </sheetView>
  </sheetViews>
  <sheetFormatPr baseColWidth="10" defaultRowHeight="15"/>
  <cols>
    <col min="2" max="2" width="27" customWidth="1"/>
    <col min="3" max="5" width="16" customWidth="1"/>
  </cols>
  <sheetData>
    <row r="1" spans="2:9" s="1642" customFormat="1" ht="21">
      <c r="B1" s="2656" t="s">
        <v>1194</v>
      </c>
      <c r="H1" s="779"/>
      <c r="I1" s="779"/>
    </row>
    <row r="2" spans="2:9">
      <c r="C2" s="2605"/>
      <c r="D2" s="1903"/>
      <c r="E2" s="1903"/>
    </row>
    <row r="3" spans="2:9">
      <c r="B3" s="22"/>
      <c r="C3" s="1903"/>
      <c r="D3" s="1903"/>
      <c r="E3" s="1903"/>
    </row>
    <row r="4" spans="2:9" ht="45">
      <c r="B4" s="2687" t="s">
        <v>338</v>
      </c>
      <c r="C4" s="2687" t="s">
        <v>1191</v>
      </c>
      <c r="D4" s="62" t="s">
        <v>1192</v>
      </c>
      <c r="E4" s="62" t="s">
        <v>1193</v>
      </c>
    </row>
    <row r="5" spans="2:9">
      <c r="B5" s="2684" t="s">
        <v>971</v>
      </c>
      <c r="C5" s="2685">
        <v>4</v>
      </c>
      <c r="D5" s="2686">
        <v>15</v>
      </c>
      <c r="E5" s="2686">
        <v>104</v>
      </c>
    </row>
    <row r="6" spans="2:9">
      <c r="B6" s="2684" t="s">
        <v>975</v>
      </c>
      <c r="C6" s="2685">
        <v>4</v>
      </c>
      <c r="D6" s="2686">
        <v>40</v>
      </c>
      <c r="E6" s="2686">
        <v>88</v>
      </c>
    </row>
    <row r="7" spans="2:9">
      <c r="B7" s="2684" t="s">
        <v>217</v>
      </c>
      <c r="C7" s="2685">
        <v>27</v>
      </c>
      <c r="D7" s="2686">
        <v>418</v>
      </c>
      <c r="E7" s="2686">
        <v>308</v>
      </c>
    </row>
    <row r="8" spans="2:9">
      <c r="B8" s="2684" t="s">
        <v>972</v>
      </c>
      <c r="C8" s="2685">
        <v>12</v>
      </c>
      <c r="D8" s="2686">
        <v>152</v>
      </c>
      <c r="E8" s="2686">
        <v>236</v>
      </c>
    </row>
    <row r="9" spans="2:9">
      <c r="B9" s="2684" t="s">
        <v>296</v>
      </c>
      <c r="C9" s="2685">
        <v>45</v>
      </c>
      <c r="D9" s="2686">
        <v>3531</v>
      </c>
      <c r="E9" s="2686">
        <v>8658</v>
      </c>
    </row>
    <row r="10" spans="2:9">
      <c r="B10" s="2684" t="s">
        <v>934</v>
      </c>
      <c r="C10" s="2685">
        <v>5</v>
      </c>
      <c r="D10" s="2686">
        <v>66</v>
      </c>
      <c r="E10" s="2686">
        <v>164</v>
      </c>
    </row>
    <row r="11" spans="2:9" s="2604" customFormat="1">
      <c r="B11" s="62" t="s">
        <v>55</v>
      </c>
      <c r="C11" s="2688">
        <v>97</v>
      </c>
      <c r="D11" s="2689">
        <v>4222</v>
      </c>
      <c r="E11" s="2689">
        <v>9558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23"/>
  <sheetViews>
    <sheetView workbookViewId="0">
      <selection sqref="A1:XFD1048576"/>
    </sheetView>
  </sheetViews>
  <sheetFormatPr baseColWidth="10" defaultColWidth="11.5703125" defaultRowHeight="15"/>
  <cols>
    <col min="1" max="1" width="11.5703125" style="22"/>
    <col min="2" max="2" width="28.140625" style="22" bestFit="1" customWidth="1"/>
    <col min="3" max="3" width="16.7109375" style="22" customWidth="1"/>
    <col min="4" max="4" width="13.140625" style="22" bestFit="1" customWidth="1"/>
    <col min="5" max="16384" width="11.5703125" style="22"/>
  </cols>
  <sheetData>
    <row r="1" spans="2:10" s="1642" customFormat="1" ht="21">
      <c r="B1" s="2656" t="s">
        <v>1190</v>
      </c>
      <c r="H1" s="779"/>
      <c r="I1" s="779"/>
    </row>
    <row r="4" spans="2:10">
      <c r="B4" s="2673" t="s">
        <v>952</v>
      </c>
      <c r="C4" s="2657" t="s">
        <v>680</v>
      </c>
    </row>
    <row r="6" spans="2:10">
      <c r="B6" s="2660"/>
      <c r="C6" s="2658" t="s">
        <v>951</v>
      </c>
      <c r="D6" s="2663" t="s">
        <v>1189</v>
      </c>
    </row>
    <row r="7" spans="2:10">
      <c r="B7" s="2664"/>
      <c r="C7" s="2660" t="s">
        <v>970</v>
      </c>
      <c r="D7" s="2659"/>
    </row>
    <row r="8" spans="2:10" s="2672" customFormat="1" ht="30">
      <c r="B8" s="2669" t="s">
        <v>953</v>
      </c>
      <c r="C8" s="2670" t="s">
        <v>1106</v>
      </c>
      <c r="D8" s="2671" t="s">
        <v>1107</v>
      </c>
      <c r="F8" s="2584"/>
      <c r="G8" s="3975" t="s">
        <v>1108</v>
      </c>
      <c r="H8" s="3975"/>
      <c r="I8" s="3976" t="s">
        <v>1109</v>
      </c>
      <c r="J8" s="3977"/>
    </row>
    <row r="9" spans="2:10">
      <c r="B9" s="2674" t="s">
        <v>962</v>
      </c>
      <c r="C9" s="2675">
        <v>3953</v>
      </c>
      <c r="D9" s="2676">
        <v>1830</v>
      </c>
      <c r="F9" s="2"/>
      <c r="G9" s="2"/>
      <c r="H9" s="2"/>
      <c r="I9" s="2131"/>
      <c r="J9" s="2132"/>
    </row>
    <row r="10" spans="2:10">
      <c r="B10" s="2677" t="s">
        <v>958</v>
      </c>
      <c r="C10" s="2678">
        <v>2369</v>
      </c>
      <c r="D10" s="2679">
        <v>1106</v>
      </c>
      <c r="F10" s="2125" t="s">
        <v>911</v>
      </c>
      <c r="G10" s="2126">
        <v>6322</v>
      </c>
      <c r="H10" s="2129">
        <v>0.2221519432145618</v>
      </c>
      <c r="I10" s="2133">
        <v>2936</v>
      </c>
      <c r="J10" s="2134">
        <v>0.21312427409988385</v>
      </c>
    </row>
    <row r="11" spans="2:10">
      <c r="B11" s="2661" t="s">
        <v>965</v>
      </c>
      <c r="C11" s="2662">
        <v>185</v>
      </c>
      <c r="D11" s="2665">
        <v>83</v>
      </c>
      <c r="F11" s="2"/>
      <c r="G11" s="2"/>
      <c r="H11" s="2"/>
      <c r="I11" s="2131"/>
      <c r="J11" s="2132"/>
    </row>
    <row r="12" spans="2:10">
      <c r="B12" s="2680" t="s">
        <v>954</v>
      </c>
      <c r="C12" s="2681">
        <v>7684</v>
      </c>
      <c r="D12" s="2682">
        <v>3556</v>
      </c>
      <c r="F12" s="2127" t="s">
        <v>816</v>
      </c>
      <c r="G12" s="2128">
        <v>11074</v>
      </c>
      <c r="H12" s="2130">
        <v>0.3891348654157003</v>
      </c>
      <c r="I12" s="2135">
        <v>5371</v>
      </c>
      <c r="J12" s="2136">
        <v>0.38988095238095238</v>
      </c>
    </row>
    <row r="13" spans="2:10">
      <c r="B13" s="2680" t="s">
        <v>963</v>
      </c>
      <c r="C13" s="2681">
        <v>542</v>
      </c>
      <c r="D13" s="2682">
        <v>253</v>
      </c>
    </row>
    <row r="14" spans="2:10">
      <c r="B14" s="2680" t="s">
        <v>966</v>
      </c>
      <c r="C14" s="2681">
        <v>394</v>
      </c>
      <c r="D14" s="2682">
        <v>215</v>
      </c>
    </row>
    <row r="15" spans="2:10" ht="30">
      <c r="B15" s="2680" t="s">
        <v>960</v>
      </c>
      <c r="C15" s="2681">
        <v>2454</v>
      </c>
      <c r="D15" s="2682">
        <v>1347</v>
      </c>
    </row>
    <row r="16" spans="2:10">
      <c r="B16" s="2661" t="s">
        <v>959</v>
      </c>
      <c r="C16" s="2662">
        <v>1636</v>
      </c>
      <c r="D16" s="2665">
        <v>785</v>
      </c>
    </row>
    <row r="17" spans="2:4">
      <c r="B17" s="2661" t="s">
        <v>967</v>
      </c>
      <c r="C17" s="2662">
        <v>320</v>
      </c>
      <c r="D17" s="2665">
        <v>165</v>
      </c>
    </row>
    <row r="18" spans="2:4">
      <c r="B18" s="2661" t="s">
        <v>961</v>
      </c>
      <c r="C18" s="2662">
        <v>1489</v>
      </c>
      <c r="D18" s="2665">
        <v>667</v>
      </c>
    </row>
    <row r="19" spans="2:4">
      <c r="B19" s="2661" t="s">
        <v>956</v>
      </c>
      <c r="C19" s="2662">
        <v>2940</v>
      </c>
      <c r="D19" s="2665">
        <v>1588</v>
      </c>
    </row>
    <row r="20" spans="2:4">
      <c r="B20" s="2661" t="s">
        <v>964</v>
      </c>
      <c r="C20" s="2662">
        <v>1655</v>
      </c>
      <c r="D20" s="2665">
        <v>813</v>
      </c>
    </row>
    <row r="21" spans="2:4">
      <c r="B21" s="2661" t="s">
        <v>968</v>
      </c>
      <c r="C21" s="2662">
        <v>492</v>
      </c>
      <c r="D21" s="2665">
        <v>223</v>
      </c>
    </row>
    <row r="22" spans="2:4">
      <c r="B22" s="2661" t="s">
        <v>969</v>
      </c>
      <c r="C22" s="2662">
        <v>2345</v>
      </c>
      <c r="D22" s="2665">
        <v>1145</v>
      </c>
    </row>
    <row r="23" spans="2:4">
      <c r="B23" s="2666" t="s">
        <v>55</v>
      </c>
      <c r="C23" s="2667">
        <v>28458</v>
      </c>
      <c r="D23" s="2668">
        <v>13776</v>
      </c>
    </row>
  </sheetData>
  <mergeCells count="2">
    <mergeCell ref="G8:H8"/>
    <mergeCell ref="I8:J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33"/>
  <sheetViews>
    <sheetView topLeftCell="F1" workbookViewId="0">
      <selection activeCell="J6" sqref="J6"/>
    </sheetView>
  </sheetViews>
  <sheetFormatPr baseColWidth="10" defaultColWidth="58" defaultRowHeight="14.25" customHeight="1"/>
  <cols>
    <col min="1" max="1" width="29.42578125" bestFit="1" customWidth="1"/>
    <col min="2" max="2" width="25.85546875" bestFit="1" customWidth="1"/>
    <col min="3" max="3" width="13.42578125" bestFit="1" customWidth="1"/>
    <col min="4" max="4" width="13.7109375" bestFit="1" customWidth="1"/>
    <col min="5" max="5" width="11.140625" bestFit="1" customWidth="1"/>
    <col min="6" max="6" width="7.28515625" customWidth="1"/>
    <col min="7" max="7" width="52" customWidth="1"/>
    <col min="8" max="8" width="17" customWidth="1"/>
    <col min="9" max="9" width="17.28515625" bestFit="1" customWidth="1"/>
  </cols>
  <sheetData>
    <row r="1" spans="1:9" ht="14.25" customHeight="1">
      <c r="G1" s="2656" t="s">
        <v>1304</v>
      </c>
    </row>
    <row r="4" spans="1:9" ht="14.25" customHeight="1">
      <c r="A4" s="2788" t="s">
        <v>1284</v>
      </c>
      <c r="B4" s="2788" t="s">
        <v>330</v>
      </c>
      <c r="C4" s="2788" t="s">
        <v>1285</v>
      </c>
      <c r="D4" s="2788" t="s">
        <v>1286</v>
      </c>
      <c r="E4" s="2788" t="s">
        <v>169</v>
      </c>
    </row>
    <row r="5" spans="1:9" ht="14.25" customHeight="1">
      <c r="A5" s="2786" t="s">
        <v>1287</v>
      </c>
      <c r="B5" s="2781" t="s">
        <v>299</v>
      </c>
      <c r="C5" s="2781">
        <v>845</v>
      </c>
      <c r="D5" s="2781">
        <v>547</v>
      </c>
      <c r="E5" s="2786">
        <v>1392</v>
      </c>
      <c r="G5" s="263" t="s">
        <v>1284</v>
      </c>
      <c r="H5" t="s">
        <v>680</v>
      </c>
    </row>
    <row r="6" spans="1:9" ht="14.25" customHeight="1">
      <c r="A6" s="2787" t="s">
        <v>1287</v>
      </c>
      <c r="B6" s="2782" t="s">
        <v>1288</v>
      </c>
      <c r="C6" s="2782">
        <v>816</v>
      </c>
      <c r="D6" s="2782">
        <v>1227</v>
      </c>
      <c r="E6" s="2787">
        <v>2043</v>
      </c>
    </row>
    <row r="7" spans="1:9" ht="14.25" customHeight="1">
      <c r="A7" s="2786" t="s">
        <v>1287</v>
      </c>
      <c r="B7" s="2781" t="s">
        <v>1289</v>
      </c>
      <c r="C7" s="2781">
        <v>1022</v>
      </c>
      <c r="D7" s="2781">
        <v>1215</v>
      </c>
      <c r="E7" s="2786">
        <v>2237</v>
      </c>
      <c r="G7" s="3987" t="s">
        <v>338</v>
      </c>
      <c r="H7" s="3987" t="s">
        <v>1302</v>
      </c>
      <c r="I7" s="3987" t="s">
        <v>1303</v>
      </c>
    </row>
    <row r="8" spans="1:9" ht="14.25" customHeight="1">
      <c r="A8" s="2787" t="s">
        <v>1287</v>
      </c>
      <c r="B8" s="2782" t="s">
        <v>302</v>
      </c>
      <c r="C8" s="2782">
        <v>10804</v>
      </c>
      <c r="D8" s="2782">
        <v>8525</v>
      </c>
      <c r="E8" s="2787">
        <v>19329</v>
      </c>
      <c r="G8" s="50" t="s">
        <v>1291</v>
      </c>
      <c r="H8" s="1">
        <v>1819</v>
      </c>
      <c r="I8" s="1">
        <v>2641</v>
      </c>
    </row>
    <row r="9" spans="1:9" ht="14.25" customHeight="1">
      <c r="A9" s="2786" t="s">
        <v>970</v>
      </c>
      <c r="B9" s="2781" t="s">
        <v>974</v>
      </c>
      <c r="C9" s="2781">
        <v>12</v>
      </c>
      <c r="D9" s="2781">
        <v>5</v>
      </c>
      <c r="E9" s="2786">
        <v>17</v>
      </c>
      <c r="G9" s="50" t="s">
        <v>299</v>
      </c>
      <c r="H9" s="1">
        <v>845</v>
      </c>
      <c r="I9" s="1">
        <v>547</v>
      </c>
    </row>
    <row r="10" spans="1:9" ht="14.25" customHeight="1">
      <c r="A10" s="2787" t="s">
        <v>970</v>
      </c>
      <c r="B10" s="2782" t="s">
        <v>971</v>
      </c>
      <c r="C10" s="2782">
        <v>9</v>
      </c>
      <c r="D10" s="2782">
        <v>10</v>
      </c>
      <c r="E10" s="2787">
        <v>19</v>
      </c>
      <c r="G10" s="50" t="s">
        <v>310</v>
      </c>
      <c r="H10" s="1">
        <v>4</v>
      </c>
      <c r="I10" s="1">
        <v>4</v>
      </c>
    </row>
    <row r="11" spans="1:9" ht="14.25" customHeight="1">
      <c r="A11" s="2786" t="s">
        <v>970</v>
      </c>
      <c r="B11" s="2781" t="s">
        <v>975</v>
      </c>
      <c r="C11" s="2781">
        <v>18</v>
      </c>
      <c r="D11" s="2781">
        <v>17</v>
      </c>
      <c r="E11" s="2786">
        <v>35</v>
      </c>
      <c r="G11" s="50" t="s">
        <v>1288</v>
      </c>
      <c r="H11" s="1">
        <v>816</v>
      </c>
      <c r="I11" s="1">
        <v>1227</v>
      </c>
    </row>
    <row r="12" spans="1:9" ht="14.25" customHeight="1">
      <c r="A12" s="2787" t="s">
        <v>970</v>
      </c>
      <c r="B12" s="2782" t="s">
        <v>217</v>
      </c>
      <c r="C12" s="2782">
        <v>991</v>
      </c>
      <c r="D12" s="2782">
        <v>984</v>
      </c>
      <c r="E12" s="2787">
        <v>1975</v>
      </c>
      <c r="G12" s="50" t="s">
        <v>974</v>
      </c>
      <c r="H12" s="1">
        <v>12</v>
      </c>
      <c r="I12" s="1">
        <v>5</v>
      </c>
    </row>
    <row r="13" spans="1:9" ht="14.25" customHeight="1">
      <c r="A13" s="2786" t="s">
        <v>970</v>
      </c>
      <c r="B13" s="2781" t="s">
        <v>972</v>
      </c>
      <c r="C13" s="2781">
        <v>81</v>
      </c>
      <c r="D13" s="2781">
        <v>75</v>
      </c>
      <c r="E13" s="2786">
        <v>156</v>
      </c>
      <c r="G13" s="50" t="s">
        <v>971</v>
      </c>
      <c r="H13" s="1">
        <v>9</v>
      </c>
      <c r="I13" s="1">
        <v>10</v>
      </c>
    </row>
    <row r="14" spans="1:9" ht="14.25" customHeight="1">
      <c r="A14" s="2787" t="s">
        <v>970</v>
      </c>
      <c r="B14" s="2782" t="s">
        <v>296</v>
      </c>
      <c r="C14" s="2782">
        <v>2482</v>
      </c>
      <c r="D14" s="2782">
        <v>1376</v>
      </c>
      <c r="E14" s="2787">
        <v>3858</v>
      </c>
      <c r="G14" s="50" t="s">
        <v>311</v>
      </c>
      <c r="H14" s="1">
        <v>18</v>
      </c>
      <c r="I14" s="1">
        <v>25</v>
      </c>
    </row>
    <row r="15" spans="1:9" ht="14.25" customHeight="1">
      <c r="A15" s="2786" t="s">
        <v>970</v>
      </c>
      <c r="B15" s="2781" t="s">
        <v>934</v>
      </c>
      <c r="C15" s="2781">
        <v>74</v>
      </c>
      <c r="D15" s="2781">
        <v>47</v>
      </c>
      <c r="E15" s="2786">
        <v>121</v>
      </c>
      <c r="G15" s="50" t="s">
        <v>1293</v>
      </c>
      <c r="H15" s="1">
        <v>36</v>
      </c>
      <c r="I15" s="1">
        <v>40</v>
      </c>
    </row>
    <row r="16" spans="1:9" ht="14.25" customHeight="1">
      <c r="A16" s="2787" t="s">
        <v>970</v>
      </c>
      <c r="B16" s="2782" t="s">
        <v>973</v>
      </c>
      <c r="C16" s="2782">
        <v>5</v>
      </c>
      <c r="D16" s="2782">
        <v>11</v>
      </c>
      <c r="E16" s="2787">
        <v>16</v>
      </c>
      <c r="G16" s="50" t="s">
        <v>1294</v>
      </c>
      <c r="H16" s="1">
        <v>900</v>
      </c>
      <c r="I16" s="1">
        <v>449</v>
      </c>
    </row>
    <row r="17" spans="1:9" ht="14.25" customHeight="1">
      <c r="A17" s="2786" t="s">
        <v>1290</v>
      </c>
      <c r="B17" s="2781" t="s">
        <v>1291</v>
      </c>
      <c r="C17" s="2781">
        <v>1819</v>
      </c>
      <c r="D17" s="2781">
        <v>2641</v>
      </c>
      <c r="E17" s="2786">
        <v>4460</v>
      </c>
      <c r="G17" s="50" t="s">
        <v>1289</v>
      </c>
      <c r="H17" s="1">
        <v>1022</v>
      </c>
      <c r="I17" s="1">
        <v>1215</v>
      </c>
    </row>
    <row r="18" spans="1:9" ht="14.25" customHeight="1">
      <c r="A18" s="2787" t="s">
        <v>1292</v>
      </c>
      <c r="B18" s="2782" t="s">
        <v>310</v>
      </c>
      <c r="C18" s="2782">
        <v>4</v>
      </c>
      <c r="D18" s="2782">
        <v>4</v>
      </c>
      <c r="E18" s="2787">
        <v>8</v>
      </c>
      <c r="G18" s="50" t="s">
        <v>975</v>
      </c>
      <c r="H18" s="1">
        <v>18</v>
      </c>
      <c r="I18" s="1">
        <v>17</v>
      </c>
    </row>
    <row r="19" spans="1:9" ht="14.25" customHeight="1">
      <c r="A19" s="2786" t="s">
        <v>1292</v>
      </c>
      <c r="B19" s="2781" t="s">
        <v>311</v>
      </c>
      <c r="C19" s="2781">
        <v>18</v>
      </c>
      <c r="D19" s="2781">
        <v>25</v>
      </c>
      <c r="E19" s="2786">
        <v>43</v>
      </c>
      <c r="G19" s="50" t="s">
        <v>217</v>
      </c>
      <c r="H19" s="1">
        <v>991</v>
      </c>
      <c r="I19" s="1">
        <v>984</v>
      </c>
    </row>
    <row r="20" spans="1:9" ht="14.25" customHeight="1">
      <c r="A20" s="2787" t="s">
        <v>1292</v>
      </c>
      <c r="B20" s="2782" t="s">
        <v>1293</v>
      </c>
      <c r="C20" s="2782">
        <v>36</v>
      </c>
      <c r="D20" s="2782">
        <v>40</v>
      </c>
      <c r="E20" s="2787">
        <v>76</v>
      </c>
      <c r="G20" s="50" t="s">
        <v>972</v>
      </c>
      <c r="H20" s="1">
        <v>81</v>
      </c>
      <c r="I20" s="1">
        <v>75</v>
      </c>
    </row>
    <row r="21" spans="1:9" ht="14.25" customHeight="1">
      <c r="A21" s="2786" t="s">
        <v>1292</v>
      </c>
      <c r="B21" s="2781" t="s">
        <v>1294</v>
      </c>
      <c r="C21" s="2781">
        <v>900</v>
      </c>
      <c r="D21" s="2781">
        <v>449</v>
      </c>
      <c r="E21" s="2786">
        <v>1349</v>
      </c>
      <c r="G21" s="50" t="s">
        <v>296</v>
      </c>
      <c r="H21" s="1">
        <v>2482</v>
      </c>
      <c r="I21" s="1">
        <v>1376</v>
      </c>
    </row>
    <row r="22" spans="1:9" ht="14.25" customHeight="1">
      <c r="A22" s="2787" t="s">
        <v>1292</v>
      </c>
      <c r="B22" s="2782" t="s">
        <v>1295</v>
      </c>
      <c r="C22" s="2782">
        <v>2</v>
      </c>
      <c r="D22" s="2782">
        <v>3</v>
      </c>
      <c r="E22" s="2787">
        <v>5</v>
      </c>
      <c r="G22" s="50" t="s">
        <v>934</v>
      </c>
      <c r="H22" s="1">
        <v>74</v>
      </c>
      <c r="I22" s="1">
        <v>47</v>
      </c>
    </row>
    <row r="23" spans="1:9" ht="14.25" customHeight="1">
      <c r="A23" s="2786" t="s">
        <v>1292</v>
      </c>
      <c r="B23" s="2781" t="s">
        <v>1296</v>
      </c>
      <c r="C23" s="2781">
        <v>21</v>
      </c>
      <c r="D23" s="2781">
        <v>7</v>
      </c>
      <c r="E23" s="2786">
        <v>28</v>
      </c>
      <c r="G23" s="50" t="s">
        <v>1295</v>
      </c>
      <c r="H23" s="1">
        <v>2</v>
      </c>
      <c r="I23" s="1">
        <v>3</v>
      </c>
    </row>
    <row r="24" spans="1:9" ht="14.25" customHeight="1">
      <c r="A24" s="2787" t="s">
        <v>1292</v>
      </c>
      <c r="B24" s="2782" t="s">
        <v>316</v>
      </c>
      <c r="C24" s="2782">
        <v>7</v>
      </c>
      <c r="D24" s="2782">
        <v>8</v>
      </c>
      <c r="E24" s="2787">
        <v>15</v>
      </c>
      <c r="G24" s="50" t="s">
        <v>973</v>
      </c>
      <c r="H24" s="1">
        <v>5</v>
      </c>
      <c r="I24" s="1">
        <v>11</v>
      </c>
    </row>
    <row r="25" spans="1:9" ht="14.25" customHeight="1">
      <c r="A25" s="2786" t="s">
        <v>1292</v>
      </c>
      <c r="B25" s="2781" t="s">
        <v>1297</v>
      </c>
      <c r="C25" s="2781">
        <v>4</v>
      </c>
      <c r="D25" s="2781">
        <v>1</v>
      </c>
      <c r="E25" s="2786">
        <v>5</v>
      </c>
      <c r="G25" s="50" t="s">
        <v>1296</v>
      </c>
      <c r="H25" s="1">
        <v>21</v>
      </c>
      <c r="I25" s="1">
        <v>7</v>
      </c>
    </row>
    <row r="26" spans="1:9" ht="14.25" customHeight="1">
      <c r="A26" s="2787" t="s">
        <v>1292</v>
      </c>
      <c r="B26" s="2782" t="s">
        <v>1298</v>
      </c>
      <c r="C26" s="2782">
        <v>143</v>
      </c>
      <c r="D26" s="2782">
        <v>58</v>
      </c>
      <c r="E26" s="2787">
        <v>201</v>
      </c>
      <c r="G26" s="50" t="s">
        <v>316</v>
      </c>
      <c r="H26" s="1">
        <v>7</v>
      </c>
      <c r="I26" s="1">
        <v>8</v>
      </c>
    </row>
    <row r="27" spans="1:9" ht="14.25" customHeight="1">
      <c r="A27" s="2786" t="s">
        <v>1292</v>
      </c>
      <c r="B27" s="2781" t="s">
        <v>319</v>
      </c>
      <c r="C27" s="2781">
        <v>12</v>
      </c>
      <c r="D27" s="2781">
        <v>14</v>
      </c>
      <c r="E27" s="2786">
        <v>26</v>
      </c>
      <c r="G27" s="50" t="s">
        <v>302</v>
      </c>
      <c r="H27" s="1">
        <v>10804</v>
      </c>
      <c r="I27" s="1">
        <v>8525</v>
      </c>
    </row>
    <row r="28" spans="1:9" ht="14.25" customHeight="1">
      <c r="A28" s="2787" t="s">
        <v>1299</v>
      </c>
      <c r="B28" s="2782" t="s">
        <v>1300</v>
      </c>
      <c r="C28" s="2782">
        <v>95</v>
      </c>
      <c r="D28" s="2782">
        <v>165</v>
      </c>
      <c r="E28" s="2787">
        <v>260</v>
      </c>
      <c r="G28" s="50" t="s">
        <v>1297</v>
      </c>
      <c r="H28" s="1">
        <v>4</v>
      </c>
      <c r="I28" s="1">
        <v>1</v>
      </c>
    </row>
    <row r="29" spans="1:9" ht="14.25" customHeight="1">
      <c r="A29" s="2786" t="s">
        <v>1299</v>
      </c>
      <c r="B29" s="2781" t="s">
        <v>1301</v>
      </c>
      <c r="C29" s="2781">
        <v>337</v>
      </c>
      <c r="D29" s="2781">
        <v>97</v>
      </c>
      <c r="E29" s="2786">
        <v>434</v>
      </c>
      <c r="G29" s="50" t="s">
        <v>1298</v>
      </c>
      <c r="H29" s="1">
        <v>143</v>
      </c>
      <c r="I29" s="1">
        <v>58</v>
      </c>
    </row>
    <row r="30" spans="1:9" ht="14.25" customHeight="1" thickBot="1">
      <c r="A30" s="2783" t="s">
        <v>169</v>
      </c>
      <c r="B30" s="2784"/>
      <c r="C30" s="2784">
        <v>20557</v>
      </c>
      <c r="D30" s="2784">
        <v>17551</v>
      </c>
      <c r="E30" s="2785">
        <v>38108</v>
      </c>
      <c r="G30" s="50" t="s">
        <v>319</v>
      </c>
      <c r="H30" s="1">
        <v>12</v>
      </c>
      <c r="I30" s="1">
        <v>14</v>
      </c>
    </row>
    <row r="31" spans="1:9" ht="14.25" customHeight="1" thickTop="1">
      <c r="G31" s="50" t="s">
        <v>1300</v>
      </c>
      <c r="H31" s="1">
        <v>95</v>
      </c>
      <c r="I31" s="1">
        <v>165</v>
      </c>
    </row>
    <row r="32" spans="1:9" ht="14.25" customHeight="1">
      <c r="G32" s="50" t="s">
        <v>1301</v>
      </c>
      <c r="H32" s="1">
        <v>337</v>
      </c>
      <c r="I32" s="1">
        <v>97</v>
      </c>
    </row>
    <row r="33" spans="7:9" ht="14.25" customHeight="1">
      <c r="G33" s="50" t="s">
        <v>55</v>
      </c>
      <c r="H33" s="1">
        <v>20557</v>
      </c>
      <c r="I33" s="1">
        <v>17551</v>
      </c>
    </row>
  </sheetData>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2:AC132"/>
  <sheetViews>
    <sheetView showGridLines="0" topLeftCell="O6" zoomScaleNormal="100" workbookViewId="0">
      <selection activeCell="Q14" activeCellId="5" sqref="Q17:Q20 Q23 Q26 Q27 Q28 Q14"/>
    </sheetView>
  </sheetViews>
  <sheetFormatPr baseColWidth="10" defaultRowHeight="15"/>
  <cols>
    <col min="1" max="2" width="11.42578125" hidden="1" customWidth="1"/>
    <col min="3" max="3" width="30.7109375" style="240" hidden="1" customWidth="1"/>
    <col min="4" max="4" width="19" style="129" hidden="1" customWidth="1"/>
    <col min="5" max="5" width="19" style="1357" hidden="1" customWidth="1"/>
    <col min="6" max="6" width="11.42578125" hidden="1" customWidth="1"/>
    <col min="7" max="7" width="25.28515625" hidden="1" customWidth="1"/>
    <col min="8" max="8" width="11.42578125" hidden="1" customWidth="1"/>
    <col min="9" max="9" width="32.85546875" style="240" hidden="1" customWidth="1"/>
    <col min="10" max="10" width="19" style="129" hidden="1" customWidth="1"/>
    <col min="11" max="11" width="19" style="1357" hidden="1" customWidth="1"/>
    <col min="12" max="13" width="11.42578125" hidden="1" customWidth="1"/>
    <col min="14" max="14" width="22.85546875" hidden="1" customWidth="1"/>
    <col min="15" max="15" width="32.85546875" style="1769" customWidth="1"/>
    <col min="16" max="16" width="19" style="129" hidden="1" customWidth="1"/>
    <col min="17" max="17" width="19" style="1357" customWidth="1"/>
    <col min="18" max="18" width="18" style="1764" customWidth="1"/>
    <col min="19" max="19" width="9.28515625" style="1848" customWidth="1"/>
    <col min="20" max="20" width="19.42578125" customWidth="1"/>
    <col min="21" max="22" width="0" hidden="1" customWidth="1"/>
    <col min="24" max="24" width="16.85546875" customWidth="1"/>
    <col min="25" max="25" width="0" style="59" hidden="1" customWidth="1"/>
    <col min="26" max="26" width="33.7109375" hidden="1" customWidth="1"/>
    <col min="27" max="29" width="11.42578125" hidden="1" customWidth="1"/>
    <col min="30" max="30" width="11.42578125" customWidth="1"/>
  </cols>
  <sheetData>
    <row r="2" spans="3:29" ht="20.25">
      <c r="C2" s="1379" t="s">
        <v>366</v>
      </c>
      <c r="I2" s="1379" t="s">
        <v>497</v>
      </c>
      <c r="O2" s="1765" t="s">
        <v>1036</v>
      </c>
    </row>
    <row r="4" spans="3:29">
      <c r="C4" s="241" t="s">
        <v>367</v>
      </c>
      <c r="I4" s="241" t="s">
        <v>367</v>
      </c>
      <c r="O4" s="1766" t="s">
        <v>367</v>
      </c>
      <c r="Z4" s="241" t="s">
        <v>791</v>
      </c>
      <c r="AA4" s="129"/>
      <c r="AB4" s="1357"/>
    </row>
    <row r="5" spans="3:29">
      <c r="C5" s="241" t="s">
        <v>792</v>
      </c>
      <c r="I5" s="241" t="s">
        <v>498</v>
      </c>
      <c r="O5" s="1767" t="s">
        <v>1038</v>
      </c>
      <c r="Z5" s="1380" t="str">
        <f>+O5</f>
        <v xml:space="preserve"> Datos de Diciembre 2016</v>
      </c>
      <c r="AA5" s="129"/>
      <c r="AB5" s="1357"/>
    </row>
    <row r="6" spans="3:29" ht="15.75" thickBot="1">
      <c r="C6" s="242"/>
      <c r="D6" s="243"/>
      <c r="E6" s="244"/>
      <c r="I6" s="242"/>
      <c r="J6" s="243"/>
      <c r="K6" s="244"/>
      <c r="O6" s="1768"/>
      <c r="P6" s="243"/>
      <c r="Q6" s="244"/>
      <c r="R6" s="244"/>
      <c r="S6" s="1849"/>
      <c r="Z6" s="242"/>
      <c r="AA6" s="243"/>
      <c r="AB6" s="244"/>
    </row>
    <row r="7" spans="3:29" s="1763" customFormat="1" ht="48.75" thickTop="1" thickBot="1">
      <c r="C7" s="1770" t="s">
        <v>794</v>
      </c>
      <c r="D7" s="1771" t="s">
        <v>368</v>
      </c>
      <c r="E7" s="1772" t="s">
        <v>369</v>
      </c>
      <c r="I7" s="1770" t="s">
        <v>794</v>
      </c>
      <c r="J7" s="1771" t="s">
        <v>368</v>
      </c>
      <c r="K7" s="1772" t="s">
        <v>369</v>
      </c>
      <c r="O7" s="1864" t="s">
        <v>794</v>
      </c>
      <c r="P7" s="1865" t="s">
        <v>368</v>
      </c>
      <c r="Q7" s="1871" t="s">
        <v>1033</v>
      </c>
      <c r="R7" s="1794" t="s">
        <v>1032</v>
      </c>
      <c r="S7" s="1850"/>
      <c r="T7" s="1845" t="s">
        <v>1034</v>
      </c>
      <c r="U7" s="1846" t="s">
        <v>1024</v>
      </c>
      <c r="V7" s="1846"/>
      <c r="W7" s="1846" t="s">
        <v>1035</v>
      </c>
      <c r="X7" s="1847" t="s">
        <v>1037</v>
      </c>
      <c r="Y7" s="1828"/>
      <c r="Z7" s="1770" t="s">
        <v>794</v>
      </c>
      <c r="AA7" s="1771" t="s">
        <v>368</v>
      </c>
      <c r="AB7" s="1772" t="s">
        <v>369</v>
      </c>
    </row>
    <row r="8" spans="3:29" ht="15.75" thickTop="1">
      <c r="C8" s="1384"/>
      <c r="D8" s="1385"/>
      <c r="E8" s="1386"/>
      <c r="H8" s="245"/>
      <c r="I8" s="1384"/>
      <c r="J8" s="1385"/>
      <c r="K8" s="1386"/>
      <c r="O8" s="1866" t="s">
        <v>795</v>
      </c>
      <c r="P8" s="1855">
        <f>+P10+P30+P32+P39+P46+P52+P57+P66</f>
        <v>115463.49827</v>
      </c>
      <c r="Q8" s="1856">
        <f>+P8/$P$8*100</f>
        <v>100</v>
      </c>
      <c r="R8" s="1872">
        <v>652912</v>
      </c>
      <c r="S8" s="1773"/>
      <c r="T8" s="1840" t="str">
        <f>O10</f>
        <v>CENTRO HISTÓRICO</v>
      </c>
      <c r="U8" s="1841">
        <f>P10</f>
        <v>77851.341159999996</v>
      </c>
      <c r="V8" s="1842">
        <f>Q10</f>
        <v>67.425067078733676</v>
      </c>
      <c r="W8" s="1843">
        <f>V8/100</f>
        <v>0.6742506707873368</v>
      </c>
      <c r="X8" s="1844">
        <f>$R$8*W8</f>
        <v>440226.35396510165</v>
      </c>
      <c r="Y8" s="1829"/>
      <c r="Z8" s="246" t="s">
        <v>55</v>
      </c>
      <c r="AA8" s="1387">
        <f>SUM(AA10:AA57)</f>
        <v>130212.27839000001</v>
      </c>
      <c r="AB8" s="1388">
        <f>+AA8/$AA$8*100</f>
        <v>100</v>
      </c>
    </row>
    <row r="9" spans="3:29" ht="15.75" thickBot="1">
      <c r="C9" s="246" t="s">
        <v>796</v>
      </c>
      <c r="D9" s="1387">
        <v>53209.455918000058</v>
      </c>
      <c r="E9" s="1388">
        <v>53.583195501274659</v>
      </c>
      <c r="H9" s="245"/>
      <c r="I9" s="246" t="s">
        <v>796</v>
      </c>
      <c r="J9" s="1387">
        <f>SUM(J10:J26)</f>
        <v>78800.937329999957</v>
      </c>
      <c r="K9" s="1388">
        <f>+J9/$J$71*100</f>
        <v>67.199584159524619</v>
      </c>
      <c r="O9" s="1881"/>
      <c r="P9" s="1882"/>
      <c r="Q9" s="1883"/>
      <c r="R9" s="1884"/>
      <c r="S9" s="1851"/>
      <c r="T9" s="1833" t="str">
        <f>O32</f>
        <v>LA MARISCAL</v>
      </c>
      <c r="U9" s="1830">
        <f>P32</f>
        <v>13408.424510000001</v>
      </c>
      <c r="V9" s="1831">
        <f>Q32</f>
        <v>11.61269553659783</v>
      </c>
      <c r="W9" s="1832">
        <f t="shared" ref="W9:W15" si="0">V9/100</f>
        <v>0.11612695536597829</v>
      </c>
      <c r="X9" s="1834">
        <f t="shared" ref="X9:X15" si="1">$R$8*W9</f>
        <v>75820.682681911625</v>
      </c>
      <c r="Y9" s="1829"/>
      <c r="Z9" s="1390"/>
      <c r="AA9" s="1391"/>
      <c r="AB9" s="1392"/>
    </row>
    <row r="10" spans="3:29">
      <c r="C10" s="247" t="s">
        <v>709</v>
      </c>
      <c r="D10" s="248">
        <v>29411.041913000045</v>
      </c>
      <c r="E10" s="1389">
        <v>29.617623062132186</v>
      </c>
      <c r="H10" s="245"/>
      <c r="I10" s="247" t="s">
        <v>709</v>
      </c>
      <c r="J10" s="248">
        <v>34698.041399999966</v>
      </c>
      <c r="K10" s="1389">
        <v>29.617623062132186</v>
      </c>
      <c r="O10" s="1877" t="s">
        <v>796</v>
      </c>
      <c r="P10" s="1878">
        <f>SUM(P11:P28)</f>
        <v>77851.341159999996</v>
      </c>
      <c r="Q10" s="1879">
        <f t="shared" ref="Q10:Q28" si="2">+P10/$P$8*100</f>
        <v>67.425067078733676</v>
      </c>
      <c r="R10" s="1880">
        <f>$R$8*Q10/100</f>
        <v>440226.35396510159</v>
      </c>
      <c r="S10" s="1773"/>
      <c r="T10" s="1833" t="str">
        <f>O39</f>
        <v>LOS MIRADORES</v>
      </c>
      <c r="U10" s="1830">
        <f>P39</f>
        <v>13587.847599999999</v>
      </c>
      <c r="V10" s="1831">
        <f>Q39</f>
        <v>11.768089312716091</v>
      </c>
      <c r="W10" s="1832">
        <f t="shared" si="0"/>
        <v>0.11768089312716092</v>
      </c>
      <c r="X10" s="1834">
        <f t="shared" si="1"/>
        <v>76835.267293440891</v>
      </c>
      <c r="Y10" s="1829"/>
      <c r="Z10" s="1390" t="s">
        <v>709</v>
      </c>
      <c r="AA10" s="1391">
        <v>34423.538739999996</v>
      </c>
      <c r="AB10" s="1392">
        <f t="shared" ref="AB10:AB57" si="3">+AA10/$AA$8*100</f>
        <v>26.436476779015983</v>
      </c>
      <c r="AC10" s="1"/>
    </row>
    <row r="11" spans="3:29">
      <c r="C11" s="247" t="s">
        <v>797</v>
      </c>
      <c r="D11" s="248">
        <v>9514.6170919999986</v>
      </c>
      <c r="E11" s="1389">
        <v>9.5814471124471456</v>
      </c>
      <c r="H11" s="245"/>
      <c r="I11" s="247" t="s">
        <v>798</v>
      </c>
      <c r="J11" s="248">
        <v>21634.895929999999</v>
      </c>
      <c r="K11" s="1389">
        <v>5.5028585411434738</v>
      </c>
      <c r="O11" s="1867" t="s">
        <v>1031</v>
      </c>
      <c r="P11" s="1857">
        <v>34423.538739999996</v>
      </c>
      <c r="Q11" s="1859">
        <f t="shared" si="2"/>
        <v>29.813351626939234</v>
      </c>
      <c r="R11" s="1873">
        <f t="shared" ref="R11:R72" si="4">$R$8*Q11/100</f>
        <v>194654.9503744815</v>
      </c>
      <c r="S11" s="1774"/>
      <c r="T11" s="1833" t="str">
        <f>O46</f>
        <v>IGLESIAS, MUSEOS, TEATROS</v>
      </c>
      <c r="U11" s="1830">
        <f>P46</f>
        <v>2108.4892199999999</v>
      </c>
      <c r="V11" s="1831">
        <f>Q46</f>
        <v>1.8261089015937364</v>
      </c>
      <c r="W11" s="1832">
        <f t="shared" si="0"/>
        <v>1.8261089015937364E-2</v>
      </c>
      <c r="X11" s="1834">
        <f t="shared" si="1"/>
        <v>11922.884151573697</v>
      </c>
      <c r="Y11" s="1829"/>
      <c r="Z11" s="1390" t="s">
        <v>502</v>
      </c>
      <c r="AA11" s="1391">
        <v>14613.124340000006</v>
      </c>
      <c r="AB11" s="1392">
        <f t="shared" si="3"/>
        <v>11.222539472224041</v>
      </c>
      <c r="AC11" s="1"/>
    </row>
    <row r="12" spans="3:29">
      <c r="C12" s="247" t="s">
        <v>798</v>
      </c>
      <c r="D12" s="248">
        <v>5464.4764319999995</v>
      </c>
      <c r="E12" s="1389">
        <v>5.5028585411434738</v>
      </c>
      <c r="H12" s="245"/>
      <c r="I12" s="247" t="s">
        <v>799</v>
      </c>
      <c r="J12" s="248">
        <v>5166</v>
      </c>
      <c r="K12" s="1389">
        <f t="shared" ref="K12:K26" si="5">+J12/$J$71*100</f>
        <v>4.4054431778432797</v>
      </c>
      <c r="O12" s="1867" t="s">
        <v>797</v>
      </c>
      <c r="P12" s="1857">
        <v>13025.641720000003</v>
      </c>
      <c r="Q12" s="1859">
        <f t="shared" si="2"/>
        <v>11.281177095068456</v>
      </c>
      <c r="R12" s="1873">
        <f t="shared" si="4"/>
        <v>73656.158994953352</v>
      </c>
      <c r="S12" s="1774"/>
      <c r="T12" s="1833" t="str">
        <f>O52</f>
        <v>PARQUES</v>
      </c>
      <c r="U12" s="1830">
        <f>P52</f>
        <v>7255.2708399999992</v>
      </c>
      <c r="V12" s="1831">
        <f>Q52</f>
        <v>6.2836055971855833</v>
      </c>
      <c r="W12" s="1832">
        <f t="shared" si="0"/>
        <v>6.2836055971855834E-2</v>
      </c>
      <c r="X12" s="1834">
        <f t="shared" si="1"/>
        <v>41026.414976696338</v>
      </c>
      <c r="Y12" s="1829"/>
      <c r="Z12" s="1390" t="s">
        <v>797</v>
      </c>
      <c r="AA12" s="1391">
        <v>13025.641720000003</v>
      </c>
      <c r="AB12" s="1392">
        <f t="shared" si="3"/>
        <v>10.003389757904998</v>
      </c>
      <c r="AC12" s="1"/>
    </row>
    <row r="13" spans="3:29">
      <c r="C13" s="247" t="s">
        <v>800</v>
      </c>
      <c r="D13" s="248">
        <v>2471.8032770000004</v>
      </c>
      <c r="E13" s="1389">
        <v>2.4891650543522523</v>
      </c>
      <c r="H13" s="245"/>
      <c r="I13" s="247" t="s">
        <v>801</v>
      </c>
      <c r="J13" s="248">
        <v>4635</v>
      </c>
      <c r="K13" s="1389">
        <f t="shared" si="5"/>
        <v>3.9526188790754166</v>
      </c>
      <c r="O13" s="1867" t="s">
        <v>798</v>
      </c>
      <c r="P13" s="1857">
        <v>10641.87535</v>
      </c>
      <c r="Q13" s="1859">
        <f t="shared" si="2"/>
        <v>9.2166576532394888</v>
      </c>
      <c r="R13" s="1873">
        <f t="shared" si="4"/>
        <v>60176.663816919012</v>
      </c>
      <c r="S13" s="1774"/>
      <c r="T13" s="1833" t="str">
        <f>O57</f>
        <v>CENTROS COMERCIALES</v>
      </c>
      <c r="U13" s="1830">
        <f>P57</f>
        <v>695.36444000000006</v>
      </c>
      <c r="V13" s="1831">
        <f>Q57</f>
        <v>0.6022374606855917</v>
      </c>
      <c r="W13" s="1832">
        <f t="shared" si="0"/>
        <v>6.0223746068559167E-3</v>
      </c>
      <c r="X13" s="1834">
        <f t="shared" si="1"/>
        <v>3932.0806493115101</v>
      </c>
      <c r="Y13" s="1829"/>
      <c r="Z13" s="1390" t="s">
        <v>798</v>
      </c>
      <c r="AA13" s="1391">
        <v>10641.87535</v>
      </c>
      <c r="AB13" s="1392">
        <f t="shared" si="3"/>
        <v>8.1727126516643995</v>
      </c>
      <c r="AC13" s="1"/>
    </row>
    <row r="14" spans="3:29">
      <c r="C14" s="247" t="s">
        <v>802</v>
      </c>
      <c r="D14" s="248">
        <v>1685.981712</v>
      </c>
      <c r="E14" s="1389">
        <v>1.6978239323644131</v>
      </c>
      <c r="H14" s="245"/>
      <c r="I14" s="247" t="s">
        <v>803</v>
      </c>
      <c r="J14" s="248">
        <v>4409</v>
      </c>
      <c r="K14" s="1389">
        <f t="shared" si="5"/>
        <v>3.7598913997504884</v>
      </c>
      <c r="O14" s="1867" t="s">
        <v>804</v>
      </c>
      <c r="P14" s="1857">
        <v>6572.1323199999988</v>
      </c>
      <c r="Q14" s="1859">
        <f t="shared" si="2"/>
        <v>5.6919566949476241</v>
      </c>
      <c r="R14" s="1873">
        <f t="shared" si="4"/>
        <v>37163.468296116429</v>
      </c>
      <c r="S14" s="1774"/>
      <c r="T14" s="1833" t="str">
        <f>O66</f>
        <v>BARRIOS TRADICIONALES</v>
      </c>
      <c r="U14" s="1830">
        <f>P66</f>
        <v>556.76049999999998</v>
      </c>
      <c r="V14" s="1831">
        <f>Q66</f>
        <v>0.48219611248748973</v>
      </c>
      <c r="W14" s="1832">
        <f t="shared" si="0"/>
        <v>4.8219611248748974E-3</v>
      </c>
      <c r="X14" s="1834">
        <f t="shared" si="1"/>
        <v>3148.3162819643189</v>
      </c>
      <c r="Y14" s="1829"/>
      <c r="Z14" s="1390" t="s">
        <v>805</v>
      </c>
      <c r="AA14" s="1391">
        <v>9593.1551599999984</v>
      </c>
      <c r="AB14" s="1392">
        <f t="shared" si="3"/>
        <v>7.3673199475608975</v>
      </c>
      <c r="AC14" s="1"/>
    </row>
    <row r="15" spans="3:29" ht="24.75" thickBot="1">
      <c r="C15" s="247" t="s">
        <v>801</v>
      </c>
      <c r="D15" s="248">
        <v>1214.540039</v>
      </c>
      <c r="E15" s="1389">
        <v>1.2230708852605914</v>
      </c>
      <c r="H15" s="245"/>
      <c r="I15" s="247" t="s">
        <v>802</v>
      </c>
      <c r="J15" s="248">
        <v>3001</v>
      </c>
      <c r="K15" s="1389">
        <f t="shared" si="5"/>
        <v>2.5591821480270389</v>
      </c>
      <c r="O15" s="1867" t="s">
        <v>806</v>
      </c>
      <c r="P15" s="1857">
        <v>2121.8373700000002</v>
      </c>
      <c r="Q15" s="1859">
        <f t="shared" si="2"/>
        <v>1.8376693949098033</v>
      </c>
      <c r="R15" s="1873">
        <f t="shared" si="4"/>
        <v>11998.363999693494</v>
      </c>
      <c r="S15" s="1774"/>
      <c r="T15" s="1835" t="str">
        <f>'perfil-Alrededor_parroquia-2015'!M12</f>
        <v>Mitad del Mundo</v>
      </c>
      <c r="U15" s="1836">
        <f>'perfil-Alrededor_parroquia-2015'!O12</f>
        <v>30000</v>
      </c>
      <c r="V15" s="1837">
        <f>'perfil-Alrededor_parroquia-2015'!N12*100</f>
        <v>86.0930066613669</v>
      </c>
      <c r="W15" s="1838">
        <f t="shared" si="0"/>
        <v>0.860930066613669</v>
      </c>
      <c r="X15" s="1839">
        <f t="shared" si="1"/>
        <v>562111.57165286387</v>
      </c>
      <c r="Y15" s="1829"/>
      <c r="Z15" s="1390" t="s">
        <v>804</v>
      </c>
      <c r="AA15" s="1391">
        <v>6572.1323199999988</v>
      </c>
      <c r="AB15" s="1392">
        <f t="shared" si="3"/>
        <v>5.0472447001624099</v>
      </c>
      <c r="AC15" s="1"/>
    </row>
    <row r="16" spans="3:29">
      <c r="C16" s="247" t="s">
        <v>807</v>
      </c>
      <c r="D16" s="248">
        <v>967.48773800000004</v>
      </c>
      <c r="E16" s="1389">
        <v>0.97428330577616074</v>
      </c>
      <c r="H16" s="245"/>
      <c r="I16" s="247" t="s">
        <v>808</v>
      </c>
      <c r="J16" s="248">
        <v>2289</v>
      </c>
      <c r="K16" s="1389">
        <f t="shared" si="5"/>
        <v>1.9520053105077948</v>
      </c>
      <c r="O16" s="1867"/>
      <c r="P16" s="1857">
        <v>1898.9568399999998</v>
      </c>
      <c r="Q16" s="1859"/>
      <c r="R16" s="1873"/>
      <c r="S16" s="1774"/>
      <c r="T16" s="59"/>
      <c r="U16" s="1393"/>
      <c r="Z16" s="1390" t="s">
        <v>810</v>
      </c>
      <c r="AA16" s="1391">
        <v>6233.3370500000001</v>
      </c>
      <c r="AB16" s="1392">
        <f t="shared" si="3"/>
        <v>4.7870578159537871</v>
      </c>
      <c r="AC16" s="1"/>
    </row>
    <row r="17" spans="3:29" ht="24">
      <c r="C17" s="247" t="s">
        <v>811</v>
      </c>
      <c r="D17" s="248">
        <v>1118.7420910000001</v>
      </c>
      <c r="E17" s="1394">
        <v>1.1266000590184375</v>
      </c>
      <c r="H17" s="245"/>
      <c r="I17" s="247" t="s">
        <v>812</v>
      </c>
      <c r="J17" s="248">
        <v>1131</v>
      </c>
      <c r="K17" s="1389">
        <f t="shared" si="5"/>
        <v>0.96449017308183305</v>
      </c>
      <c r="O17" s="1867" t="s">
        <v>799</v>
      </c>
      <c r="P17" s="1857">
        <v>1849.7313899999999</v>
      </c>
      <c r="Q17" s="1859">
        <f t="shared" si="2"/>
        <v>1.6020053243792991</v>
      </c>
      <c r="R17" s="1873">
        <f t="shared" si="4"/>
        <v>10459.685003511369</v>
      </c>
      <c r="S17" s="1774"/>
      <c r="T17" s="59"/>
      <c r="U17" s="1393"/>
      <c r="Z17" s="1390" t="s">
        <v>813</v>
      </c>
      <c r="AA17" s="1391">
        <v>5831.5777600000001</v>
      </c>
      <c r="AB17" s="1392">
        <f t="shared" si="3"/>
        <v>4.4785160294436954</v>
      </c>
      <c r="AC17" s="1"/>
    </row>
    <row r="18" spans="3:29">
      <c r="C18" s="247" t="s">
        <v>814</v>
      </c>
      <c r="D18" s="248">
        <v>819.64702899999997</v>
      </c>
      <c r="E18" s="1389">
        <v>0.82540417373613129</v>
      </c>
      <c r="H18" s="245"/>
      <c r="I18" s="247" t="s">
        <v>815</v>
      </c>
      <c r="J18" s="248">
        <v>789</v>
      </c>
      <c r="K18" s="1389">
        <f t="shared" si="5"/>
        <v>0.67284062472287032</v>
      </c>
      <c r="O18" s="1867" t="s">
        <v>801</v>
      </c>
      <c r="P18" s="1857">
        <v>1700.3046200000003</v>
      </c>
      <c r="Q18" s="1859">
        <f t="shared" si="2"/>
        <v>1.4725905983066663</v>
      </c>
      <c r="R18" s="1873">
        <f t="shared" si="4"/>
        <v>9614.7207272160213</v>
      </c>
      <c r="S18" s="1774"/>
      <c r="T18" s="59"/>
      <c r="U18" s="1393"/>
      <c r="Z18" s="1390" t="s">
        <v>816</v>
      </c>
      <c r="AA18" s="1391">
        <v>3523.3727200000003</v>
      </c>
      <c r="AB18" s="1392">
        <f t="shared" si="3"/>
        <v>2.7058682664680163</v>
      </c>
      <c r="AC18" s="1"/>
    </row>
    <row r="19" spans="3:29">
      <c r="C19" s="247" t="s">
        <v>817</v>
      </c>
      <c r="D19" s="248">
        <v>284.367187</v>
      </c>
      <c r="E19" s="1389">
        <v>0.28636456269446559</v>
      </c>
      <c r="H19" s="245"/>
      <c r="I19" s="247" t="s">
        <v>818</v>
      </c>
      <c r="J19" s="248">
        <v>252</v>
      </c>
      <c r="K19" s="1394">
        <f t="shared" si="5"/>
        <v>0.21489966721186729</v>
      </c>
      <c r="O19" s="1867" t="s">
        <v>818</v>
      </c>
      <c r="P19" s="1857">
        <v>1604.0196000000001</v>
      </c>
      <c r="Q19" s="1859">
        <f t="shared" si="2"/>
        <v>1.3892005906915781</v>
      </c>
      <c r="R19" s="1873">
        <f t="shared" si="4"/>
        <v>9070.257360696196</v>
      </c>
      <c r="S19" s="1774"/>
      <c r="T19" s="59"/>
      <c r="U19" s="1393"/>
      <c r="Z19" s="1390" t="s">
        <v>819</v>
      </c>
      <c r="AA19" s="1391">
        <v>3209.9230800000005</v>
      </c>
      <c r="AB19" s="1392">
        <f t="shared" si="3"/>
        <v>2.4651462363525578</v>
      </c>
      <c r="AC19" s="1"/>
    </row>
    <row r="20" spans="3:29" ht="24">
      <c r="C20" s="247" t="s">
        <v>820</v>
      </c>
      <c r="D20" s="248">
        <v>169.15391700000001</v>
      </c>
      <c r="E20" s="1389">
        <v>0.1703420425569738</v>
      </c>
      <c r="H20" s="245"/>
      <c r="I20" s="247" t="s">
        <v>821</v>
      </c>
      <c r="J20" s="248">
        <v>192</v>
      </c>
      <c r="K20" s="1389">
        <f t="shared" si="5"/>
        <v>0.16373307978047033</v>
      </c>
      <c r="O20" s="1867" t="s">
        <v>803</v>
      </c>
      <c r="P20" s="1857">
        <v>1190.7258500000003</v>
      </c>
      <c r="Q20" s="1859">
        <f t="shared" si="2"/>
        <v>1.0312573824981515</v>
      </c>
      <c r="R20" s="1873">
        <f t="shared" si="4"/>
        <v>6733.2032012163309</v>
      </c>
      <c r="S20" s="1774"/>
      <c r="T20" s="59"/>
      <c r="U20" s="1393"/>
      <c r="Z20" s="1390" t="s">
        <v>806</v>
      </c>
      <c r="AA20" s="1391">
        <v>2121.8373700000002</v>
      </c>
      <c r="AB20" s="1392">
        <f t="shared" si="3"/>
        <v>1.6295217288532999</v>
      </c>
      <c r="AC20" s="1"/>
    </row>
    <row r="21" spans="3:29">
      <c r="C21" s="247" t="s">
        <v>799</v>
      </c>
      <c r="D21" s="248">
        <v>69.149977000000007</v>
      </c>
      <c r="E21" s="1389">
        <v>6.9635681714351083E-2</v>
      </c>
      <c r="H21" s="245"/>
      <c r="I21" s="247" t="s">
        <v>59</v>
      </c>
      <c r="J21" s="248">
        <v>176</v>
      </c>
      <c r="K21" s="1389">
        <f t="shared" si="5"/>
        <v>0.15008865646543115</v>
      </c>
      <c r="O21" s="1867" t="s">
        <v>815</v>
      </c>
      <c r="P21" s="1857">
        <v>930.99568000000011</v>
      </c>
      <c r="Q21" s="1859">
        <f t="shared" si="2"/>
        <v>0.80631168633307704</v>
      </c>
      <c r="R21" s="1873">
        <f t="shared" si="4"/>
        <v>5264.5057574710199</v>
      </c>
      <c r="S21" s="1774"/>
      <c r="T21" s="59"/>
      <c r="U21" s="1393"/>
      <c r="Z21" s="1390" t="s">
        <v>809</v>
      </c>
      <c r="AA21" s="1391">
        <v>1898.9568399999998</v>
      </c>
      <c r="AB21" s="1392">
        <f t="shared" si="3"/>
        <v>1.4583546678389396</v>
      </c>
      <c r="AC21" s="1"/>
    </row>
    <row r="22" spans="3:29">
      <c r="C22" s="247" t="s">
        <v>822</v>
      </c>
      <c r="D22" s="248">
        <v>18.447514000000002</v>
      </c>
      <c r="E22" s="1389">
        <v>1.8577088078063072E-2</v>
      </c>
      <c r="H22" s="245"/>
      <c r="I22" s="247" t="s">
        <v>822</v>
      </c>
      <c r="J22" s="248">
        <v>151</v>
      </c>
      <c r="K22" s="1389">
        <f t="shared" si="5"/>
        <v>0.12876924503568238</v>
      </c>
      <c r="O22" s="1867" t="s">
        <v>823</v>
      </c>
      <c r="P22" s="1857">
        <v>757.17714000000001</v>
      </c>
      <c r="Q22" s="1859">
        <f t="shared" si="2"/>
        <v>0.65577186846479918</v>
      </c>
      <c r="R22" s="1873">
        <f t="shared" si="4"/>
        <v>4281.6132218308894</v>
      </c>
      <c r="S22" s="1774"/>
      <c r="T22" s="59"/>
      <c r="U22" s="1393"/>
      <c r="Z22" s="1390" t="s">
        <v>799</v>
      </c>
      <c r="AA22" s="1391">
        <v>1849.7313899999999</v>
      </c>
      <c r="AB22" s="1392">
        <f t="shared" si="3"/>
        <v>1.4205506676258688</v>
      </c>
      <c r="AC22" s="1"/>
    </row>
    <row r="23" spans="3:29">
      <c r="C23" s="247"/>
      <c r="D23" s="248"/>
      <c r="E23" s="1389"/>
      <c r="H23" s="245"/>
      <c r="I23" s="247" t="s">
        <v>824</v>
      </c>
      <c r="J23" s="248">
        <v>144</v>
      </c>
      <c r="K23" s="1389">
        <f t="shared" si="5"/>
        <v>0.12279980983535274</v>
      </c>
      <c r="O23" s="1867" t="s">
        <v>59</v>
      </c>
      <c r="P23" s="1857">
        <v>269.55577999999997</v>
      </c>
      <c r="Q23" s="1859">
        <f t="shared" si="2"/>
        <v>0.23345540715358407</v>
      </c>
      <c r="R23" s="1873">
        <f t="shared" si="4"/>
        <v>1524.2583679546087</v>
      </c>
      <c r="S23" s="1774"/>
      <c r="T23" s="59"/>
      <c r="U23" s="1393"/>
      <c r="Z23" s="1390" t="s">
        <v>801</v>
      </c>
      <c r="AA23" s="1391">
        <v>1700.3046200000003</v>
      </c>
      <c r="AB23" s="1392">
        <f t="shared" si="3"/>
        <v>1.3057943851557547</v>
      </c>
      <c r="AC23" s="1"/>
    </row>
    <row r="24" spans="3:29" ht="24">
      <c r="C24" s="246" t="s">
        <v>825</v>
      </c>
      <c r="D24" s="1387">
        <v>9330.2738979999995</v>
      </c>
      <c r="E24" s="1388">
        <v>9.3958091044462044</v>
      </c>
      <c r="H24" s="245"/>
      <c r="I24" s="247" t="s">
        <v>826</v>
      </c>
      <c r="J24" s="248">
        <v>47</v>
      </c>
      <c r="K24" s="1389">
        <f t="shared" si="5"/>
        <v>4.0080493487927631E-2</v>
      </c>
      <c r="O24" s="1867" t="s">
        <v>826</v>
      </c>
      <c r="P24" s="1857">
        <v>256.52908000000002</v>
      </c>
      <c r="Q24" s="1859">
        <f t="shared" si="2"/>
        <v>0.22217331350911618</v>
      </c>
      <c r="R24" s="1873">
        <f t="shared" si="4"/>
        <v>1450.5962246986405</v>
      </c>
      <c r="S24" s="1774"/>
      <c r="T24" s="59"/>
      <c r="U24" s="1393"/>
      <c r="Z24" s="1390" t="s">
        <v>827</v>
      </c>
      <c r="AA24" s="1391">
        <v>1649.0301499999998</v>
      </c>
      <c r="AB24" s="1392">
        <f t="shared" si="3"/>
        <v>1.2664167852596619</v>
      </c>
      <c r="AC24" s="1"/>
    </row>
    <row r="25" spans="3:29">
      <c r="C25" s="247" t="s">
        <v>816</v>
      </c>
      <c r="D25" s="248">
        <v>2506.5502699999997</v>
      </c>
      <c r="E25" s="1389">
        <v>2.5241561078572845</v>
      </c>
      <c r="H25" s="245"/>
      <c r="I25" s="247" t="s">
        <v>828</v>
      </c>
      <c r="J25" s="248">
        <v>43</v>
      </c>
      <c r="K25" s="1389">
        <f t="shared" si="5"/>
        <v>3.6669387659167836E-2</v>
      </c>
      <c r="O25" s="1867" t="s">
        <v>822</v>
      </c>
      <c r="P25" s="1857">
        <v>216.18635</v>
      </c>
      <c r="Q25" s="1859">
        <f t="shared" si="2"/>
        <v>0.18723350083718193</v>
      </c>
      <c r="R25" s="1873">
        <f t="shared" si="4"/>
        <v>1222.4699949860615</v>
      </c>
      <c r="S25" s="1774"/>
      <c r="T25" s="59"/>
      <c r="U25" s="1393"/>
      <c r="Z25" s="1390" t="s">
        <v>818</v>
      </c>
      <c r="AA25" s="1391">
        <v>1604.0196000000001</v>
      </c>
      <c r="AB25" s="1392">
        <f t="shared" si="3"/>
        <v>1.2318497301735141</v>
      </c>
      <c r="AC25" s="1"/>
    </row>
    <row r="26" spans="3:29">
      <c r="C26" s="247" t="s">
        <v>829</v>
      </c>
      <c r="D26" s="248">
        <v>5482.0315639999999</v>
      </c>
      <c r="E26" s="1389">
        <v>5.5205369791913341</v>
      </c>
      <c r="H26" s="245"/>
      <c r="I26" s="247" t="s">
        <v>830</v>
      </c>
      <c r="J26" s="248">
        <v>43</v>
      </c>
      <c r="K26" s="1389">
        <f t="shared" si="5"/>
        <v>3.6669387659167836E-2</v>
      </c>
      <c r="O26" s="1867" t="s">
        <v>824</v>
      </c>
      <c r="P26" s="1857">
        <v>183.24587999999997</v>
      </c>
      <c r="Q26" s="1859">
        <f t="shared" si="2"/>
        <v>0.15870459733646522</v>
      </c>
      <c r="R26" s="1873">
        <f t="shared" si="4"/>
        <v>1036.2013605614618</v>
      </c>
      <c r="S26" s="1774"/>
      <c r="T26" s="59"/>
      <c r="U26" s="1393"/>
      <c r="Z26" s="1390" t="s">
        <v>831</v>
      </c>
      <c r="AA26" s="1391">
        <v>1443.1290200000003</v>
      </c>
      <c r="AB26" s="1392">
        <f t="shared" si="3"/>
        <v>1.108289508365464</v>
      </c>
      <c r="AC26" s="1"/>
    </row>
    <row r="27" spans="3:29">
      <c r="C27" s="247" t="s">
        <v>819</v>
      </c>
      <c r="D27" s="248">
        <v>1341.6920639999998</v>
      </c>
      <c r="E27" s="1389">
        <v>1.3511160173975869</v>
      </c>
      <c r="H27" s="245"/>
      <c r="I27" s="247"/>
      <c r="J27" s="248"/>
      <c r="K27" s="1389"/>
      <c r="O27" s="1867" t="s">
        <v>832</v>
      </c>
      <c r="P27" s="1857">
        <v>152.77027000000001</v>
      </c>
      <c r="Q27" s="1859">
        <f t="shared" si="2"/>
        <v>0.13231044640857997</v>
      </c>
      <c r="R27" s="1873">
        <f t="shared" si="4"/>
        <v>863.87078185518772</v>
      </c>
      <c r="S27" s="1774"/>
      <c r="T27" s="59"/>
      <c r="U27" s="1393"/>
      <c r="Z27" s="1390" t="s">
        <v>833</v>
      </c>
      <c r="AA27" s="1391">
        <v>1251.3598500000001</v>
      </c>
      <c r="AB27" s="1392">
        <f t="shared" si="3"/>
        <v>0.96101524792619064</v>
      </c>
      <c r="AC27" s="1"/>
    </row>
    <row r="28" spans="3:29">
      <c r="C28" s="247"/>
      <c r="D28" s="248"/>
      <c r="E28" s="1389"/>
      <c r="H28" s="245"/>
      <c r="I28" s="246" t="s">
        <v>825</v>
      </c>
      <c r="J28" s="1395">
        <v>11932</v>
      </c>
      <c r="K28" s="1388">
        <f>+J28/$J$71*100</f>
        <v>10.175328687190479</v>
      </c>
      <c r="O28" s="1867" t="s">
        <v>828</v>
      </c>
      <c r="P28" s="1857">
        <v>56.117179999999998</v>
      </c>
      <c r="Q28" s="1859">
        <f t="shared" si="2"/>
        <v>4.8601662725284413E-2</v>
      </c>
      <c r="R28" s="1873">
        <f t="shared" si="4"/>
        <v>317.32608813290898</v>
      </c>
      <c r="S28" s="1774"/>
      <c r="T28" s="59"/>
      <c r="U28" s="1393"/>
      <c r="Z28" s="1390" t="s">
        <v>834</v>
      </c>
      <c r="AA28" s="1391">
        <v>1206.0557599999997</v>
      </c>
      <c r="AB28" s="1392">
        <f t="shared" si="3"/>
        <v>0.92622276095018552</v>
      </c>
      <c r="AC28" s="1"/>
    </row>
    <row r="29" spans="3:29">
      <c r="C29" s="246" t="s">
        <v>835</v>
      </c>
      <c r="D29" s="1387">
        <v>12627.463661999996</v>
      </c>
      <c r="E29" s="1388">
        <v>12.716158104095477</v>
      </c>
      <c r="H29" s="245"/>
      <c r="I29" s="247" t="s">
        <v>810</v>
      </c>
      <c r="J29" s="248">
        <v>8232</v>
      </c>
      <c r="K29" s="1389">
        <f>+J29/$J$71*100</f>
        <v>7.0200557955876652</v>
      </c>
      <c r="L29" s="1"/>
      <c r="O29" s="1867"/>
      <c r="P29" s="1857"/>
      <c r="Q29" s="1858"/>
      <c r="R29" s="1873">
        <f t="shared" si="4"/>
        <v>0</v>
      </c>
      <c r="S29" s="1774"/>
      <c r="T29" s="59"/>
      <c r="U29" s="59"/>
      <c r="Z29" s="1390" t="s">
        <v>803</v>
      </c>
      <c r="AA29" s="1391">
        <v>1190.7258500000003</v>
      </c>
      <c r="AB29" s="1392">
        <f t="shared" si="3"/>
        <v>0.91444974676938384</v>
      </c>
      <c r="AC29" s="1"/>
    </row>
    <row r="30" spans="3:29">
      <c r="C30" s="247" t="s">
        <v>805</v>
      </c>
      <c r="D30" s="248">
        <v>10157.792446999996</v>
      </c>
      <c r="E30" s="1389">
        <v>10.229140087201058</v>
      </c>
      <c r="H30" s="245"/>
      <c r="I30" s="247" t="s">
        <v>816</v>
      </c>
      <c r="J30" s="248">
        <v>3222</v>
      </c>
      <c r="K30" s="1389">
        <f>+J30/$J$71*100</f>
        <v>2.7476457450660177</v>
      </c>
      <c r="O30" s="1867"/>
      <c r="P30" s="1857"/>
      <c r="Q30" s="1858"/>
      <c r="R30" s="1873">
        <f t="shared" si="4"/>
        <v>0</v>
      </c>
      <c r="S30" s="1774"/>
      <c r="T30" s="1393"/>
      <c r="U30" s="59"/>
      <c r="Z30" s="1390" t="s">
        <v>836</v>
      </c>
      <c r="AA30" s="1391">
        <v>1101.4341299999999</v>
      </c>
      <c r="AB30" s="1392">
        <f t="shared" si="3"/>
        <v>0.84587578346573755</v>
      </c>
      <c r="AC30" s="1"/>
    </row>
    <row r="31" spans="3:29">
      <c r="C31" s="247" t="s">
        <v>837</v>
      </c>
      <c r="D31" s="248">
        <v>1306.8444010000001</v>
      </c>
      <c r="E31" s="1389">
        <v>1.3160235867933519</v>
      </c>
      <c r="H31" s="245"/>
      <c r="I31" s="247" t="s">
        <v>819</v>
      </c>
      <c r="J31" s="248">
        <v>316</v>
      </c>
      <c r="K31" s="1389">
        <f>+J31/$J$71*100</f>
        <v>0.26947736047202409</v>
      </c>
      <c r="O31" s="1867"/>
      <c r="P31" s="1857"/>
      <c r="Q31" s="1858"/>
      <c r="R31" s="1873">
        <f t="shared" si="4"/>
        <v>0</v>
      </c>
      <c r="S31" s="1774"/>
      <c r="T31" s="59"/>
      <c r="U31" s="1393"/>
      <c r="Z31" s="1390" t="s">
        <v>815</v>
      </c>
      <c r="AA31" s="1391">
        <v>930.99568000000011</v>
      </c>
      <c r="AB31" s="1392">
        <f t="shared" si="3"/>
        <v>0.714983019659303</v>
      </c>
      <c r="AC31" s="1"/>
    </row>
    <row r="32" spans="3:29">
      <c r="C32" s="247" t="s">
        <v>838</v>
      </c>
      <c r="D32" s="248">
        <v>240.88082400000002</v>
      </c>
      <c r="E32" s="1389">
        <v>0.24257275445159759</v>
      </c>
      <c r="H32" s="245"/>
      <c r="I32" s="247" t="s">
        <v>465</v>
      </c>
      <c r="J32" s="248">
        <v>161</v>
      </c>
      <c r="K32" s="1389">
        <f>+J32/$J$71*100</f>
        <v>0.1372970096075819</v>
      </c>
      <c r="O32" s="1868" t="s">
        <v>825</v>
      </c>
      <c r="P32" s="1860">
        <f>SUM(P33:P37)</f>
        <v>13408.424510000001</v>
      </c>
      <c r="Q32" s="1861">
        <f>+P32/$P$8*100</f>
        <v>11.61269553659783</v>
      </c>
      <c r="R32" s="1874">
        <f t="shared" si="4"/>
        <v>75820.682681911625</v>
      </c>
      <c r="S32" s="1852"/>
      <c r="T32" s="59"/>
      <c r="U32" s="1393"/>
      <c r="Z32" s="1390" t="s">
        <v>823</v>
      </c>
      <c r="AA32" s="1391">
        <v>757.17714000000001</v>
      </c>
      <c r="AB32" s="1392">
        <f t="shared" si="3"/>
        <v>0.58149442538143115</v>
      </c>
      <c r="AC32" s="1"/>
    </row>
    <row r="33" spans="3:29">
      <c r="C33" s="247" t="s">
        <v>839</v>
      </c>
      <c r="D33" s="248">
        <v>812.59147400000006</v>
      </c>
      <c r="E33" s="1389">
        <v>0.81829906099982352</v>
      </c>
      <c r="H33" s="245"/>
      <c r="I33" s="247"/>
      <c r="J33" s="248"/>
      <c r="K33" s="1389"/>
      <c r="O33" s="1867" t="s">
        <v>810</v>
      </c>
      <c r="P33" s="1857">
        <v>6233.3370500000001</v>
      </c>
      <c r="Q33" s="1859">
        <f>+P33/$P$8*100</f>
        <v>5.3985347260343319</v>
      </c>
      <c r="R33" s="1873">
        <f t="shared" si="4"/>
        <v>35247.681050445281</v>
      </c>
      <c r="S33" s="1774"/>
      <c r="T33" s="59"/>
      <c r="U33" s="1393"/>
      <c r="Z33" s="1390" t="s">
        <v>840</v>
      </c>
      <c r="AA33" s="1391">
        <v>313.92570000000001</v>
      </c>
      <c r="AB33" s="1392">
        <f t="shared" si="3"/>
        <v>0.24108763311840548</v>
      </c>
      <c r="AC33" s="1"/>
    </row>
    <row r="34" spans="3:29">
      <c r="C34" s="247" t="s">
        <v>836</v>
      </c>
      <c r="D34" s="248">
        <v>43.325581</v>
      </c>
      <c r="E34" s="1389">
        <v>4.3629896921084106E-2</v>
      </c>
      <c r="H34" s="245"/>
      <c r="I34" s="246" t="s">
        <v>835</v>
      </c>
      <c r="J34" s="1395">
        <v>12317</v>
      </c>
      <c r="K34" s="1388">
        <f t="shared" ref="K34:K39" si="6">+J34/$J$71*100</f>
        <v>10.503647623208611</v>
      </c>
      <c r="O34" s="1867" t="s">
        <v>1030</v>
      </c>
      <c r="P34" s="1857">
        <v>3523.3727200000003</v>
      </c>
      <c r="Q34" s="1859">
        <f>+P34/$P$8*100</f>
        <v>3.0515035251754981</v>
      </c>
      <c r="R34" s="1873">
        <f t="shared" si="4"/>
        <v>19923.632696293847</v>
      </c>
      <c r="S34" s="1774"/>
      <c r="T34" s="59"/>
      <c r="U34" s="1393"/>
      <c r="Z34" s="1390" t="s">
        <v>59</v>
      </c>
      <c r="AA34" s="1391">
        <v>269.55577999999997</v>
      </c>
      <c r="AB34" s="1392">
        <f t="shared" si="3"/>
        <v>0.20701256696595921</v>
      </c>
      <c r="AC34" s="1"/>
    </row>
    <row r="35" spans="3:29">
      <c r="C35" s="247" t="s">
        <v>831</v>
      </c>
      <c r="D35" s="248">
        <v>66.028935000000004</v>
      </c>
      <c r="E35" s="1389">
        <v>6.6492717728562314E-2</v>
      </c>
      <c r="H35" s="245"/>
      <c r="I35" s="247" t="s">
        <v>805</v>
      </c>
      <c r="J35" s="248">
        <v>6628</v>
      </c>
      <c r="K35" s="1389">
        <f t="shared" si="6"/>
        <v>5.6522023582549856</v>
      </c>
      <c r="L35" s="1"/>
      <c r="O35" s="1867" t="s">
        <v>819</v>
      </c>
      <c r="P35" s="1857">
        <v>3209.9230800000005</v>
      </c>
      <c r="Q35" s="1859">
        <f>+P35/$P$8*100</f>
        <v>2.7800327619503715</v>
      </c>
      <c r="R35" s="1873">
        <f t="shared" si="4"/>
        <v>18151.167506705409</v>
      </c>
      <c r="S35" s="1774"/>
      <c r="T35" s="59"/>
      <c r="U35" s="1393"/>
      <c r="Z35" s="1390" t="s">
        <v>826</v>
      </c>
      <c r="AA35" s="1391">
        <v>256.52908000000002</v>
      </c>
      <c r="AB35" s="1392">
        <f t="shared" si="3"/>
        <v>0.19700836447363851</v>
      </c>
      <c r="AC35" s="1396"/>
    </row>
    <row r="36" spans="3:29">
      <c r="C36" s="247"/>
      <c r="D36" s="248"/>
      <c r="E36" s="1389"/>
      <c r="H36" s="245"/>
      <c r="I36" s="247" t="s">
        <v>797</v>
      </c>
      <c r="J36" s="248">
        <v>4829</v>
      </c>
      <c r="K36" s="1389">
        <f t="shared" si="6"/>
        <v>4.1180575117702674</v>
      </c>
      <c r="O36" s="1867" t="s">
        <v>840</v>
      </c>
      <c r="P36" s="1857">
        <v>313.92570000000001</v>
      </c>
      <c r="Q36" s="1859">
        <f>+P36/$P$8*100</f>
        <v>0.27188306668650875</v>
      </c>
      <c r="R36" s="1873">
        <f t="shared" si="4"/>
        <v>1775.157168364218</v>
      </c>
      <c r="S36" s="1774"/>
      <c r="T36" s="59"/>
      <c r="U36" s="59"/>
      <c r="Z36" s="1390" t="s">
        <v>841</v>
      </c>
      <c r="AA36" s="1391">
        <v>236.63215</v>
      </c>
      <c r="AB36" s="1392">
        <f t="shared" si="3"/>
        <v>0.1817279851991076</v>
      </c>
      <c r="AC36" s="1396"/>
    </row>
    <row r="37" spans="3:29">
      <c r="C37" s="246" t="s">
        <v>842</v>
      </c>
      <c r="D37" s="1387">
        <v>7720.9690289999999</v>
      </c>
      <c r="E37" s="1388">
        <v>7.7752005879887172</v>
      </c>
      <c r="H37" s="245"/>
      <c r="I37" s="247" t="s">
        <v>833</v>
      </c>
      <c r="J37" s="248">
        <v>344</v>
      </c>
      <c r="K37" s="1389">
        <f t="shared" si="6"/>
        <v>0.29335510127334269</v>
      </c>
      <c r="O37" s="1867"/>
      <c r="P37" s="1857">
        <v>127.86596</v>
      </c>
      <c r="Q37" s="1859"/>
      <c r="R37" s="1873"/>
      <c r="S37" s="1774"/>
      <c r="T37" s="59"/>
      <c r="U37" s="59"/>
      <c r="Z37" s="1390" t="s">
        <v>844</v>
      </c>
      <c r="AA37" s="1391">
        <v>232.78628</v>
      </c>
      <c r="AB37" s="1392">
        <f t="shared" si="3"/>
        <v>0.17877444652552632</v>
      </c>
      <c r="AC37" s="1396"/>
    </row>
    <row r="38" spans="3:29">
      <c r="C38" s="247" t="s">
        <v>845</v>
      </c>
      <c r="D38" s="248">
        <v>4370.0814010000004</v>
      </c>
      <c r="E38" s="1389">
        <v>4.4007765542111672</v>
      </c>
      <c r="H38" s="245"/>
      <c r="I38" s="247" t="s">
        <v>831</v>
      </c>
      <c r="J38" s="248">
        <v>227</v>
      </c>
      <c r="K38" s="1389">
        <f t="shared" si="6"/>
        <v>0.19358025578211857</v>
      </c>
      <c r="O38" s="1867"/>
      <c r="P38" s="1857"/>
      <c r="Q38" s="1858"/>
      <c r="R38" s="1873"/>
      <c r="S38" s="1774"/>
      <c r="T38" s="59"/>
      <c r="U38" s="1393"/>
      <c r="Z38" s="1390" t="s">
        <v>846</v>
      </c>
      <c r="AA38" s="1391">
        <v>217.63732000000002</v>
      </c>
      <c r="AB38" s="1392">
        <f t="shared" si="3"/>
        <v>0.16714039773434611</v>
      </c>
      <c r="AC38" s="1396"/>
    </row>
    <row r="39" spans="3:29">
      <c r="C39" s="247" t="s">
        <v>847</v>
      </c>
      <c r="D39" s="248">
        <v>2093.2561380000002</v>
      </c>
      <c r="E39" s="1389">
        <v>2.1079590261090004</v>
      </c>
      <c r="H39" s="245"/>
      <c r="I39" s="247" t="s">
        <v>143</v>
      </c>
      <c r="J39" s="248">
        <v>289</v>
      </c>
      <c r="K39" s="1389">
        <f t="shared" si="6"/>
        <v>0.24645239612789546</v>
      </c>
      <c r="O39" s="1868" t="s">
        <v>835</v>
      </c>
      <c r="P39" s="1855">
        <f>SUM(P40:P44)</f>
        <v>13587.847599999999</v>
      </c>
      <c r="Q39" s="1856">
        <f t="shared" ref="Q39:Q44" si="7">+P39/$P$8*100</f>
        <v>11.768089312716091</v>
      </c>
      <c r="R39" s="1872">
        <f t="shared" si="4"/>
        <v>76835.267293440891</v>
      </c>
      <c r="S39" s="1773"/>
      <c r="T39" s="59"/>
      <c r="U39" s="1393"/>
      <c r="Z39" s="1390" t="s">
        <v>822</v>
      </c>
      <c r="AA39" s="1391">
        <v>216.18635</v>
      </c>
      <c r="AB39" s="1392">
        <f t="shared" si="3"/>
        <v>0.16602608653578602</v>
      </c>
      <c r="AC39" s="1396"/>
    </row>
    <row r="40" spans="3:29">
      <c r="C40" s="247" t="s">
        <v>848</v>
      </c>
      <c r="D40" s="248">
        <v>535.708485</v>
      </c>
      <c r="E40" s="1389">
        <v>0.53947126480081431</v>
      </c>
      <c r="H40" s="245"/>
      <c r="I40" s="247"/>
      <c r="J40" s="248"/>
      <c r="K40" s="1389"/>
      <c r="O40" s="1867" t="s">
        <v>805</v>
      </c>
      <c r="P40" s="1857">
        <v>9593.1551599999984</v>
      </c>
      <c r="Q40" s="1859">
        <f t="shared" si="7"/>
        <v>8.3083877621370448</v>
      </c>
      <c r="R40" s="1873">
        <f t="shared" si="4"/>
        <v>54246.460705524216</v>
      </c>
      <c r="S40" s="1774"/>
      <c r="T40" s="59"/>
      <c r="U40" s="1393"/>
      <c r="Z40" s="1390" t="s">
        <v>830</v>
      </c>
      <c r="AA40" s="1391">
        <v>198.76944</v>
      </c>
      <c r="AB40" s="1392">
        <f t="shared" si="3"/>
        <v>0.15265030491568837</v>
      </c>
      <c r="AC40" s="1"/>
    </row>
    <row r="41" spans="3:29">
      <c r="C41" s="247" t="s">
        <v>849</v>
      </c>
      <c r="D41" s="248">
        <v>377.79542900000001</v>
      </c>
      <c r="E41" s="1389">
        <v>0.38044903828356619</v>
      </c>
      <c r="H41" s="245"/>
      <c r="I41" s="246" t="s">
        <v>842</v>
      </c>
      <c r="J41" s="1395">
        <f>+J42+J43+J44+J45+J46</f>
        <v>4147</v>
      </c>
      <c r="K41" s="1388">
        <f t="shared" ref="K41:K46" si="8">+J41/$J$71*100</f>
        <v>3.5364639679667214</v>
      </c>
      <c r="O41" s="1867" t="s">
        <v>831</v>
      </c>
      <c r="P41" s="1857">
        <v>1443.1290200000003</v>
      </c>
      <c r="Q41" s="1859">
        <f t="shared" si="7"/>
        <v>1.2498573502643975</v>
      </c>
      <c r="R41" s="1873">
        <f t="shared" si="4"/>
        <v>8160.4686227582824</v>
      </c>
      <c r="S41" s="1774"/>
      <c r="T41" s="59"/>
      <c r="U41" s="1393"/>
      <c r="Z41" s="1390" t="s">
        <v>824</v>
      </c>
      <c r="AA41" s="1391">
        <v>183.24587999999997</v>
      </c>
      <c r="AB41" s="1392">
        <f t="shared" si="3"/>
        <v>0.14072857204077063</v>
      </c>
      <c r="AC41" s="1"/>
    </row>
    <row r="42" spans="3:29" ht="24">
      <c r="C42" s="247" t="s">
        <v>850</v>
      </c>
      <c r="D42" s="248">
        <v>207.87492700000001</v>
      </c>
      <c r="E42" s="1389">
        <v>0.2093350262859229</v>
      </c>
      <c r="H42" s="245"/>
      <c r="I42" s="247" t="s">
        <v>851</v>
      </c>
      <c r="J42" s="248">
        <v>2032</v>
      </c>
      <c r="K42" s="1389">
        <f t="shared" si="8"/>
        <v>1.7328417610099778</v>
      </c>
      <c r="O42" s="1867" t="s">
        <v>833</v>
      </c>
      <c r="P42" s="1857">
        <v>1251.3598500000001</v>
      </c>
      <c r="Q42" s="1859">
        <f t="shared" si="7"/>
        <v>1.0837709481777682</v>
      </c>
      <c r="R42" s="1873">
        <f t="shared" si="4"/>
        <v>7076.0705731664293</v>
      </c>
      <c r="S42" s="1774"/>
      <c r="T42" s="59"/>
      <c r="U42" s="1393"/>
      <c r="Z42" s="1390" t="s">
        <v>847</v>
      </c>
      <c r="AA42" s="1391">
        <v>170.69937999999999</v>
      </c>
      <c r="AB42" s="1392">
        <f t="shared" si="3"/>
        <v>0.13109315197506696</v>
      </c>
      <c r="AC42" s="1"/>
    </row>
    <row r="43" spans="3:29">
      <c r="C43" s="247" t="s">
        <v>852</v>
      </c>
      <c r="D43" s="248">
        <v>136.25264900000002</v>
      </c>
      <c r="E43" s="1389">
        <v>0.13720967829824726</v>
      </c>
      <c r="H43" s="245"/>
      <c r="I43" s="247" t="s">
        <v>853</v>
      </c>
      <c r="J43" s="248">
        <v>1481</v>
      </c>
      <c r="K43" s="1389">
        <f t="shared" si="8"/>
        <v>1.2629619330983155</v>
      </c>
      <c r="O43" s="1867" t="s">
        <v>836</v>
      </c>
      <c r="P43" s="1857">
        <v>1101.4341299999999</v>
      </c>
      <c r="Q43" s="1859">
        <f t="shared" si="7"/>
        <v>0.95392409419676927</v>
      </c>
      <c r="R43" s="1873">
        <f t="shared" si="4"/>
        <v>6228.2848819020101</v>
      </c>
      <c r="S43" s="1774"/>
      <c r="T43" s="59"/>
      <c r="U43" s="59"/>
      <c r="Z43" s="1390" t="s">
        <v>820</v>
      </c>
      <c r="AA43" s="1391">
        <v>169.88849999999999</v>
      </c>
      <c r="AB43" s="1392">
        <f t="shared" si="3"/>
        <v>0.13047041500277368</v>
      </c>
      <c r="AC43" s="1"/>
    </row>
    <row r="44" spans="3:29">
      <c r="C44" s="247"/>
      <c r="D44" s="248"/>
      <c r="E44" s="1389"/>
      <c r="H44" s="245"/>
      <c r="I44" s="247" t="s">
        <v>854</v>
      </c>
      <c r="J44" s="248">
        <v>390</v>
      </c>
      <c r="K44" s="1389">
        <f t="shared" si="8"/>
        <v>0.33258281830408037</v>
      </c>
      <c r="O44" s="1867" t="s">
        <v>830</v>
      </c>
      <c r="P44" s="1857">
        <v>198.76944</v>
      </c>
      <c r="Q44" s="1859">
        <f t="shared" si="7"/>
        <v>0.17214915794011135</v>
      </c>
      <c r="R44" s="1873">
        <f t="shared" si="4"/>
        <v>1123.9825100899398</v>
      </c>
      <c r="S44" s="1774"/>
      <c r="T44" s="59"/>
      <c r="U44" s="59"/>
      <c r="Z44" s="1390" t="s">
        <v>715</v>
      </c>
      <c r="AA44" s="1391">
        <v>160.37643</v>
      </c>
      <c r="AB44" s="1392">
        <f t="shared" si="3"/>
        <v>0.12316536657138819</v>
      </c>
      <c r="AC44" s="1"/>
    </row>
    <row r="45" spans="3:29">
      <c r="C45" s="246" t="s">
        <v>855</v>
      </c>
      <c r="D45" s="1387">
        <v>6903.7622889999993</v>
      </c>
      <c r="E45" s="1388">
        <v>6.9522538436758081</v>
      </c>
      <c r="H45" s="245"/>
      <c r="I45" s="247" t="s">
        <v>850</v>
      </c>
      <c r="J45" s="248">
        <v>157</v>
      </c>
      <c r="K45" s="1389">
        <f t="shared" si="8"/>
        <v>0.13388590377882209</v>
      </c>
      <c r="O45" s="1867"/>
      <c r="P45" s="1857"/>
      <c r="Q45" s="1859"/>
      <c r="R45" s="1873">
        <f t="shared" si="4"/>
        <v>0</v>
      </c>
      <c r="S45" s="1774"/>
      <c r="T45" s="59"/>
      <c r="U45" s="59"/>
      <c r="Z45" s="1390" t="s">
        <v>832</v>
      </c>
      <c r="AA45" s="1391">
        <v>152.77027000000001</v>
      </c>
      <c r="AB45" s="1392">
        <f t="shared" si="3"/>
        <v>0.11732401267293424</v>
      </c>
      <c r="AC45" s="1"/>
    </row>
    <row r="46" spans="3:29">
      <c r="C46" s="247" t="s">
        <v>856</v>
      </c>
      <c r="D46" s="248">
        <v>2945.768176</v>
      </c>
      <c r="E46" s="1389">
        <v>2.9664590504231194</v>
      </c>
      <c r="H46" s="245"/>
      <c r="I46" s="247" t="s">
        <v>857</v>
      </c>
      <c r="J46" s="248">
        <v>87</v>
      </c>
      <c r="K46" s="1389">
        <f t="shared" si="8"/>
        <v>7.4191551775525624E-2</v>
      </c>
      <c r="O46" s="1868" t="s">
        <v>842</v>
      </c>
      <c r="P46" s="1855">
        <f>SUM(P47:P50)</f>
        <v>2108.4892199999999</v>
      </c>
      <c r="Q46" s="1856">
        <f>+P46/$P$8*100</f>
        <v>1.8261089015937364</v>
      </c>
      <c r="R46" s="1872">
        <f t="shared" si="4"/>
        <v>11922.884151573695</v>
      </c>
      <c r="S46" s="1773"/>
      <c r="T46" s="59"/>
      <c r="U46" s="59"/>
      <c r="Z46" s="1390" t="s">
        <v>858</v>
      </c>
      <c r="AA46" s="1391">
        <v>135.65577999999999</v>
      </c>
      <c r="AB46" s="1392">
        <f t="shared" si="3"/>
        <v>0.10418048257607175</v>
      </c>
      <c r="AC46" s="1"/>
    </row>
    <row r="47" spans="3:29" ht="24">
      <c r="C47" s="247" t="s">
        <v>813</v>
      </c>
      <c r="D47" s="248">
        <v>2961.4981559999997</v>
      </c>
      <c r="E47" s="1389">
        <v>2.9822995167280189</v>
      </c>
      <c r="H47" s="245"/>
      <c r="I47" s="247"/>
      <c r="J47" s="248"/>
      <c r="K47" s="1389"/>
      <c r="O47" s="1867" t="s">
        <v>827</v>
      </c>
      <c r="P47" s="1862">
        <v>1649.0301499999998</v>
      </c>
      <c r="Q47" s="1859">
        <f>+P47/$P$8*100</f>
        <v>1.4281830835784186</v>
      </c>
      <c r="R47" s="1873">
        <f t="shared" si="4"/>
        <v>9324.7787346535242</v>
      </c>
      <c r="S47" s="1774"/>
      <c r="T47" s="59"/>
      <c r="U47" s="59"/>
      <c r="Z47" s="1390" t="s">
        <v>843</v>
      </c>
      <c r="AA47" s="1391">
        <v>127.86596</v>
      </c>
      <c r="AB47" s="1392">
        <f t="shared" si="3"/>
        <v>9.8198082071052836E-2</v>
      </c>
      <c r="AC47" s="1"/>
    </row>
    <row r="48" spans="3:29">
      <c r="C48" s="247" t="s">
        <v>834</v>
      </c>
      <c r="D48" s="248">
        <v>697.61716300000001</v>
      </c>
      <c r="E48" s="1389">
        <v>0.70251717829402271</v>
      </c>
      <c r="H48" s="245"/>
      <c r="I48" s="246" t="s">
        <v>855</v>
      </c>
      <c r="J48" s="1387">
        <f>+J49+J50+J51+J52+J53</f>
        <v>7522</v>
      </c>
      <c r="K48" s="1388">
        <f t="shared" ref="K48:K53" si="9">+J48/$J$71*100</f>
        <v>6.4145845109828015</v>
      </c>
      <c r="O48" s="1867" t="s">
        <v>847</v>
      </c>
      <c r="P48" s="1857">
        <v>170.69937999999999</v>
      </c>
      <c r="Q48" s="1859">
        <f>+P48/$P$8*100</f>
        <v>0.14783839270211296</v>
      </c>
      <c r="R48" s="1873">
        <f t="shared" si="4"/>
        <v>965.25460655921984</v>
      </c>
      <c r="S48" s="1774"/>
      <c r="T48" s="59"/>
      <c r="U48" s="59"/>
      <c r="Z48" s="1390" t="s">
        <v>859</v>
      </c>
      <c r="AA48" s="1391">
        <v>122.4898</v>
      </c>
      <c r="AB48" s="1392">
        <f t="shared" si="3"/>
        <v>9.4069316284543958E-2</v>
      </c>
      <c r="AC48" s="1"/>
    </row>
    <row r="49" spans="3:29">
      <c r="C49" s="247" t="s">
        <v>846</v>
      </c>
      <c r="D49" s="248">
        <v>298.87879399999997</v>
      </c>
      <c r="E49" s="1389">
        <v>0.30097809823064869</v>
      </c>
      <c r="H49" s="245"/>
      <c r="I49" s="247" t="s">
        <v>834</v>
      </c>
      <c r="J49" s="248">
        <v>1719</v>
      </c>
      <c r="K49" s="1389">
        <f t="shared" si="9"/>
        <v>1.4659227299095234</v>
      </c>
      <c r="O49" s="1867" t="s">
        <v>820</v>
      </c>
      <c r="P49" s="1863">
        <v>169.88849999999999</v>
      </c>
      <c r="Q49" s="1859">
        <f>+P49/$P$8*100</f>
        <v>0.14713611015208677</v>
      </c>
      <c r="R49" s="1873">
        <f t="shared" si="4"/>
        <v>960.66931951619279</v>
      </c>
      <c r="S49" s="1774"/>
      <c r="T49" s="59"/>
      <c r="U49" s="59"/>
      <c r="Z49" s="1390" t="s">
        <v>850</v>
      </c>
      <c r="AA49" s="1391">
        <v>118.87119000000001</v>
      </c>
      <c r="AB49" s="1392">
        <f t="shared" si="3"/>
        <v>9.1290308003034712E-2</v>
      </c>
      <c r="AC49" s="1"/>
    </row>
    <row r="50" spans="3:29">
      <c r="C50" s="247"/>
      <c r="D50" s="248"/>
      <c r="E50" s="1389"/>
      <c r="H50" s="245"/>
      <c r="I50" s="247" t="s">
        <v>813</v>
      </c>
      <c r="J50" s="248">
        <v>4960</v>
      </c>
      <c r="K50" s="1389">
        <f t="shared" si="9"/>
        <v>4.2297712276621509</v>
      </c>
      <c r="O50" s="1867" t="s">
        <v>850</v>
      </c>
      <c r="P50" s="1857">
        <v>118.87119000000001</v>
      </c>
      <c r="Q50" s="1859">
        <f>+P50/$P$8*100</f>
        <v>0.10295131516111825</v>
      </c>
      <c r="R50" s="1873">
        <f t="shared" si="4"/>
        <v>672.18149084476045</v>
      </c>
      <c r="S50" s="1774"/>
      <c r="T50" s="59"/>
      <c r="U50" s="59"/>
      <c r="Z50" s="1390" t="s">
        <v>860</v>
      </c>
      <c r="AA50" s="1391">
        <v>110.82942</v>
      </c>
      <c r="AB50" s="1392">
        <f t="shared" si="3"/>
        <v>8.5114415760435255E-2</v>
      </c>
      <c r="AC50" s="1"/>
    </row>
    <row r="51" spans="3:29">
      <c r="C51" s="246" t="s">
        <v>861</v>
      </c>
      <c r="D51" s="1387">
        <v>9029.032838000001</v>
      </c>
      <c r="E51" s="1388">
        <v>9.0924521478205573</v>
      </c>
      <c r="H51" s="1"/>
      <c r="I51" s="247" t="s">
        <v>846</v>
      </c>
      <c r="J51" s="248">
        <v>172</v>
      </c>
      <c r="K51" s="1389">
        <f t="shared" si="9"/>
        <v>0.14667755063667134</v>
      </c>
      <c r="O51" s="1867"/>
      <c r="P51" s="1857"/>
      <c r="Q51" s="1858"/>
      <c r="R51" s="1873">
        <f t="shared" si="4"/>
        <v>0</v>
      </c>
      <c r="S51" s="1774"/>
      <c r="T51" s="59"/>
      <c r="U51" s="1393"/>
      <c r="Z51" s="1390" t="s">
        <v>862</v>
      </c>
      <c r="AA51" s="1391">
        <v>106.94532</v>
      </c>
      <c r="AB51" s="1392">
        <f t="shared" si="3"/>
        <v>8.2131517336396703E-2</v>
      </c>
      <c r="AC51" s="1"/>
    </row>
    <row r="52" spans="3:29">
      <c r="C52" s="247" t="s">
        <v>863</v>
      </c>
      <c r="D52" s="248">
        <v>7618.2057220000006</v>
      </c>
      <c r="E52" s="1389">
        <v>7.6717154785407988</v>
      </c>
      <c r="I52" s="247" t="s">
        <v>864</v>
      </c>
      <c r="J52" s="248">
        <v>139</v>
      </c>
      <c r="K52" s="1389">
        <f t="shared" si="9"/>
        <v>0.11853592754940299</v>
      </c>
      <c r="O52" s="1868" t="s">
        <v>855</v>
      </c>
      <c r="P52" s="1855">
        <f>SUM(P53:P55)</f>
        <v>7255.2708399999992</v>
      </c>
      <c r="Q52" s="1856">
        <f>+P52/$P$8*100</f>
        <v>6.2836055971855833</v>
      </c>
      <c r="R52" s="1872">
        <f t="shared" si="4"/>
        <v>41026.414976696338</v>
      </c>
      <c r="S52" s="1773"/>
      <c r="T52" s="59"/>
      <c r="U52" s="1393"/>
      <c r="Z52" s="1390" t="s">
        <v>865</v>
      </c>
      <c r="AA52" s="1391">
        <v>91.701380000000015</v>
      </c>
      <c r="AB52" s="1392">
        <f t="shared" si="3"/>
        <v>7.0424526115228814E-2</v>
      </c>
      <c r="AC52" s="1"/>
    </row>
    <row r="53" spans="3:29">
      <c r="C53" s="247" t="s">
        <v>866</v>
      </c>
      <c r="D53" s="248">
        <v>958.62594300000012</v>
      </c>
      <c r="E53" s="1389">
        <v>0.96535926613348944</v>
      </c>
      <c r="I53" s="247" t="s">
        <v>867</v>
      </c>
      <c r="J53" s="248">
        <v>532</v>
      </c>
      <c r="K53" s="1389">
        <f t="shared" si="9"/>
        <v>0.45367707522505318</v>
      </c>
      <c r="O53" s="1867" t="s">
        <v>813</v>
      </c>
      <c r="P53" s="1857">
        <v>5831.5777600000001</v>
      </c>
      <c r="Q53" s="1859">
        <f>+P53/$P$8*100</f>
        <v>5.0505812203640597</v>
      </c>
      <c r="R53" s="1873">
        <f t="shared" si="4"/>
        <v>32975.850857503392</v>
      </c>
      <c r="S53" s="1774"/>
      <c r="T53" s="59"/>
      <c r="U53" s="1393"/>
      <c r="Z53" s="1390" t="s">
        <v>868</v>
      </c>
      <c r="AA53" s="1391">
        <v>62.4</v>
      </c>
      <c r="AB53" s="1392">
        <f t="shared" si="3"/>
        <v>4.792174806519027E-2</v>
      </c>
      <c r="AC53" s="1"/>
    </row>
    <row r="54" spans="3:29">
      <c r="C54" s="247" t="s">
        <v>862</v>
      </c>
      <c r="D54" s="248">
        <v>408.87559199999998</v>
      </c>
      <c r="E54" s="1389">
        <v>0.41174750622518458</v>
      </c>
      <c r="I54" s="247"/>
      <c r="J54" s="248"/>
      <c r="K54" s="1389"/>
      <c r="O54" s="1867" t="s">
        <v>834</v>
      </c>
      <c r="P54" s="1857">
        <v>1206.0557599999997</v>
      </c>
      <c r="Q54" s="1859">
        <f>+P54/$P$8*100</f>
        <v>1.0445342277606706</v>
      </c>
      <c r="R54" s="1873">
        <f t="shared" si="4"/>
        <v>6819.8893171567497</v>
      </c>
      <c r="S54" s="1774"/>
      <c r="T54" s="59"/>
      <c r="U54" s="59"/>
      <c r="Z54" s="1390" t="s">
        <v>869</v>
      </c>
      <c r="AA54" s="1391">
        <v>56.489800000000002</v>
      </c>
      <c r="AB54" s="1392">
        <f t="shared" si="3"/>
        <v>4.3382851984823487E-2</v>
      </c>
      <c r="AC54" s="1"/>
    </row>
    <row r="55" spans="3:29">
      <c r="C55" s="247" t="s">
        <v>870</v>
      </c>
      <c r="D55" s="248">
        <v>43.325581</v>
      </c>
      <c r="E55" s="1389">
        <v>4.3629896921084106E-2</v>
      </c>
      <c r="I55" s="247"/>
      <c r="J55" s="248"/>
      <c r="K55" s="1389"/>
      <c r="O55" s="1867" t="s">
        <v>846</v>
      </c>
      <c r="P55" s="1857">
        <v>217.63732000000002</v>
      </c>
      <c r="Q55" s="1859">
        <f>+P55/$P$8*100</f>
        <v>0.18849014906085437</v>
      </c>
      <c r="R55" s="1873">
        <f t="shared" si="4"/>
        <v>1230.6748020362056</v>
      </c>
      <c r="S55" s="1774"/>
      <c r="T55" s="59"/>
      <c r="U55" s="59"/>
      <c r="Z55" s="1390" t="s">
        <v>828</v>
      </c>
      <c r="AA55" s="1391">
        <v>56.117179999999998</v>
      </c>
      <c r="AB55" s="1392">
        <f t="shared" si="3"/>
        <v>4.3096688495014968E-2</v>
      </c>
      <c r="AC55" s="1"/>
    </row>
    <row r="56" spans="3:29">
      <c r="C56" s="247"/>
      <c r="D56" s="248"/>
      <c r="E56" s="1389"/>
      <c r="I56" s="246" t="s">
        <v>871</v>
      </c>
      <c r="J56" s="1387">
        <f>+J57+J58+J59+J60+J61</f>
        <v>591</v>
      </c>
      <c r="K56" s="1388">
        <f t="shared" ref="K56:K61" si="10">+J56/$J$71*100</f>
        <v>0.50399088619926025</v>
      </c>
      <c r="O56" s="1867"/>
      <c r="P56" s="1857"/>
      <c r="Q56" s="1858"/>
      <c r="R56" s="1873">
        <f t="shared" si="4"/>
        <v>0</v>
      </c>
      <c r="S56" s="1774"/>
      <c r="T56" s="59"/>
      <c r="U56" s="1393"/>
      <c r="Z56" s="1390" t="s">
        <v>872</v>
      </c>
      <c r="AA56" s="1391">
        <v>40.862119999999997</v>
      </c>
      <c r="AB56" s="1392">
        <f t="shared" si="3"/>
        <v>3.1381157372589306E-2</v>
      </c>
      <c r="AC56" s="1"/>
    </row>
    <row r="57" spans="3:29">
      <c r="C57" s="246" t="s">
        <v>873</v>
      </c>
      <c r="D57" s="1387">
        <v>283.372591</v>
      </c>
      <c r="E57" s="1388">
        <v>0.28536298072010913</v>
      </c>
      <c r="I57" s="247" t="s">
        <v>874</v>
      </c>
      <c r="J57" s="248">
        <v>196</v>
      </c>
      <c r="K57" s="1389">
        <f t="shared" si="10"/>
        <v>0.16714418560923014</v>
      </c>
      <c r="O57" s="1868" t="s">
        <v>861</v>
      </c>
      <c r="P57" s="1855">
        <f>SUM(P59:P64)</f>
        <v>695.36444000000006</v>
      </c>
      <c r="Q57" s="1856">
        <f t="shared" ref="Q57:Q64" si="11">+P57/$P$8*100</f>
        <v>0.6022374606855917</v>
      </c>
      <c r="R57" s="1872">
        <f t="shared" si="4"/>
        <v>3932.0806493115106</v>
      </c>
      <c r="S57" s="1773"/>
      <c r="T57" s="59"/>
      <c r="U57" s="1393"/>
      <c r="Z57" s="1390" t="s">
        <v>875</v>
      </c>
      <c r="AA57" s="1391">
        <v>30.61224</v>
      </c>
      <c r="AB57" s="1392">
        <f t="shared" si="3"/>
        <v>2.350948802870417E-2</v>
      </c>
      <c r="AC57" s="1"/>
    </row>
    <row r="58" spans="3:29" ht="15.75" thickBot="1">
      <c r="C58" s="247" t="s">
        <v>869</v>
      </c>
      <c r="D58" s="248">
        <v>176.86574100000001</v>
      </c>
      <c r="E58" s="1389">
        <v>0.1781080338819036</v>
      </c>
      <c r="I58" s="247" t="s">
        <v>876</v>
      </c>
      <c r="J58" s="248">
        <v>143</v>
      </c>
      <c r="K58" s="1389">
        <f t="shared" si="10"/>
        <v>0.1219470333781628</v>
      </c>
      <c r="O58" s="1867" t="s">
        <v>809</v>
      </c>
      <c r="P58" s="1857">
        <v>1898.9568399999998</v>
      </c>
      <c r="Q58" s="1859">
        <f>+P58/$P$8*100</f>
        <v>1.644638234985291</v>
      </c>
      <c r="R58" s="1873">
        <f t="shared" si="4"/>
        <v>10738.040392807163</v>
      </c>
      <c r="S58" s="1774"/>
      <c r="T58" s="59"/>
      <c r="U58" s="1393"/>
      <c r="Z58" s="1397"/>
      <c r="AA58" s="1398"/>
      <c r="AB58" s="1399"/>
    </row>
    <row r="59" spans="3:29" ht="15.75" thickTop="1">
      <c r="C59" s="247" t="s">
        <v>715</v>
      </c>
      <c r="D59" s="248">
        <v>53.253425</v>
      </c>
      <c r="E59" s="1389">
        <v>5.3627473419102754E-2</v>
      </c>
      <c r="I59" s="247" t="s">
        <v>877</v>
      </c>
      <c r="J59" s="248">
        <v>96</v>
      </c>
      <c r="K59" s="1389">
        <f t="shared" si="10"/>
        <v>8.1866539890235165E-2</v>
      </c>
      <c r="O59" s="1867" t="s">
        <v>844</v>
      </c>
      <c r="P59" s="1857">
        <v>232.78628</v>
      </c>
      <c r="Q59" s="1859">
        <f t="shared" si="11"/>
        <v>0.20161027812932902</v>
      </c>
      <c r="R59" s="1873">
        <f t="shared" si="4"/>
        <v>1316.3376991397645</v>
      </c>
      <c r="S59" s="1774"/>
      <c r="T59" s="59"/>
      <c r="U59" s="1393"/>
    </row>
    <row r="60" spans="3:29">
      <c r="C60" s="247" t="s">
        <v>872</v>
      </c>
      <c r="D60" s="248">
        <v>53.253425</v>
      </c>
      <c r="E60" s="1389"/>
      <c r="I60" s="247" t="s">
        <v>878</v>
      </c>
      <c r="J60" s="248">
        <v>96</v>
      </c>
      <c r="K60" s="1389">
        <f t="shared" si="10"/>
        <v>8.1866539890235165E-2</v>
      </c>
      <c r="O60" s="1867" t="s">
        <v>859</v>
      </c>
      <c r="P60" s="1857">
        <v>122.4898</v>
      </c>
      <c r="Q60" s="1859">
        <f t="shared" si="11"/>
        <v>0.10608530127293536</v>
      </c>
      <c r="R60" s="1873">
        <f t="shared" si="4"/>
        <v>692.64366224714774</v>
      </c>
      <c r="S60" s="1774"/>
      <c r="T60" s="59"/>
      <c r="U60" s="1393"/>
    </row>
    <row r="61" spans="3:29">
      <c r="C61" s="247"/>
      <c r="D61" s="248"/>
      <c r="E61" s="1389"/>
      <c r="I61" s="247" t="s">
        <v>840</v>
      </c>
      <c r="J61" s="248">
        <v>60</v>
      </c>
      <c r="K61" s="1389">
        <f t="shared" si="10"/>
        <v>5.1166587431396973E-2</v>
      </c>
      <c r="O61" s="1867" t="s">
        <v>860</v>
      </c>
      <c r="P61" s="1857">
        <v>110.82942</v>
      </c>
      <c r="Q61" s="1859">
        <f t="shared" si="11"/>
        <v>9.5986542639507025E-2</v>
      </c>
      <c r="R61" s="1873">
        <f t="shared" si="4"/>
        <v>626.70765527845811</v>
      </c>
      <c r="S61" s="1774"/>
      <c r="T61" s="59"/>
      <c r="U61" s="1393"/>
    </row>
    <row r="62" spans="3:29">
      <c r="C62" s="246" t="s">
        <v>871</v>
      </c>
      <c r="D62" s="1387">
        <v>130.97350599999999</v>
      </c>
      <c r="E62" s="1388">
        <v>0.13189345495846877</v>
      </c>
      <c r="I62" s="247"/>
      <c r="J62" s="248"/>
      <c r="K62" s="1389"/>
      <c r="O62" s="1867" t="s">
        <v>862</v>
      </c>
      <c r="P62" s="1857">
        <v>106.94532</v>
      </c>
      <c r="Q62" s="1859">
        <f t="shared" si="11"/>
        <v>9.2622622389215079E-2</v>
      </c>
      <c r="R62" s="1873">
        <f t="shared" si="4"/>
        <v>604.74421629387189</v>
      </c>
      <c r="S62" s="1774"/>
      <c r="T62" s="59"/>
      <c r="U62" s="59"/>
    </row>
    <row r="63" spans="3:29">
      <c r="C63" s="247" t="s">
        <v>879</v>
      </c>
      <c r="D63" s="248">
        <v>115.076954</v>
      </c>
      <c r="E63" s="1389">
        <v>0.11588524666322043</v>
      </c>
      <c r="I63" s="246" t="s">
        <v>873</v>
      </c>
      <c r="J63" s="1387">
        <f>+J64+J65+J66+J67</f>
        <v>1384</v>
      </c>
      <c r="K63" s="1388">
        <f>+J63/$J$71*100</f>
        <v>1.1802426167508904</v>
      </c>
      <c r="O63" s="1867" t="s">
        <v>865</v>
      </c>
      <c r="P63" s="1857">
        <v>91.701380000000015</v>
      </c>
      <c r="Q63" s="1859">
        <f t="shared" si="11"/>
        <v>7.9420233557765049E-2</v>
      </c>
      <c r="R63" s="1873">
        <f t="shared" si="4"/>
        <v>518.54423532667499</v>
      </c>
      <c r="S63" s="1774"/>
      <c r="T63" s="59"/>
      <c r="U63" s="59"/>
    </row>
    <row r="64" spans="3:29">
      <c r="C64" s="247" t="s">
        <v>874</v>
      </c>
      <c r="D64" s="248">
        <v>15.896552</v>
      </c>
      <c r="E64" s="1389">
        <v>1.6008208295248325E-2</v>
      </c>
      <c r="I64" s="247" t="s">
        <v>869</v>
      </c>
      <c r="J64" s="248">
        <v>416</v>
      </c>
      <c r="K64" s="1389">
        <f>+J64/$J$71*100</f>
        <v>0.35475500619101907</v>
      </c>
      <c r="O64" s="1867" t="s">
        <v>875</v>
      </c>
      <c r="P64" s="1857">
        <v>30.61224</v>
      </c>
      <c r="Q64" s="1859">
        <f t="shared" si="11"/>
        <v>2.6512482696840086E-2</v>
      </c>
      <c r="R64" s="1873">
        <f t="shared" si="4"/>
        <v>173.10318102559253</v>
      </c>
      <c r="S64" s="1774"/>
      <c r="T64" s="59"/>
      <c r="U64" s="1393"/>
    </row>
    <row r="65" spans="3:21">
      <c r="C65" s="247"/>
      <c r="D65" s="248"/>
      <c r="E65" s="1389"/>
      <c r="I65" s="247" t="s">
        <v>872</v>
      </c>
      <c r="J65" s="248">
        <v>342</v>
      </c>
      <c r="K65" s="1389">
        <f>+J65/$J$71*100</f>
        <v>0.29164954835896278</v>
      </c>
      <c r="O65" s="1867"/>
      <c r="P65" s="1857"/>
      <c r="Q65" s="1859"/>
      <c r="R65" s="1873">
        <f t="shared" si="4"/>
        <v>0</v>
      </c>
      <c r="S65" s="1774"/>
      <c r="T65" s="59"/>
      <c r="U65" s="1393"/>
    </row>
    <row r="66" spans="3:21">
      <c r="C66" s="246" t="s">
        <v>880</v>
      </c>
      <c r="D66" s="1387">
        <v>67.20225099999999</v>
      </c>
      <c r="E66" s="1388">
        <v>6.7674275019989238E-2</v>
      </c>
      <c r="I66" s="247" t="s">
        <v>715</v>
      </c>
      <c r="J66" s="248">
        <v>135</v>
      </c>
      <c r="K66" s="1389">
        <f>+J66/$J$71*100</f>
        <v>0.1151248217206432</v>
      </c>
      <c r="O66" s="1868" t="s">
        <v>873</v>
      </c>
      <c r="P66" s="1855">
        <f>SUM(P67:P71)</f>
        <v>556.76049999999998</v>
      </c>
      <c r="Q66" s="1856">
        <f t="shared" ref="Q66:Q71" si="12">+P66/$P$8*100</f>
        <v>0.48219611248748973</v>
      </c>
      <c r="R66" s="1872">
        <f t="shared" si="4"/>
        <v>3148.3162819643189</v>
      </c>
      <c r="S66" s="1773"/>
      <c r="T66" s="59"/>
      <c r="U66" s="1393"/>
    </row>
    <row r="67" spans="3:21">
      <c r="C67" s="247"/>
      <c r="D67" s="248"/>
      <c r="E67" s="1389"/>
      <c r="I67" s="247" t="s">
        <v>881</v>
      </c>
      <c r="J67" s="248">
        <v>491</v>
      </c>
      <c r="K67" s="1389">
        <f>+J67/$J$71*100</f>
        <v>0.41871324048026526</v>
      </c>
      <c r="O67" s="1867" t="s">
        <v>841</v>
      </c>
      <c r="P67" s="1857">
        <v>236.63215</v>
      </c>
      <c r="Q67" s="1859">
        <f t="shared" si="12"/>
        <v>0.20494108834868235</v>
      </c>
      <c r="R67" s="1873">
        <f t="shared" si="4"/>
        <v>1338.084958759149</v>
      </c>
      <c r="S67" s="1774"/>
      <c r="T67" s="59"/>
      <c r="U67" s="1393"/>
    </row>
    <row r="68" spans="3:21" ht="15.75" thickBot="1">
      <c r="C68" s="249" t="s">
        <v>55</v>
      </c>
      <c r="D68" s="250">
        <v>99302.505982000061</v>
      </c>
      <c r="E68" s="1400">
        <v>100</v>
      </c>
      <c r="G68" s="251"/>
      <c r="H68" s="251"/>
      <c r="I68" s="247"/>
      <c r="J68" s="248"/>
      <c r="K68" s="1389"/>
      <c r="L68" s="251"/>
      <c r="O68" s="1867" t="s">
        <v>715</v>
      </c>
      <c r="P68" s="1857">
        <v>160.37643</v>
      </c>
      <c r="Q68" s="1859">
        <f t="shared" si="12"/>
        <v>0.13889794818530057</v>
      </c>
      <c r="R68" s="1873">
        <f t="shared" si="4"/>
        <v>906.88137145560961</v>
      </c>
      <c r="S68" s="1774"/>
      <c r="T68" s="59"/>
      <c r="U68" s="1393"/>
    </row>
    <row r="69" spans="3:21" ht="15.75" thickTop="1">
      <c r="C69"/>
      <c r="D69"/>
      <c r="E69"/>
      <c r="I69" s="246" t="s">
        <v>882</v>
      </c>
      <c r="J69" s="1387">
        <v>570.08790999999997</v>
      </c>
      <c r="K69" s="1388">
        <f>+J69/$J$71*100</f>
        <v>0.48615754817662282</v>
      </c>
      <c r="O69" s="1867" t="s">
        <v>868</v>
      </c>
      <c r="P69" s="1857">
        <v>62.4</v>
      </c>
      <c r="Q69" s="1859">
        <f t="shared" si="12"/>
        <v>5.4043053376127373E-2</v>
      </c>
      <c r="R69" s="1873">
        <f t="shared" si="4"/>
        <v>352.85358065914079</v>
      </c>
      <c r="S69" s="1774"/>
      <c r="T69" s="59"/>
      <c r="U69" s="1393"/>
    </row>
    <row r="70" spans="3:21">
      <c r="C70"/>
      <c r="D70"/>
      <c r="E70"/>
      <c r="I70" s="247"/>
      <c r="J70" s="248"/>
      <c r="K70" s="1389"/>
      <c r="O70" s="1867" t="s">
        <v>869</v>
      </c>
      <c r="P70" s="1857">
        <v>56.489800000000002</v>
      </c>
      <c r="Q70" s="1859">
        <f t="shared" si="12"/>
        <v>4.8924379432800646E-2</v>
      </c>
      <c r="R70" s="1873">
        <f t="shared" si="4"/>
        <v>319.43314424228737</v>
      </c>
      <c r="S70" s="1774"/>
      <c r="T70" s="129"/>
      <c r="U70" s="129"/>
    </row>
    <row r="71" spans="3:21" ht="15.75" thickBot="1">
      <c r="C71"/>
      <c r="D71"/>
      <c r="E71"/>
      <c r="I71" s="249" t="s">
        <v>883</v>
      </c>
      <c r="J71" s="250">
        <f>+J69+J63+J56+J48+J34+J41+J28+J9</f>
        <v>117264.02523999996</v>
      </c>
      <c r="K71" s="1401">
        <f>+K69+K63+K56+K48+K34+K41+K28+K9</f>
        <v>100</v>
      </c>
      <c r="L71" s="129"/>
      <c r="O71" s="1867" t="s">
        <v>872</v>
      </c>
      <c r="P71" s="1857">
        <v>40.862119999999997</v>
      </c>
      <c r="Q71" s="1859">
        <f t="shared" si="12"/>
        <v>3.5389643144578875E-2</v>
      </c>
      <c r="R71" s="1873">
        <f t="shared" si="4"/>
        <v>231.06322684813284</v>
      </c>
      <c r="S71" s="1774"/>
      <c r="T71" s="1"/>
      <c r="U71" s="1"/>
    </row>
    <row r="72" spans="3:21" ht="16.5" thickTop="1" thickBot="1">
      <c r="O72" s="1869"/>
      <c r="P72" s="1870"/>
      <c r="Q72" s="1875"/>
      <c r="R72" s="1876">
        <f t="shared" si="4"/>
        <v>0</v>
      </c>
      <c r="S72" s="1853"/>
    </row>
    <row r="73" spans="3:21">
      <c r="Q73" s="129"/>
      <c r="R73" s="129"/>
      <c r="S73" s="1854"/>
    </row>
    <row r="74" spans="3:21">
      <c r="I74"/>
      <c r="J74"/>
      <c r="K74"/>
      <c r="O74" s="1611"/>
      <c r="P74" s="1"/>
      <c r="Q74" s="1"/>
      <c r="R74" s="1"/>
      <c r="S74" s="1393"/>
    </row>
    <row r="75" spans="3:21">
      <c r="K75" s="129"/>
    </row>
    <row r="76" spans="3:21">
      <c r="C76" s="241" t="s">
        <v>791</v>
      </c>
      <c r="I76" s="241" t="s">
        <v>791</v>
      </c>
    </row>
    <row r="77" spans="3:21">
      <c r="C77" s="241" t="s">
        <v>792</v>
      </c>
      <c r="I77" s="241" t="s">
        <v>498</v>
      </c>
    </row>
    <row r="78" spans="3:21" ht="15.75" thickBot="1">
      <c r="C78" s="242"/>
      <c r="D78" s="243"/>
      <c r="E78" s="244"/>
      <c r="I78" s="242"/>
      <c r="J78" s="243"/>
      <c r="K78" s="244"/>
    </row>
    <row r="79" spans="3:21" ht="16.5" thickTop="1" thickBot="1">
      <c r="C79" s="1381" t="s">
        <v>794</v>
      </c>
      <c r="D79" s="1382" t="s">
        <v>368</v>
      </c>
      <c r="E79" s="1383" t="s">
        <v>369</v>
      </c>
      <c r="I79" s="1381" t="s">
        <v>794</v>
      </c>
      <c r="J79" s="1382" t="s">
        <v>368</v>
      </c>
      <c r="K79" s="1383" t="s">
        <v>369</v>
      </c>
    </row>
    <row r="80" spans="3:21" ht="15.75" thickTop="1">
      <c r="C80" s="247"/>
      <c r="D80" s="248"/>
      <c r="E80" s="1402"/>
      <c r="I80" s="1384"/>
      <c r="J80" s="1385"/>
      <c r="K80" s="1403"/>
    </row>
    <row r="81" spans="3:11">
      <c r="C81" s="246" t="s">
        <v>796</v>
      </c>
      <c r="D81" s="1387">
        <f>SUM(D82:D99)</f>
        <v>65780.818489000041</v>
      </c>
      <c r="E81" s="1388">
        <f t="shared" ref="E81:E99" si="13">+D81/$D$81*100</f>
        <v>100</v>
      </c>
      <c r="I81" s="246" t="s">
        <v>796</v>
      </c>
      <c r="J81" s="1387">
        <f>SUM(J82:J101)</f>
        <v>84315.937329999957</v>
      </c>
      <c r="K81" s="1388">
        <f>+J81/$J$81*100</f>
        <v>100</v>
      </c>
    </row>
    <row r="82" spans="3:11">
      <c r="C82" s="247" t="s">
        <v>709</v>
      </c>
      <c r="D82" s="248">
        <v>29411.041913000045</v>
      </c>
      <c r="E82" s="1402">
        <f t="shared" si="13"/>
        <v>44.710665796775089</v>
      </c>
      <c r="I82" s="247" t="s">
        <v>709</v>
      </c>
      <c r="J82" s="248">
        <v>34698.041399999966</v>
      </c>
      <c r="K82" s="1404">
        <f t="shared" ref="K82:K101" si="14">+J82/$J$81*100</f>
        <v>41.152411393111869</v>
      </c>
    </row>
    <row r="83" spans="3:11">
      <c r="C83" s="247" t="s">
        <v>805</v>
      </c>
      <c r="D83" s="248">
        <v>10157.792446999996</v>
      </c>
      <c r="E83" s="1402">
        <f t="shared" si="13"/>
        <v>15.441876036703004</v>
      </c>
      <c r="I83" s="247" t="s">
        <v>798</v>
      </c>
      <c r="J83" s="248">
        <v>21634.895929999999</v>
      </c>
      <c r="K83" s="1404">
        <f t="shared" si="14"/>
        <v>25.659319714758379</v>
      </c>
    </row>
    <row r="84" spans="3:11">
      <c r="C84" s="247" t="s">
        <v>797</v>
      </c>
      <c r="D84" s="248">
        <v>9514.6170919999986</v>
      </c>
      <c r="E84" s="1402">
        <f t="shared" si="13"/>
        <v>14.464120864642396</v>
      </c>
      <c r="I84" s="247" t="s">
        <v>799</v>
      </c>
      <c r="J84" s="248">
        <v>5166</v>
      </c>
      <c r="K84" s="1404">
        <f t="shared" si="14"/>
        <v>6.1269555478948776</v>
      </c>
    </row>
    <row r="85" spans="3:11">
      <c r="C85" s="247" t="s">
        <v>798</v>
      </c>
      <c r="D85" s="248">
        <v>5464.4764319999995</v>
      </c>
      <c r="E85" s="1402">
        <f t="shared" si="13"/>
        <v>8.3070970497482897</v>
      </c>
      <c r="I85" s="247" t="s">
        <v>797</v>
      </c>
      <c r="J85" s="248">
        <v>4829</v>
      </c>
      <c r="K85" s="1404">
        <f t="shared" si="14"/>
        <v>5.7272683586497024</v>
      </c>
    </row>
    <row r="86" spans="3:11">
      <c r="C86" s="247" t="s">
        <v>800</v>
      </c>
      <c r="D86" s="248">
        <v>2471.8032770000004</v>
      </c>
      <c r="E86" s="1402">
        <f t="shared" si="13"/>
        <v>3.7576353316633462</v>
      </c>
      <c r="I86" s="247" t="s">
        <v>801</v>
      </c>
      <c r="J86" s="248">
        <v>4635</v>
      </c>
      <c r="K86" s="1404">
        <f t="shared" si="14"/>
        <v>5.4971813713690967</v>
      </c>
    </row>
    <row r="87" spans="3:11">
      <c r="C87" s="247" t="s">
        <v>802</v>
      </c>
      <c r="D87" s="248">
        <v>1685.981712</v>
      </c>
      <c r="E87" s="1402">
        <f t="shared" si="13"/>
        <v>2.5630293917396787</v>
      </c>
      <c r="I87" s="247" t="s">
        <v>803</v>
      </c>
      <c r="J87" s="248">
        <v>4409</v>
      </c>
      <c r="K87" s="1404">
        <f t="shared" si="14"/>
        <v>5.2291418913411754</v>
      </c>
    </row>
    <row r="88" spans="3:11">
      <c r="C88" s="247" t="s">
        <v>837</v>
      </c>
      <c r="D88" s="248">
        <v>1306.8444010000001</v>
      </c>
      <c r="E88" s="1402">
        <f t="shared" si="13"/>
        <v>1.9866648530962447</v>
      </c>
      <c r="I88" s="247" t="s">
        <v>802</v>
      </c>
      <c r="J88" s="248">
        <v>3001</v>
      </c>
      <c r="K88" s="1404">
        <f t="shared" si="14"/>
        <v>3.5592322104592582</v>
      </c>
    </row>
    <row r="89" spans="3:11">
      <c r="C89" s="247" t="s">
        <v>801</v>
      </c>
      <c r="D89" s="248">
        <v>1214.540039</v>
      </c>
      <c r="E89" s="1402">
        <f t="shared" si="13"/>
        <v>1.8463437623584706</v>
      </c>
      <c r="I89" s="247" t="s">
        <v>823</v>
      </c>
      <c r="J89" s="248">
        <v>2289</v>
      </c>
      <c r="K89" s="1404">
        <f t="shared" si="14"/>
        <v>2.71478924683147</v>
      </c>
    </row>
    <row r="90" spans="3:11" ht="24">
      <c r="C90" s="247" t="s">
        <v>811</v>
      </c>
      <c r="D90" s="248">
        <v>1118.7420910000001</v>
      </c>
      <c r="E90" s="1402">
        <f t="shared" si="13"/>
        <v>1.7007117221976762</v>
      </c>
      <c r="I90" s="247" t="s">
        <v>812</v>
      </c>
      <c r="J90" s="248">
        <v>1131</v>
      </c>
      <c r="K90" s="1404">
        <f t="shared" si="14"/>
        <v>1.3413834155379607</v>
      </c>
    </row>
    <row r="91" spans="3:11">
      <c r="C91" s="247" t="s">
        <v>807</v>
      </c>
      <c r="D91" s="248">
        <v>967.48773800000004</v>
      </c>
      <c r="E91" s="1402">
        <f t="shared" si="13"/>
        <v>1.4707748553809568</v>
      </c>
      <c r="I91" s="247" t="s">
        <v>884</v>
      </c>
      <c r="J91" s="248">
        <v>789</v>
      </c>
      <c r="K91" s="1404">
        <f t="shared" si="14"/>
        <v>0.93576614930101776</v>
      </c>
    </row>
    <row r="92" spans="3:11">
      <c r="C92" s="247" t="s">
        <v>814</v>
      </c>
      <c r="D92" s="248">
        <v>819.64702899999997</v>
      </c>
      <c r="E92" s="1402">
        <f t="shared" si="13"/>
        <v>1.2460274101591826</v>
      </c>
      <c r="I92" s="247" t="s">
        <v>833</v>
      </c>
      <c r="J92" s="248">
        <v>344</v>
      </c>
      <c r="K92" s="1404">
        <f t="shared" si="14"/>
        <v>0.40798929703365039</v>
      </c>
    </row>
    <row r="93" spans="3:11">
      <c r="C93" s="247" t="s">
        <v>839</v>
      </c>
      <c r="D93" s="248">
        <v>812.59147400000006</v>
      </c>
      <c r="E93" s="1402">
        <f t="shared" si="13"/>
        <v>1.2353015554768185</v>
      </c>
      <c r="I93" s="247" t="s">
        <v>872</v>
      </c>
      <c r="J93" s="248">
        <v>342</v>
      </c>
      <c r="K93" s="1404">
        <f t="shared" si="14"/>
        <v>0.40561726623694305</v>
      </c>
    </row>
    <row r="94" spans="3:11">
      <c r="C94" s="247" t="s">
        <v>817</v>
      </c>
      <c r="D94" s="248">
        <v>284.367187</v>
      </c>
      <c r="E94" s="1402">
        <f t="shared" si="13"/>
        <v>0.43229499652326808</v>
      </c>
      <c r="I94" s="247" t="s">
        <v>885</v>
      </c>
      <c r="J94" s="248">
        <v>252</v>
      </c>
      <c r="K94" s="1404">
        <f t="shared" si="14"/>
        <v>0.29887588038511592</v>
      </c>
    </row>
    <row r="95" spans="3:11">
      <c r="C95" s="247" t="s">
        <v>838</v>
      </c>
      <c r="D95" s="248">
        <v>240.88082400000002</v>
      </c>
      <c r="E95" s="1402">
        <f t="shared" si="13"/>
        <v>0.36618702766716171</v>
      </c>
      <c r="I95" s="247" t="s">
        <v>821</v>
      </c>
      <c r="J95" s="248">
        <v>192</v>
      </c>
      <c r="K95" s="1404">
        <f t="shared" si="14"/>
        <v>0.22771495648389786</v>
      </c>
    </row>
    <row r="96" spans="3:11">
      <c r="C96" s="247" t="s">
        <v>820</v>
      </c>
      <c r="D96" s="248">
        <v>169.15391700000001</v>
      </c>
      <c r="E96" s="1402">
        <f t="shared" si="13"/>
        <v>0.25714778393687232</v>
      </c>
      <c r="I96" s="247" t="s">
        <v>59</v>
      </c>
      <c r="J96" s="248">
        <v>176</v>
      </c>
      <c r="K96" s="1404">
        <f t="shared" si="14"/>
        <v>0.20873871011023973</v>
      </c>
    </row>
    <row r="97" spans="3:11">
      <c r="C97" s="247" t="s">
        <v>799</v>
      </c>
      <c r="D97" s="248">
        <v>69.149977000000007</v>
      </c>
      <c r="E97" s="1402">
        <f t="shared" si="13"/>
        <v>0.10512179475474809</v>
      </c>
      <c r="I97" s="247" t="s">
        <v>822</v>
      </c>
      <c r="J97" s="248">
        <v>151</v>
      </c>
      <c r="K97" s="1404">
        <f t="shared" si="14"/>
        <v>0.17908832515139886</v>
      </c>
    </row>
    <row r="98" spans="3:11">
      <c r="C98" s="247" t="s">
        <v>872</v>
      </c>
      <c r="D98" s="248">
        <v>53.253425</v>
      </c>
      <c r="E98" s="1402">
        <f t="shared" si="13"/>
        <v>8.0955856468865786E-2</v>
      </c>
      <c r="I98" s="247" t="s">
        <v>824</v>
      </c>
      <c r="J98" s="248">
        <v>144</v>
      </c>
      <c r="K98" s="1404">
        <f t="shared" si="14"/>
        <v>0.1707862173629234</v>
      </c>
    </row>
    <row r="99" spans="3:11" ht="15.75" thickBot="1">
      <c r="C99" s="1405" t="s">
        <v>822</v>
      </c>
      <c r="D99" s="1406">
        <v>18.447514000000002</v>
      </c>
      <c r="E99" s="1407">
        <f t="shared" si="13"/>
        <v>2.8043910707928971E-2</v>
      </c>
      <c r="I99" s="247" t="s">
        <v>826</v>
      </c>
      <c r="J99" s="248">
        <v>47</v>
      </c>
      <c r="K99" s="1404">
        <f t="shared" si="14"/>
        <v>5.5742723722620825E-2</v>
      </c>
    </row>
    <row r="100" spans="3:11" ht="15.75" thickTop="1">
      <c r="I100" s="247" t="s">
        <v>828</v>
      </c>
      <c r="J100" s="248">
        <v>43</v>
      </c>
      <c r="K100" s="1404">
        <f t="shared" si="14"/>
        <v>5.0998662129206299E-2</v>
      </c>
    </row>
    <row r="101" spans="3:11" ht="15.75" thickBot="1">
      <c r="I101" s="1408" t="s">
        <v>830</v>
      </c>
      <c r="J101" s="1409">
        <v>43</v>
      </c>
      <c r="K101" s="1410">
        <f t="shared" si="14"/>
        <v>5.0998662129206299E-2</v>
      </c>
    </row>
    <row r="102" spans="3:11" ht="15.75" thickTop="1">
      <c r="I102"/>
      <c r="J102"/>
      <c r="K102"/>
    </row>
    <row r="132" spans="15:19">
      <c r="O132" s="1611"/>
      <c r="P132"/>
      <c r="Q132"/>
      <c r="R132"/>
      <c r="S132" s="59"/>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C2:U41"/>
  <sheetViews>
    <sheetView showGridLines="0" topLeftCell="G16" zoomScaleNormal="100" workbookViewId="0">
      <selection activeCell="G28" sqref="G28:T28"/>
    </sheetView>
  </sheetViews>
  <sheetFormatPr baseColWidth="10" defaultColWidth="11.42578125" defaultRowHeight="15"/>
  <cols>
    <col min="1" max="2" width="0" style="779" hidden="1" customWidth="1"/>
    <col min="3" max="4" width="18.140625" style="804" hidden="1" customWidth="1"/>
    <col min="5" max="6" width="18.140625" style="805" hidden="1" customWidth="1"/>
    <col min="7" max="7" width="24" style="806" customWidth="1"/>
    <col min="8" max="8" width="6.85546875" style="806" customWidth="1"/>
    <col min="9" max="10" width="16" style="807" hidden="1" customWidth="1"/>
    <col min="11" max="11" width="17.85546875" style="779" hidden="1" customWidth="1"/>
    <col min="12" max="12" width="0" style="779" hidden="1" customWidth="1"/>
    <col min="13" max="13" width="25" style="779" hidden="1" customWidth="1"/>
    <col min="14" max="14" width="5.7109375" style="779" hidden="1" customWidth="1"/>
    <col min="15" max="15" width="7.85546875" style="779" hidden="1" customWidth="1"/>
    <col min="16" max="16" width="19" style="779" hidden="1" customWidth="1"/>
    <col min="17" max="17" width="23.7109375" style="779" hidden="1" customWidth="1"/>
    <col min="18" max="19" width="0" style="779" hidden="1" customWidth="1"/>
    <col min="20" max="20" width="19.5703125" style="779" customWidth="1"/>
    <col min="21" max="21" width="6" style="779" hidden="1" customWidth="1"/>
    <col min="22" max="22" width="7.42578125" style="779" customWidth="1"/>
    <col min="23" max="16384" width="11.42578125" style="779"/>
  </cols>
  <sheetData>
    <row r="2" spans="3:21" s="891" customFormat="1" ht="20.25">
      <c r="C2" s="885" t="s">
        <v>131</v>
      </c>
      <c r="D2" s="886"/>
      <c r="E2" s="887"/>
      <c r="F2" s="887"/>
      <c r="G2" s="888" t="s">
        <v>497</v>
      </c>
      <c r="H2" s="889"/>
      <c r="I2" s="890"/>
      <c r="J2" s="890"/>
    </row>
    <row r="3" spans="3:21" ht="17.25">
      <c r="C3" s="800"/>
      <c r="D3" s="801"/>
      <c r="G3" s="802"/>
      <c r="H3" s="802"/>
    </row>
    <row r="4" spans="3:21" hidden="1">
      <c r="C4" s="801"/>
      <c r="D4" s="801"/>
    </row>
    <row r="5" spans="3:21" ht="17.25" hidden="1">
      <c r="C5" s="801"/>
      <c r="D5" s="801"/>
      <c r="G5" s="802"/>
      <c r="H5" s="802"/>
    </row>
    <row r="6" spans="3:21">
      <c r="C6" s="798" t="s">
        <v>366</v>
      </c>
      <c r="D6" s="799"/>
    </row>
    <row r="7" spans="3:21" hidden="1">
      <c r="C7" s="801"/>
      <c r="D7" s="801"/>
    </row>
    <row r="8" spans="3:21" ht="15.75">
      <c r="C8" s="808" t="s">
        <v>378</v>
      </c>
      <c r="D8" s="808"/>
      <c r="G8" s="780" t="s">
        <v>378</v>
      </c>
      <c r="H8" s="780"/>
      <c r="M8" s="252" t="s">
        <v>886</v>
      </c>
      <c r="N8" s="252"/>
      <c r="O8" s="1357"/>
      <c r="P8" s="1357"/>
      <c r="Q8"/>
    </row>
    <row r="9" spans="3:21" ht="16.5" thickBot="1">
      <c r="C9" s="808" t="s">
        <v>379</v>
      </c>
      <c r="D9" s="808"/>
      <c r="G9" s="892" t="s">
        <v>1039</v>
      </c>
      <c r="H9" s="780"/>
      <c r="M9" s="252" t="s">
        <v>793</v>
      </c>
      <c r="N9" s="252"/>
      <c r="O9" s="1357"/>
      <c r="P9" s="1357"/>
      <c r="Q9"/>
    </row>
    <row r="10" spans="3:21" ht="15.75" hidden="1" thickBot="1">
      <c r="C10" s="809"/>
      <c r="D10" s="809"/>
      <c r="G10" s="779"/>
      <c r="H10" s="779"/>
      <c r="M10"/>
      <c r="N10"/>
      <c r="O10" s="3979" t="s">
        <v>887</v>
      </c>
      <c r="P10" s="3980"/>
      <c r="Q10" s="3981"/>
    </row>
    <row r="11" spans="3:21" ht="54" customHeight="1" thickBot="1">
      <c r="C11" s="810" t="s">
        <v>380</v>
      </c>
      <c r="D11" s="810"/>
      <c r="E11" s="811" t="s">
        <v>381</v>
      </c>
      <c r="F11" s="1776" t="s">
        <v>382</v>
      </c>
      <c r="G11" s="811" t="s">
        <v>380</v>
      </c>
      <c r="H11" s="1820"/>
      <c r="I11" s="1821" t="s">
        <v>499</v>
      </c>
      <c r="J11" s="803" t="s">
        <v>500</v>
      </c>
      <c r="K11" s="1821" t="s">
        <v>501</v>
      </c>
      <c r="L11" s="1822"/>
      <c r="M11" s="1823" t="s">
        <v>380</v>
      </c>
      <c r="N11" s="1823"/>
      <c r="O11" s="1411" t="s">
        <v>190</v>
      </c>
      <c r="P11" s="1411" t="s">
        <v>888</v>
      </c>
      <c r="Q11" s="1824" t="s">
        <v>889</v>
      </c>
      <c r="R11" s="1822"/>
      <c r="S11" s="1822"/>
      <c r="T11" s="1825" t="s">
        <v>1032</v>
      </c>
      <c r="U11" s="1775">
        <v>652912</v>
      </c>
    </row>
    <row r="12" spans="3:21">
      <c r="C12" s="812" t="s">
        <v>377</v>
      </c>
      <c r="D12" s="813">
        <f t="shared" ref="D12:D34" si="0">E12/$E$36</f>
        <v>0.72116141441123738</v>
      </c>
      <c r="E12" s="814">
        <v>21307.819242000034</v>
      </c>
      <c r="F12" s="1777">
        <f t="shared" ref="F12:F34" si="1">+E12/$E$36*100</f>
        <v>72.116141441123744</v>
      </c>
      <c r="G12" s="1808" t="s">
        <v>502</v>
      </c>
      <c r="H12" s="1809">
        <f>'perfil-mas visitado-2016'!W15</f>
        <v>0.860930066613669</v>
      </c>
      <c r="I12" s="1810">
        <v>30566</v>
      </c>
      <c r="J12" s="1811">
        <v>486</v>
      </c>
      <c r="K12" s="1812">
        <v>0</v>
      </c>
      <c r="L12" s="1813"/>
      <c r="M12" s="1814" t="s">
        <v>502</v>
      </c>
      <c r="N12" s="1815">
        <f>O12/$O$36</f>
        <v>0.860930066613669</v>
      </c>
      <c r="O12" s="1816">
        <v>30000</v>
      </c>
      <c r="P12" s="1817">
        <v>486</v>
      </c>
      <c r="Q12" s="1818">
        <v>0</v>
      </c>
      <c r="R12" s="1813"/>
      <c r="S12" s="1813"/>
      <c r="T12" s="1819">
        <f>$U$11*H12</f>
        <v>562111.57165286387</v>
      </c>
    </row>
    <row r="13" spans="3:21">
      <c r="C13" s="812" t="s">
        <v>371</v>
      </c>
      <c r="D13" s="813">
        <f t="shared" si="0"/>
        <v>0.11516529867882265</v>
      </c>
      <c r="E13" s="814">
        <v>3402.7352519999999</v>
      </c>
      <c r="F13" s="1777">
        <f t="shared" si="1"/>
        <v>11.516529867882266</v>
      </c>
      <c r="G13" s="1795" t="s">
        <v>371</v>
      </c>
      <c r="H13" s="1781">
        <f t="shared" ref="H13:H35" si="2">I13/$I$36</f>
        <v>3.9229471316085486E-2</v>
      </c>
      <c r="I13" s="1783">
        <v>1395</v>
      </c>
      <c r="J13" s="1782">
        <v>1986</v>
      </c>
      <c r="K13" s="1784">
        <v>1.42</v>
      </c>
      <c r="L13" s="1780"/>
      <c r="M13" s="1786" t="s">
        <v>371</v>
      </c>
      <c r="N13" s="1787">
        <f t="shared" ref="N13:N36" si="3">O13/$O$36</f>
        <v>5.7400724326694713E-2</v>
      </c>
      <c r="O13" s="1785">
        <v>2000.1876999999999</v>
      </c>
      <c r="P13" s="1788">
        <v>4486.1441400000003</v>
      </c>
      <c r="Q13" s="1789">
        <v>2.3928823587263661</v>
      </c>
      <c r="R13" s="1780"/>
      <c r="S13" s="1780"/>
      <c r="T13" s="1796">
        <f t="shared" ref="T13:T35" si="4">$U$11*H13</f>
        <v>25613.392575928006</v>
      </c>
    </row>
    <row r="14" spans="3:21">
      <c r="C14" s="812" t="s">
        <v>62</v>
      </c>
      <c r="D14" s="813">
        <f t="shared" si="0"/>
        <v>4.0343898861785139E-2</v>
      </c>
      <c r="E14" s="814">
        <v>1192.0223229999997</v>
      </c>
      <c r="F14" s="1777">
        <f t="shared" si="1"/>
        <v>4.0343898861785137</v>
      </c>
      <c r="G14" s="1795" t="s">
        <v>465</v>
      </c>
      <c r="H14" s="1781">
        <f t="shared" si="2"/>
        <v>3.2733408323959504E-2</v>
      </c>
      <c r="I14" s="1782">
        <v>1164</v>
      </c>
      <c r="J14" s="1783">
        <v>631</v>
      </c>
      <c r="K14" s="1784">
        <v>0</v>
      </c>
      <c r="L14" s="1780"/>
      <c r="M14" s="1786" t="s">
        <v>370</v>
      </c>
      <c r="N14" s="1787">
        <f t="shared" si="3"/>
        <v>2.3439544531789782E-2</v>
      </c>
      <c r="O14" s="1785">
        <v>816.77521000000002</v>
      </c>
      <c r="P14" s="1788">
        <v>4729.6940599999998</v>
      </c>
      <c r="Q14" s="1789">
        <v>5.119262051570292</v>
      </c>
      <c r="R14" s="1780"/>
      <c r="S14" s="1780"/>
      <c r="T14" s="1796">
        <f t="shared" si="4"/>
        <v>21372.035095613046</v>
      </c>
    </row>
    <row r="15" spans="3:21">
      <c r="C15" s="812" t="s">
        <v>370</v>
      </c>
      <c r="D15" s="813">
        <f t="shared" si="0"/>
        <v>2.3310001795609658E-2</v>
      </c>
      <c r="E15" s="814">
        <v>688.72972800000002</v>
      </c>
      <c r="F15" s="1777">
        <f t="shared" si="1"/>
        <v>2.3310001795609656</v>
      </c>
      <c r="G15" s="1795" t="s">
        <v>370</v>
      </c>
      <c r="H15" s="1781">
        <f t="shared" si="2"/>
        <v>7.9021372328458937E-3</v>
      </c>
      <c r="I15" s="1783">
        <v>281</v>
      </c>
      <c r="J15" s="1783">
        <v>0</v>
      </c>
      <c r="K15" s="1784">
        <v>0</v>
      </c>
      <c r="L15" s="1780"/>
      <c r="M15" s="1786" t="s">
        <v>60</v>
      </c>
      <c r="N15" s="1787">
        <f t="shared" si="3"/>
        <v>5.2531831907035318E-3</v>
      </c>
      <c r="O15" s="1785">
        <v>183.05260999999999</v>
      </c>
      <c r="P15" s="1788">
        <v>1199.0211400000001</v>
      </c>
      <c r="Q15" s="1789">
        <v>4.4590058000605808</v>
      </c>
      <c r="R15" s="1780"/>
      <c r="S15" s="1780"/>
      <c r="T15" s="1796">
        <f t="shared" si="4"/>
        <v>5159.4002249718778</v>
      </c>
    </row>
    <row r="16" spans="3:21">
      <c r="C16" s="812" t="s">
        <v>63</v>
      </c>
      <c r="D16" s="813">
        <f t="shared" si="0"/>
        <v>1.7775655034713851E-2</v>
      </c>
      <c r="E16" s="814">
        <v>525.20897100000002</v>
      </c>
      <c r="F16" s="1777">
        <f t="shared" si="1"/>
        <v>1.7775655034713851</v>
      </c>
      <c r="G16" s="1795" t="s">
        <v>62</v>
      </c>
      <c r="H16" s="1781">
        <f t="shared" si="2"/>
        <v>7.1428571428571426E-3</v>
      </c>
      <c r="I16" s="1783">
        <v>254</v>
      </c>
      <c r="J16" s="1783">
        <v>523</v>
      </c>
      <c r="K16" s="1784">
        <v>2.06</v>
      </c>
      <c r="L16" s="1780"/>
      <c r="M16" s="1786" t="s">
        <v>890</v>
      </c>
      <c r="N16" s="1787">
        <f t="shared" si="3"/>
        <v>7.1239124812828179E-3</v>
      </c>
      <c r="O16" s="1785">
        <v>248.24011000000002</v>
      </c>
      <c r="P16" s="1788">
        <v>1548.87698</v>
      </c>
      <c r="Q16" s="1789">
        <v>7.64877392490523</v>
      </c>
      <c r="R16" s="1780"/>
      <c r="S16" s="1780"/>
      <c r="T16" s="1796">
        <f t="shared" si="4"/>
        <v>4663.6571428571424</v>
      </c>
    </row>
    <row r="17" spans="3:20">
      <c r="C17" s="812" t="s">
        <v>57</v>
      </c>
      <c r="D17" s="813">
        <f t="shared" si="0"/>
        <v>1.1695172166978282E-2</v>
      </c>
      <c r="E17" s="814">
        <v>345.5517857142857</v>
      </c>
      <c r="F17" s="1777">
        <f t="shared" si="1"/>
        <v>1.1695172166978283</v>
      </c>
      <c r="G17" s="1795" t="s">
        <v>135</v>
      </c>
      <c r="H17" s="1781">
        <f t="shared" si="2"/>
        <v>6.5241844769403827E-3</v>
      </c>
      <c r="I17" s="1783">
        <v>232</v>
      </c>
      <c r="J17" s="1783">
        <v>142</v>
      </c>
      <c r="K17" s="1784">
        <v>0</v>
      </c>
      <c r="L17" s="1780"/>
      <c r="M17" s="1786" t="s">
        <v>58</v>
      </c>
      <c r="N17" s="1787">
        <f t="shared" si="3"/>
        <v>7.0526682224570257E-3</v>
      </c>
      <c r="O17" s="1785">
        <v>245.75753</v>
      </c>
      <c r="P17" s="1788">
        <v>4071.4134199999999</v>
      </c>
      <c r="Q17" s="1789">
        <v>16.513291640154129</v>
      </c>
      <c r="R17" s="1780"/>
      <c r="S17" s="1780"/>
      <c r="T17" s="1796">
        <f t="shared" si="4"/>
        <v>4259.7183352080992</v>
      </c>
    </row>
    <row r="18" spans="3:20">
      <c r="C18" s="812" t="s">
        <v>372</v>
      </c>
      <c r="D18" s="813">
        <f t="shared" si="0"/>
        <v>1.4934877095337978E-2</v>
      </c>
      <c r="E18" s="814">
        <v>441.27383299999997</v>
      </c>
      <c r="F18" s="1777">
        <f t="shared" si="1"/>
        <v>1.4934877095337977</v>
      </c>
      <c r="G18" s="1795" t="s">
        <v>61</v>
      </c>
      <c r="H18" s="1781">
        <f t="shared" si="2"/>
        <v>6.2710911136107991E-3</v>
      </c>
      <c r="I18" s="1783">
        <v>223</v>
      </c>
      <c r="J18" s="1783">
        <v>986</v>
      </c>
      <c r="K18" s="1784">
        <v>4.41</v>
      </c>
      <c r="L18" s="1780"/>
      <c r="M18" s="1786" t="s">
        <v>891</v>
      </c>
      <c r="N18" s="1787">
        <f t="shared" si="3"/>
        <v>5.3344262913229759E-3</v>
      </c>
      <c r="O18" s="1785">
        <v>185.88361</v>
      </c>
      <c r="P18" s="1788">
        <v>485.88486999999998</v>
      </c>
      <c r="Q18" s="1789">
        <v>2.6139199147251335</v>
      </c>
      <c r="R18" s="1780"/>
      <c r="S18" s="1780"/>
      <c r="T18" s="1796">
        <f t="shared" si="4"/>
        <v>4094.4706411698539</v>
      </c>
    </row>
    <row r="19" spans="3:20">
      <c r="C19" s="812" t="s">
        <v>373</v>
      </c>
      <c r="D19" s="813">
        <f t="shared" si="0"/>
        <v>3.0669911499105044E-3</v>
      </c>
      <c r="E19" s="814">
        <v>90.618954000000002</v>
      </c>
      <c r="F19" s="1777">
        <f t="shared" si="1"/>
        <v>0.30669911499105046</v>
      </c>
      <c r="G19" s="1795" t="s">
        <v>63</v>
      </c>
      <c r="H19" s="1781">
        <f t="shared" si="2"/>
        <v>6.0461192350956131E-3</v>
      </c>
      <c r="I19" s="1783">
        <v>215</v>
      </c>
      <c r="J19" s="1783">
        <v>233</v>
      </c>
      <c r="K19" s="1784">
        <v>1.08</v>
      </c>
      <c r="L19" s="1780"/>
      <c r="M19" s="1786" t="s">
        <v>892</v>
      </c>
      <c r="N19" s="1787">
        <f t="shared" si="3"/>
        <v>4.5938924159215173E-3</v>
      </c>
      <c r="O19" s="1785">
        <v>160.07893999999999</v>
      </c>
      <c r="P19" s="1788">
        <v>602.01189999999997</v>
      </c>
      <c r="Q19" s="1789">
        <v>3.815645863187592</v>
      </c>
      <c r="R19" s="1780"/>
      <c r="S19" s="1780"/>
      <c r="T19" s="1796">
        <f t="shared" si="4"/>
        <v>3947.583802024747</v>
      </c>
    </row>
    <row r="20" spans="3:20">
      <c r="C20" s="812" t="s">
        <v>60</v>
      </c>
      <c r="D20" s="813">
        <f t="shared" si="0"/>
        <v>9.5893761484405361E-3</v>
      </c>
      <c r="E20" s="814">
        <v>283.33281499999998</v>
      </c>
      <c r="F20" s="1777">
        <f t="shared" si="1"/>
        <v>0.9589376148440536</v>
      </c>
      <c r="G20" s="1795" t="s">
        <v>58</v>
      </c>
      <c r="H20" s="1781">
        <f t="shared" si="2"/>
        <v>5.2024746906636672E-3</v>
      </c>
      <c r="I20" s="1783">
        <v>185</v>
      </c>
      <c r="J20" s="1783">
        <v>196</v>
      </c>
      <c r="K20" s="1784">
        <v>1.06</v>
      </c>
      <c r="L20" s="1780"/>
      <c r="M20" s="1786" t="s">
        <v>66</v>
      </c>
      <c r="N20" s="1787">
        <f t="shared" si="3"/>
        <v>3.7914975584902896E-3</v>
      </c>
      <c r="O20" s="1785">
        <v>132.11866000000001</v>
      </c>
      <c r="P20" s="1788">
        <v>179.51549</v>
      </c>
      <c r="Q20" s="1789">
        <v>1.3587444044618677</v>
      </c>
      <c r="R20" s="1780"/>
      <c r="S20" s="1780"/>
      <c r="T20" s="1796">
        <f t="shared" si="4"/>
        <v>3396.7581552305965</v>
      </c>
    </row>
    <row r="21" spans="3:20">
      <c r="C21" s="812" t="s">
        <v>59</v>
      </c>
      <c r="D21" s="813">
        <f t="shared" si="0"/>
        <v>7.5273584551540824E-3</v>
      </c>
      <c r="E21" s="814">
        <v>222.407342</v>
      </c>
      <c r="F21" s="1777">
        <f t="shared" si="1"/>
        <v>0.75273584551540829</v>
      </c>
      <c r="G21" s="1795" t="s">
        <v>373</v>
      </c>
      <c r="H21" s="1781">
        <f t="shared" si="2"/>
        <v>4.7525309336332961E-3</v>
      </c>
      <c r="I21" s="1783">
        <v>169</v>
      </c>
      <c r="J21" s="1783">
        <v>1024</v>
      </c>
      <c r="K21" s="1784">
        <v>6.07</v>
      </c>
      <c r="L21" s="1780"/>
      <c r="M21" s="1786" t="s">
        <v>57</v>
      </c>
      <c r="N21" s="1787">
        <f t="shared" si="3"/>
        <v>1.7531159123190584E-3</v>
      </c>
      <c r="O21" s="1785">
        <v>61.08914</v>
      </c>
      <c r="P21" s="1788">
        <v>433.94388000000004</v>
      </c>
      <c r="Q21" s="1789">
        <v>6</v>
      </c>
      <c r="R21" s="1780"/>
      <c r="S21" s="1780"/>
      <c r="T21" s="1796">
        <f t="shared" si="4"/>
        <v>3102.9844769403826</v>
      </c>
    </row>
    <row r="22" spans="3:20">
      <c r="C22" s="812" t="s">
        <v>135</v>
      </c>
      <c r="D22" s="813">
        <f t="shared" si="0"/>
        <v>5.8839558043407448E-3</v>
      </c>
      <c r="E22" s="814">
        <v>173.850492</v>
      </c>
      <c r="F22" s="1777">
        <f t="shared" si="1"/>
        <v>0.58839558043407447</v>
      </c>
      <c r="G22" s="1795" t="s">
        <v>66</v>
      </c>
      <c r="H22" s="1781">
        <f t="shared" si="2"/>
        <v>3.6839145106861643E-3</v>
      </c>
      <c r="I22" s="1783">
        <v>131</v>
      </c>
      <c r="J22" s="1783">
        <v>275</v>
      </c>
      <c r="K22" s="1784">
        <v>2.1</v>
      </c>
      <c r="L22" s="1780"/>
      <c r="M22" s="1790" t="s">
        <v>893</v>
      </c>
      <c r="N22" s="1791">
        <f t="shared" si="3"/>
        <v>2.9838625067202733E-3</v>
      </c>
      <c r="O22" s="1792">
        <v>103.97578</v>
      </c>
      <c r="P22" s="1792">
        <v>207.95156</v>
      </c>
      <c r="Q22" s="1793">
        <v>2</v>
      </c>
      <c r="R22" s="1780"/>
      <c r="S22" s="1780"/>
      <c r="T22" s="1796">
        <f t="shared" si="4"/>
        <v>2405.2719910011251</v>
      </c>
    </row>
    <row r="23" spans="3:20">
      <c r="C23" s="812" t="s">
        <v>67</v>
      </c>
      <c r="D23" s="813">
        <f t="shared" si="0"/>
        <v>6.5506960701293944E-3</v>
      </c>
      <c r="E23" s="814">
        <v>193.550355</v>
      </c>
      <c r="F23" s="1777">
        <f t="shared" si="1"/>
        <v>0.65506960701293948</v>
      </c>
      <c r="G23" s="1795" t="s">
        <v>60</v>
      </c>
      <c r="H23" s="1781">
        <f t="shared" si="2"/>
        <v>2.5590551181102362E-3</v>
      </c>
      <c r="I23" s="1783">
        <v>91</v>
      </c>
      <c r="J23" s="1783">
        <v>43</v>
      </c>
      <c r="K23" s="1784">
        <v>0</v>
      </c>
      <c r="L23" s="1780"/>
      <c r="M23" s="1786" t="s">
        <v>505</v>
      </c>
      <c r="N23" s="1787">
        <f t="shared" si="3"/>
        <v>2.9813041095389861E-3</v>
      </c>
      <c r="O23" s="1785">
        <v>103.88663</v>
      </c>
      <c r="P23" s="1788">
        <v>2600.4627800000003</v>
      </c>
      <c r="Q23" s="1789">
        <v>25.031736807710484</v>
      </c>
      <c r="R23" s="1780"/>
      <c r="S23" s="1780"/>
      <c r="T23" s="1796">
        <f t="shared" si="4"/>
        <v>1670.8377952755905</v>
      </c>
    </row>
    <row r="24" spans="3:20">
      <c r="C24" s="812" t="s">
        <v>58</v>
      </c>
      <c r="D24" s="813">
        <f t="shared" si="0"/>
        <v>4.7773730306279686E-3</v>
      </c>
      <c r="E24" s="814">
        <v>141.154808</v>
      </c>
      <c r="F24" s="1777">
        <f t="shared" si="1"/>
        <v>0.47773730306279688</v>
      </c>
      <c r="G24" s="1795" t="s">
        <v>57</v>
      </c>
      <c r="H24" s="1781">
        <f t="shared" si="2"/>
        <v>2.530933633295838E-3</v>
      </c>
      <c r="I24" s="1783">
        <v>90</v>
      </c>
      <c r="J24" s="1783">
        <v>1466</v>
      </c>
      <c r="K24" s="1784">
        <v>16.34</v>
      </c>
      <c r="L24" s="1780"/>
      <c r="M24" s="1786" t="s">
        <v>373</v>
      </c>
      <c r="N24" s="1787">
        <f t="shared" si="3"/>
        <v>2.7203570672784498E-3</v>
      </c>
      <c r="O24" s="1785">
        <v>94.793660000000003</v>
      </c>
      <c r="P24" s="1788">
        <v>94.793660000000003</v>
      </c>
      <c r="Q24" s="1789">
        <v>1</v>
      </c>
      <c r="R24" s="1780"/>
      <c r="S24" s="1780"/>
      <c r="T24" s="1796">
        <f t="shared" si="4"/>
        <v>1652.4769403824523</v>
      </c>
    </row>
    <row r="25" spans="3:20">
      <c r="C25" s="1457" t="s">
        <v>65</v>
      </c>
      <c r="D25" s="1458">
        <f t="shared" si="0"/>
        <v>3.1488358466333849E-3</v>
      </c>
      <c r="E25" s="1459">
        <v>93.037181000000004</v>
      </c>
      <c r="F25" s="1778">
        <f t="shared" si="1"/>
        <v>0.31488358466333849</v>
      </c>
      <c r="G25" s="1795" t="s">
        <v>64</v>
      </c>
      <c r="H25" s="1781">
        <f t="shared" si="2"/>
        <v>2.4465691788526436E-3</v>
      </c>
      <c r="I25" s="1783">
        <v>87</v>
      </c>
      <c r="J25" s="1783">
        <v>303</v>
      </c>
      <c r="K25" s="1784">
        <v>3.5</v>
      </c>
      <c r="L25" s="1780"/>
      <c r="M25" s="1786" t="s">
        <v>69</v>
      </c>
      <c r="N25" s="1787">
        <f t="shared" si="3"/>
        <v>2.4996255033128819E-3</v>
      </c>
      <c r="O25" s="1785">
        <v>87.102040000000002</v>
      </c>
      <c r="P25" s="1788">
        <v>178.93876</v>
      </c>
      <c r="Q25" s="1789">
        <v>2.5</v>
      </c>
      <c r="R25" s="1780"/>
      <c r="S25" s="1780"/>
      <c r="T25" s="1796">
        <f t="shared" si="4"/>
        <v>1597.3943757030372</v>
      </c>
    </row>
    <row r="26" spans="3:20">
      <c r="C26" s="812" t="s">
        <v>64</v>
      </c>
      <c r="D26" s="813">
        <f t="shared" si="0"/>
        <v>2.3607918377519825E-3</v>
      </c>
      <c r="E26" s="814">
        <v>69.753213000000002</v>
      </c>
      <c r="F26" s="1777">
        <f t="shared" si="1"/>
        <v>0.23607918377519824</v>
      </c>
      <c r="G26" s="1795" t="s">
        <v>506</v>
      </c>
      <c r="H26" s="1781">
        <f t="shared" si="2"/>
        <v>2.2778402699662544E-3</v>
      </c>
      <c r="I26" s="1783">
        <v>81</v>
      </c>
      <c r="J26" s="1783">
        <v>33</v>
      </c>
      <c r="K26" s="1784">
        <v>0</v>
      </c>
      <c r="L26" s="1780"/>
      <c r="M26" s="1786" t="s">
        <v>135</v>
      </c>
      <c r="N26" s="1787">
        <f t="shared" si="3"/>
        <v>1.6211255758997614E-3</v>
      </c>
      <c r="O26" s="1785">
        <v>56.489800000000002</v>
      </c>
      <c r="P26" s="1788">
        <v>56.489800000000002</v>
      </c>
      <c r="Q26" s="1789">
        <v>1</v>
      </c>
      <c r="R26" s="1780"/>
      <c r="S26" s="1780"/>
      <c r="T26" s="1796">
        <f t="shared" si="4"/>
        <v>1487.229246344207</v>
      </c>
    </row>
    <row r="27" spans="3:20" ht="15" customHeight="1">
      <c r="C27" s="812" t="s">
        <v>374</v>
      </c>
      <c r="D27" s="813">
        <f t="shared" si="0"/>
        <v>2.3607918377519825E-3</v>
      </c>
      <c r="E27" s="814">
        <v>69.753213000000002</v>
      </c>
      <c r="F27" s="1777">
        <f t="shared" si="1"/>
        <v>0.23607918377519824</v>
      </c>
      <c r="G27" s="1795" t="s">
        <v>503</v>
      </c>
      <c r="H27" s="1781">
        <f t="shared" si="2"/>
        <v>1.9403824521934759E-3</v>
      </c>
      <c r="I27" s="1782">
        <v>69</v>
      </c>
      <c r="J27" s="1782">
        <v>174</v>
      </c>
      <c r="K27" s="1784">
        <v>2.5299999999999998</v>
      </c>
      <c r="L27" s="1780"/>
      <c r="M27" s="1786" t="s">
        <v>894</v>
      </c>
      <c r="N27" s="1787">
        <f t="shared" si="3"/>
        <v>2.1651481459230054E-3</v>
      </c>
      <c r="O27" s="1785">
        <v>75.446830000000006</v>
      </c>
      <c r="P27" s="1788">
        <v>861.84611000000018</v>
      </c>
      <c r="Q27" s="1789">
        <v>11.423224938675357</v>
      </c>
      <c r="R27" s="1780"/>
      <c r="S27" s="1780"/>
      <c r="T27" s="1796">
        <f t="shared" si="4"/>
        <v>1266.8989876265466</v>
      </c>
    </row>
    <row r="28" spans="3:20">
      <c r="C28" s="812" t="s">
        <v>68</v>
      </c>
      <c r="D28" s="813">
        <f t="shared" si="0"/>
        <v>1.4123986243170443E-3</v>
      </c>
      <c r="E28" s="814">
        <v>41.731482</v>
      </c>
      <c r="F28" s="1777">
        <f t="shared" si="1"/>
        <v>0.14123986243170442</v>
      </c>
      <c r="G28" s="1795" t="s">
        <v>65</v>
      </c>
      <c r="H28" s="1781">
        <f t="shared" si="2"/>
        <v>1.8841394825646794E-3</v>
      </c>
      <c r="I28" s="1783">
        <v>67</v>
      </c>
      <c r="J28" s="1783">
        <v>41</v>
      </c>
      <c r="K28" s="1784">
        <v>0</v>
      </c>
      <c r="L28" s="1780"/>
      <c r="M28" s="1786" t="s">
        <v>61</v>
      </c>
      <c r="N28" s="1787">
        <f t="shared" si="3"/>
        <v>1.6125883063825312E-3</v>
      </c>
      <c r="O28" s="1785">
        <v>56.192309999999999</v>
      </c>
      <c r="P28" s="1788">
        <v>112.38462</v>
      </c>
      <c r="Q28" s="1789">
        <v>2</v>
      </c>
      <c r="R28" s="1780"/>
      <c r="S28" s="1780"/>
      <c r="T28" s="1796">
        <f t="shared" si="4"/>
        <v>1230.1772778402699</v>
      </c>
    </row>
    <row r="29" spans="3:20">
      <c r="C29" s="812" t="s">
        <v>66</v>
      </c>
      <c r="D29" s="813">
        <f t="shared" si="0"/>
        <v>3.4728744446326804E-3</v>
      </c>
      <c r="E29" s="814">
        <v>102.61139799999999</v>
      </c>
      <c r="F29" s="1777">
        <f t="shared" si="1"/>
        <v>0.34728744446326804</v>
      </c>
      <c r="G29" s="1795" t="s">
        <v>59</v>
      </c>
      <c r="H29" s="1781">
        <f t="shared" si="2"/>
        <v>1.3779527559055118E-3</v>
      </c>
      <c r="I29" s="1783">
        <v>49</v>
      </c>
      <c r="J29" s="1782">
        <v>0</v>
      </c>
      <c r="K29" s="1784">
        <v>0</v>
      </c>
      <c r="L29" s="1780"/>
      <c r="M29" s="1786" t="s">
        <v>376</v>
      </c>
      <c r="N29" s="1787">
        <f t="shared" si="3"/>
        <v>1.3601785336392249E-3</v>
      </c>
      <c r="O29" s="1785">
        <v>47.396830000000001</v>
      </c>
      <c r="P29" s="1788">
        <v>142.19048999999998</v>
      </c>
      <c r="Q29" s="1789">
        <v>3</v>
      </c>
      <c r="R29" s="1780"/>
      <c r="S29" s="1780"/>
      <c r="T29" s="1796">
        <f t="shared" si="4"/>
        <v>899.68188976377951</v>
      </c>
    </row>
    <row r="30" spans="3:20">
      <c r="C30" s="812" t="s">
        <v>61</v>
      </c>
      <c r="D30" s="813">
        <f t="shared" si="0"/>
        <v>2.6425579628071086E-3</v>
      </c>
      <c r="E30" s="814">
        <v>78.078424999999996</v>
      </c>
      <c r="F30" s="1777">
        <f t="shared" si="1"/>
        <v>0.26425579628071083</v>
      </c>
      <c r="G30" s="1795" t="s">
        <v>376</v>
      </c>
      <c r="H30" s="1781">
        <f t="shared" si="2"/>
        <v>1.3779527559055118E-3</v>
      </c>
      <c r="I30" s="1783">
        <v>49</v>
      </c>
      <c r="J30" s="1783">
        <v>0</v>
      </c>
      <c r="K30" s="1784">
        <v>0</v>
      </c>
      <c r="L30" s="1780"/>
      <c r="M30" s="1786" t="s">
        <v>895</v>
      </c>
      <c r="N30" s="1787">
        <f t="shared" si="3"/>
        <v>1.3601785336392249E-3</v>
      </c>
      <c r="O30" s="1785">
        <v>47.396830000000001</v>
      </c>
      <c r="P30" s="1788">
        <v>189.58732000000001</v>
      </c>
      <c r="Q30" s="1789">
        <v>4</v>
      </c>
      <c r="R30" s="1780"/>
      <c r="S30" s="1780"/>
      <c r="T30" s="1796">
        <f t="shared" si="4"/>
        <v>899.68188976377951</v>
      </c>
    </row>
    <row r="31" spans="3:20">
      <c r="C31" s="812" t="s">
        <v>69</v>
      </c>
      <c r="D31" s="813">
        <f t="shared" si="0"/>
        <v>6.2435461543564204E-4</v>
      </c>
      <c r="E31" s="814">
        <v>18.447514000000002</v>
      </c>
      <c r="F31" s="1777">
        <f t="shared" si="1"/>
        <v>6.2435461543564205E-2</v>
      </c>
      <c r="G31" s="1795" t="s">
        <v>505</v>
      </c>
      <c r="H31" s="1781">
        <f t="shared" si="2"/>
        <v>1.3779527559055118E-3</v>
      </c>
      <c r="I31" s="1783">
        <v>49</v>
      </c>
      <c r="J31" s="1783">
        <v>49</v>
      </c>
      <c r="K31" s="1784">
        <v>1</v>
      </c>
      <c r="L31" s="1780"/>
      <c r="M31" s="1786" t="s">
        <v>374</v>
      </c>
      <c r="N31" s="1787">
        <f t="shared" si="3"/>
        <v>8.7849992741312073E-4</v>
      </c>
      <c r="O31" s="1785">
        <v>30.61224</v>
      </c>
      <c r="P31" s="1788">
        <v>30.61224</v>
      </c>
      <c r="Q31" s="1789">
        <v>1</v>
      </c>
      <c r="R31" s="1780"/>
      <c r="S31" s="1780"/>
      <c r="T31" s="1796">
        <f t="shared" si="4"/>
        <v>899.68188976377951</v>
      </c>
    </row>
    <row r="32" spans="3:20">
      <c r="C32" s="812" t="s">
        <v>383</v>
      </c>
      <c r="D32" s="813">
        <f t="shared" si="0"/>
        <v>6.2435461543564204E-4</v>
      </c>
      <c r="E32" s="814">
        <v>18.447514000000002</v>
      </c>
      <c r="F32" s="1777">
        <f t="shared" si="1"/>
        <v>6.2435461543564205E-2</v>
      </c>
      <c r="G32" s="1795" t="s">
        <v>67</v>
      </c>
      <c r="H32" s="1781">
        <f t="shared" si="2"/>
        <v>1.3498312710911137E-3</v>
      </c>
      <c r="I32" s="1783">
        <v>48</v>
      </c>
      <c r="J32" s="1783">
        <v>48</v>
      </c>
      <c r="K32" s="1784">
        <v>1</v>
      </c>
      <c r="L32" s="1780"/>
      <c r="M32" s="1786" t="s">
        <v>896</v>
      </c>
      <c r="N32" s="1787">
        <f t="shared" si="3"/>
        <v>8.0496961228378053E-4</v>
      </c>
      <c r="O32" s="1785">
        <v>28.05</v>
      </c>
      <c r="P32" s="1788">
        <v>28.05</v>
      </c>
      <c r="Q32" s="1789">
        <v>1</v>
      </c>
      <c r="R32" s="1780"/>
      <c r="S32" s="1780"/>
      <c r="T32" s="1796">
        <f t="shared" si="4"/>
        <v>881.32103487064114</v>
      </c>
    </row>
    <row r="33" spans="3:20">
      <c r="C33" s="812" t="s">
        <v>375</v>
      </c>
      <c r="D33" s="813">
        <f t="shared" si="0"/>
        <v>7.0619931215852214E-4</v>
      </c>
      <c r="E33" s="814">
        <v>20.865741</v>
      </c>
      <c r="F33" s="1777">
        <f t="shared" si="1"/>
        <v>7.0619931215852208E-2</v>
      </c>
      <c r="G33" s="1795" t="s">
        <v>68</v>
      </c>
      <c r="H33" s="1781">
        <f t="shared" si="2"/>
        <v>9.8425196850393699E-4</v>
      </c>
      <c r="I33" s="1783">
        <v>35</v>
      </c>
      <c r="J33" s="1783">
        <v>0</v>
      </c>
      <c r="K33" s="1784">
        <v>0</v>
      </c>
      <c r="L33" s="1780"/>
      <c r="M33" s="1786" t="s">
        <v>897</v>
      </c>
      <c r="N33" s="1787">
        <f t="shared" si="3"/>
        <v>7.7971021110602424E-4</v>
      </c>
      <c r="O33" s="1785">
        <v>27.169809999999998</v>
      </c>
      <c r="P33" s="1788">
        <v>27.169809999999995</v>
      </c>
      <c r="Q33" s="1789">
        <v>1</v>
      </c>
      <c r="R33" s="1780"/>
      <c r="S33" s="1780"/>
      <c r="T33" s="1796">
        <f t="shared" si="4"/>
        <v>642.62992125984249</v>
      </c>
    </row>
    <row r="34" spans="3:20">
      <c r="C34" s="812" t="s">
        <v>56</v>
      </c>
      <c r="D34" s="813">
        <f t="shared" si="0"/>
        <v>8.6477219998794405E-4</v>
      </c>
      <c r="E34" s="814">
        <v>25.551020000000001</v>
      </c>
      <c r="F34" s="1777">
        <f t="shared" si="1"/>
        <v>8.6477219998794402E-2</v>
      </c>
      <c r="G34" s="1795" t="s">
        <v>504</v>
      </c>
      <c r="H34" s="1781">
        <f t="shared" si="2"/>
        <v>4.7806524184476943E-4</v>
      </c>
      <c r="I34" s="1783">
        <v>17</v>
      </c>
      <c r="J34" s="1783">
        <v>152</v>
      </c>
      <c r="K34" s="1784">
        <v>9</v>
      </c>
      <c r="L34" s="1780"/>
      <c r="M34" s="1786" t="s">
        <v>63</v>
      </c>
      <c r="N34" s="1787">
        <f t="shared" si="3"/>
        <v>7.7971021110602424E-4</v>
      </c>
      <c r="O34" s="1785">
        <v>27.169809999999998</v>
      </c>
      <c r="P34" s="1788">
        <v>108.67923999999998</v>
      </c>
      <c r="Q34" s="1789">
        <v>4</v>
      </c>
      <c r="R34" s="1780"/>
      <c r="S34" s="1780"/>
      <c r="T34" s="1796">
        <f t="shared" si="4"/>
        <v>312.13453318335212</v>
      </c>
    </row>
    <row r="35" spans="3:20">
      <c r="G35" s="1795" t="s">
        <v>372</v>
      </c>
      <c r="H35" s="1781">
        <f t="shared" si="2"/>
        <v>4.7806524184476943E-4</v>
      </c>
      <c r="I35" s="1783">
        <v>17</v>
      </c>
      <c r="J35" s="1783">
        <v>0</v>
      </c>
      <c r="K35" s="1784">
        <v>0</v>
      </c>
      <c r="L35" s="1780"/>
      <c r="M35" s="1786" t="s">
        <v>67</v>
      </c>
      <c r="N35" s="1787">
        <f t="shared" si="3"/>
        <v>7.7971021110602424E-4</v>
      </c>
      <c r="O35" s="1785">
        <v>27.169809999999998</v>
      </c>
      <c r="P35" s="1788">
        <v>27.169809999999995</v>
      </c>
      <c r="Q35" s="1789">
        <v>1</v>
      </c>
      <c r="R35" s="1780"/>
      <c r="S35" s="1780"/>
      <c r="T35" s="1796">
        <f t="shared" si="4"/>
        <v>312.13453318335212</v>
      </c>
    </row>
    <row r="36" spans="3:20" ht="15.75" thickBot="1">
      <c r="C36" s="815" t="s">
        <v>55</v>
      </c>
      <c r="D36" s="816">
        <f>E36/$E$36</f>
        <v>1</v>
      </c>
      <c r="E36" s="817">
        <v>29546.532601714316</v>
      </c>
      <c r="F36" s="1779">
        <f>+E36/$E$36*100</f>
        <v>100</v>
      </c>
      <c r="G36" s="1797" t="s">
        <v>55</v>
      </c>
      <c r="H36" s="1798"/>
      <c r="I36" s="1799">
        <v>35560</v>
      </c>
      <c r="J36" s="1799">
        <v>8791</v>
      </c>
      <c r="K36" s="1800">
        <v>0</v>
      </c>
      <c r="L36" s="1801"/>
      <c r="M36" s="1802" t="s">
        <v>55</v>
      </c>
      <c r="N36" s="1803">
        <f t="shared" si="3"/>
        <v>1</v>
      </c>
      <c r="O36" s="1804">
        <f>SUM(O12:O35)</f>
        <v>34846.035889999999</v>
      </c>
      <c r="P36" s="1805">
        <f>SUM(P12:P35)</f>
        <v>22888.832080000004</v>
      </c>
      <c r="Q36" s="1806">
        <v>5.2977286583752106</v>
      </c>
      <c r="R36" s="1801"/>
      <c r="S36" s="1801"/>
      <c r="T36" s="1807"/>
    </row>
    <row r="37" spans="3:20" s="783" customFormat="1" ht="38.25" customHeight="1" thickTop="1">
      <c r="C37" s="1826"/>
      <c r="D37" s="1826"/>
      <c r="E37" s="1827"/>
      <c r="F37" s="1827"/>
      <c r="G37" s="3978" t="s">
        <v>507</v>
      </c>
      <c r="H37" s="3978"/>
      <c r="I37" s="3978"/>
      <c r="J37" s="3978"/>
      <c r="K37" s="3978"/>
    </row>
    <row r="38" spans="3:20" s="783" customFormat="1" ht="38.25" customHeight="1">
      <c r="C38" s="1826"/>
      <c r="D38" s="1826"/>
      <c r="E38" s="1827"/>
      <c r="F38" s="1827"/>
      <c r="G38" s="3978" t="s">
        <v>508</v>
      </c>
      <c r="H38" s="3978"/>
      <c r="I38" s="3978"/>
      <c r="J38" s="3978"/>
      <c r="K38" s="3978"/>
    </row>
    <row r="41" spans="3:20">
      <c r="C41" s="234" t="s">
        <v>445</v>
      </c>
    </row>
  </sheetData>
  <sortState ref="G12:K35">
    <sortCondition descending="1" ref="H12:H35"/>
  </sortState>
  <mergeCells count="3">
    <mergeCell ref="G37:K37"/>
    <mergeCell ref="G38:K38"/>
    <mergeCell ref="O10:Q10"/>
  </mergeCells>
  <hyperlinks>
    <hyperlink ref="K11" location="_ftn2" display="_ftn2"/>
    <hyperlink ref="G37" location="_ftnref1" display="_ftnref1"/>
    <hyperlink ref="G38" location="_ftnref2" display="_ftnref2"/>
    <hyperlink ref="I11" location="_ftn1" display="_ftn1"/>
  </hyperlinks>
  <pageMargins left="0.28000000000000003" right="0.23" top="0.74803149606299213" bottom="0.74803149606299213" header="0.31496062992125984" footer="0.31496062992125984"/>
  <pageSetup paperSize="9" scale="83" orientation="landscape" verticalDpi="597"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3:E83"/>
  <sheetViews>
    <sheetView showGridLines="0" workbookViewId="0">
      <selection activeCell="A3" sqref="A3:XFD3"/>
    </sheetView>
  </sheetViews>
  <sheetFormatPr baseColWidth="10" defaultColWidth="11.42578125" defaultRowHeight="15"/>
  <cols>
    <col min="1" max="1" width="32.7109375" style="779" customWidth="1"/>
    <col min="2" max="4" width="11.7109375" style="779" customWidth="1"/>
    <col min="5" max="5" width="10.28515625" style="779" customWidth="1"/>
    <col min="6" max="16384" width="11.42578125" style="779"/>
  </cols>
  <sheetData>
    <row r="3" spans="1:5" s="891" customFormat="1" ht="20.25">
      <c r="A3" s="888" t="s">
        <v>497</v>
      </c>
    </row>
    <row r="5" spans="1:5" ht="15.75">
      <c r="A5" s="780" t="s">
        <v>384</v>
      </c>
    </row>
    <row r="6" spans="1:5">
      <c r="A6" s="779" t="s">
        <v>385</v>
      </c>
    </row>
    <row r="7" spans="1:5">
      <c r="A7" s="782" t="s">
        <v>509</v>
      </c>
    </row>
    <row r="9" spans="1:5" ht="24">
      <c r="A9" s="784" t="s">
        <v>228</v>
      </c>
      <c r="B9" s="785" t="s">
        <v>386</v>
      </c>
      <c r="C9" s="784" t="s">
        <v>387</v>
      </c>
      <c r="D9" s="784" t="s">
        <v>388</v>
      </c>
      <c r="E9" s="784" t="s">
        <v>510</v>
      </c>
    </row>
    <row r="10" spans="1:5">
      <c r="A10" s="786" t="s">
        <v>227</v>
      </c>
      <c r="B10" s="787">
        <v>47195.998269999654</v>
      </c>
      <c r="C10" s="787">
        <v>506498</v>
      </c>
      <c r="D10" s="788">
        <v>10.731799698407009</v>
      </c>
      <c r="E10" s="789">
        <v>44.168012283292576</v>
      </c>
    </row>
    <row r="11" spans="1:5">
      <c r="A11" s="786" t="s">
        <v>511</v>
      </c>
      <c r="B11" s="787">
        <v>59659.61018999997</v>
      </c>
      <c r="C11" s="787">
        <v>380123.04319999984</v>
      </c>
      <c r="D11" s="788">
        <v>6.3715307892460107</v>
      </c>
      <c r="E11" s="789">
        <v>55.831987716707424</v>
      </c>
    </row>
    <row r="12" spans="1:5">
      <c r="A12" s="790" t="s">
        <v>512</v>
      </c>
      <c r="B12" s="791">
        <v>6558.4625199999982</v>
      </c>
      <c r="C12" s="792">
        <v>21303.475259999999</v>
      </c>
      <c r="D12" s="793">
        <v>3.7587873448954618</v>
      </c>
      <c r="E12" s="789">
        <v>6.1376867480522517</v>
      </c>
    </row>
    <row r="13" spans="1:5">
      <c r="A13" s="790" t="s">
        <v>396</v>
      </c>
      <c r="B13" s="791">
        <v>5993.069529999997</v>
      </c>
      <c r="C13" s="792">
        <v>52096.034659999983</v>
      </c>
      <c r="D13" s="793">
        <v>5.8520751213559308</v>
      </c>
      <c r="E13" s="789">
        <v>5.6085680633632302</v>
      </c>
    </row>
    <row r="14" spans="1:5">
      <c r="A14" s="790" t="s">
        <v>389</v>
      </c>
      <c r="B14" s="791">
        <v>5524.7786599999972</v>
      </c>
      <c r="C14" s="792">
        <v>36485.286509999991</v>
      </c>
      <c r="D14" s="793">
        <v>4.4200010335857138</v>
      </c>
      <c r="E14" s="789">
        <v>5.170321651453742</v>
      </c>
    </row>
    <row r="15" spans="1:5">
      <c r="A15" s="790" t="s">
        <v>404</v>
      </c>
      <c r="B15" s="794">
        <v>4375.9498100000001</v>
      </c>
      <c r="C15" s="795">
        <v>28883.801839999996</v>
      </c>
      <c r="D15" s="796">
        <v>4.7707455611606848</v>
      </c>
      <c r="E15" s="789">
        <v>4.095199000844298</v>
      </c>
    </row>
    <row r="16" spans="1:5">
      <c r="A16" s="790" t="s">
        <v>397</v>
      </c>
      <c r="B16" s="794">
        <v>3471.8460299999983</v>
      </c>
      <c r="C16" s="795">
        <v>24344.763639999994</v>
      </c>
      <c r="D16" s="796">
        <v>5.3503161460263629</v>
      </c>
      <c r="E16" s="789">
        <v>3.2491004263006475</v>
      </c>
    </row>
    <row r="17" spans="1:5">
      <c r="A17" s="790" t="s">
        <v>402</v>
      </c>
      <c r="B17" s="794">
        <v>2778.0834499999996</v>
      </c>
      <c r="C17" s="795">
        <v>11282.860129999997</v>
      </c>
      <c r="D17" s="796">
        <v>3.5084819777984069</v>
      </c>
      <c r="E17" s="789">
        <v>2.5998480473207435</v>
      </c>
    </row>
    <row r="18" spans="1:5">
      <c r="A18" s="790" t="s">
        <v>392</v>
      </c>
      <c r="B18" s="794">
        <v>2540.8164300000003</v>
      </c>
      <c r="C18" s="795">
        <v>10906.373589999999</v>
      </c>
      <c r="D18" s="796">
        <v>3.8688493046895154</v>
      </c>
      <c r="E18" s="789">
        <v>2.3778035300328955</v>
      </c>
    </row>
    <row r="19" spans="1:5">
      <c r="A19" s="790" t="s">
        <v>390</v>
      </c>
      <c r="B19" s="791">
        <v>2216.6014600000003</v>
      </c>
      <c r="C19" s="792">
        <v>19998.448090000002</v>
      </c>
      <c r="D19" s="793">
        <v>7.7564621295111884</v>
      </c>
      <c r="E19" s="789">
        <v>2.0743894419259838</v>
      </c>
    </row>
    <row r="20" spans="1:5">
      <c r="A20" s="790" t="s">
        <v>398</v>
      </c>
      <c r="B20" s="791">
        <v>2015.1596299999999</v>
      </c>
      <c r="C20" s="792">
        <v>9065.4973299999983</v>
      </c>
      <c r="D20" s="793">
        <v>4.0388136648153488</v>
      </c>
      <c r="E20" s="789">
        <v>1.8858716533857516</v>
      </c>
    </row>
    <row r="21" spans="1:5">
      <c r="A21" s="790" t="s">
        <v>395</v>
      </c>
      <c r="B21" s="791">
        <v>2013.0848300000002</v>
      </c>
      <c r="C21" s="792">
        <v>5787.3167299999996</v>
      </c>
      <c r="D21" s="793">
        <v>2.8787547643414757</v>
      </c>
      <c r="E21" s="789">
        <v>1.8839299677504333</v>
      </c>
    </row>
    <row r="22" spans="1:5">
      <c r="A22" s="790" t="s">
        <v>400</v>
      </c>
      <c r="B22" s="791">
        <v>1943.8291000000002</v>
      </c>
      <c r="C22" s="792">
        <v>12293.13077</v>
      </c>
      <c r="D22" s="793">
        <v>4.0892742978646393</v>
      </c>
      <c r="E22" s="789">
        <v>1.8191175250549942</v>
      </c>
    </row>
    <row r="23" spans="1:5">
      <c r="A23" s="790" t="s">
        <v>399</v>
      </c>
      <c r="B23" s="791">
        <v>1876.1559199999999</v>
      </c>
      <c r="C23" s="792">
        <v>15159.202720000001</v>
      </c>
      <c r="D23" s="793">
        <v>5.058862564336513</v>
      </c>
      <c r="E23" s="789">
        <v>1.7557860996152777</v>
      </c>
    </row>
    <row r="24" spans="1:5">
      <c r="A24" s="790" t="s">
        <v>394</v>
      </c>
      <c r="B24" s="794">
        <v>1854.0026399999999</v>
      </c>
      <c r="C24" s="795">
        <v>13816.270349999999</v>
      </c>
      <c r="D24" s="796">
        <v>7.5528944303423771</v>
      </c>
      <c r="E24" s="789">
        <v>1.7350541227735632</v>
      </c>
    </row>
    <row r="25" spans="1:5">
      <c r="A25" s="790" t="s">
        <v>391</v>
      </c>
      <c r="B25" s="791">
        <v>1638.3375800000001</v>
      </c>
      <c r="C25" s="792">
        <v>12225.291030000002</v>
      </c>
      <c r="D25" s="793">
        <v>5.3579524530923202</v>
      </c>
      <c r="E25" s="789">
        <v>1.5332256337422814</v>
      </c>
    </row>
    <row r="26" spans="1:5">
      <c r="A26" s="790" t="s">
        <v>53</v>
      </c>
      <c r="B26" s="791">
        <v>1613.3193300000003</v>
      </c>
      <c r="C26" s="792">
        <v>10337.560840000002</v>
      </c>
      <c r="D26" s="793">
        <v>5.1074958354206723</v>
      </c>
      <c r="E26" s="789">
        <v>1.5098124967431454</v>
      </c>
    </row>
    <row r="27" spans="1:5">
      <c r="A27" s="790" t="s">
        <v>411</v>
      </c>
      <c r="B27" s="791">
        <v>1379.2604700000002</v>
      </c>
      <c r="C27" s="792">
        <v>10374.379439999997</v>
      </c>
      <c r="D27" s="793">
        <v>4.9828712308828438</v>
      </c>
      <c r="E27" s="789">
        <v>1.290770311336829</v>
      </c>
    </row>
    <row r="28" spans="1:5">
      <c r="A28" s="790" t="s">
        <v>514</v>
      </c>
      <c r="B28" s="791">
        <v>1215.5427099999999</v>
      </c>
      <c r="C28" s="792">
        <v>8965.7642200000009</v>
      </c>
      <c r="D28" s="793">
        <v>7.7205986705319383</v>
      </c>
      <c r="E28" s="789">
        <v>1.1375563037994647</v>
      </c>
    </row>
    <row r="29" spans="1:5">
      <c r="A29" s="790" t="s">
        <v>393</v>
      </c>
      <c r="B29" s="791">
        <v>1094.2240000000002</v>
      </c>
      <c r="C29" s="792">
        <v>5582.8043800000005</v>
      </c>
      <c r="D29" s="793">
        <v>4.3858435449405313</v>
      </c>
      <c r="E29" s="789">
        <v>1.0240211213710999</v>
      </c>
    </row>
    <row r="30" spans="1:5">
      <c r="A30" s="790" t="s">
        <v>515</v>
      </c>
      <c r="B30" s="794">
        <v>884.62934000000018</v>
      </c>
      <c r="C30" s="795">
        <v>7372.0653800000018</v>
      </c>
      <c r="D30" s="796">
        <v>4.8925189582369857</v>
      </c>
      <c r="E30" s="789">
        <v>0.82787356952925184</v>
      </c>
    </row>
    <row r="31" spans="1:5">
      <c r="A31" s="790" t="s">
        <v>516</v>
      </c>
      <c r="B31" s="791">
        <v>857.76254000000006</v>
      </c>
      <c r="C31" s="792">
        <v>3380.5369599999999</v>
      </c>
      <c r="D31" s="793">
        <v>3.9411105082765676</v>
      </c>
      <c r="E31" s="789">
        <v>0.80273048121858315</v>
      </c>
    </row>
    <row r="32" spans="1:5">
      <c r="A32" s="790" t="s">
        <v>513</v>
      </c>
      <c r="B32" s="791">
        <v>658.92244999999991</v>
      </c>
      <c r="C32" s="792">
        <v>4779.6891899999991</v>
      </c>
      <c r="D32" s="793">
        <v>4.866888754706733</v>
      </c>
      <c r="E32" s="789">
        <v>0.61664751106317572</v>
      </c>
    </row>
    <row r="33" spans="1:5">
      <c r="A33" s="790" t="s">
        <v>403</v>
      </c>
      <c r="B33" s="791">
        <v>638.86275999999998</v>
      </c>
      <c r="C33" s="792">
        <v>1863.12527</v>
      </c>
      <c r="D33" s="793">
        <v>2.8574122890472706</v>
      </c>
      <c r="E33" s="789">
        <v>0.59787480433388029</v>
      </c>
    </row>
    <row r="34" spans="1:5">
      <c r="A34" s="790" t="s">
        <v>517</v>
      </c>
      <c r="B34" s="794">
        <v>558.92277999999999</v>
      </c>
      <c r="C34" s="795">
        <v>2173.79745</v>
      </c>
      <c r="D34" s="796">
        <v>3.5139095197388057</v>
      </c>
      <c r="E34" s="789">
        <v>0.52306358838359657</v>
      </c>
    </row>
    <row r="35" spans="1:5">
      <c r="A35" s="790" t="s">
        <v>419</v>
      </c>
      <c r="B35" s="794">
        <v>547.84866</v>
      </c>
      <c r="C35" s="795">
        <v>6188.0057699999998</v>
      </c>
      <c r="D35" s="796">
        <v>8.8935186106835946</v>
      </c>
      <c r="E35" s="789">
        <v>0.5126999582853734</v>
      </c>
    </row>
    <row r="36" spans="1:5">
      <c r="A36" s="790" t="s">
        <v>518</v>
      </c>
      <c r="B36" s="791">
        <v>546.66314</v>
      </c>
      <c r="C36" s="792">
        <v>4849.0818300000001</v>
      </c>
      <c r="D36" s="793">
        <v>7.1830168776521859</v>
      </c>
      <c r="E36" s="789">
        <v>0.51159049850400518</v>
      </c>
    </row>
    <row r="37" spans="1:5">
      <c r="A37" s="790" t="s">
        <v>66</v>
      </c>
      <c r="B37" s="794">
        <v>461.54412000000002</v>
      </c>
      <c r="C37" s="795">
        <v>4241.4395699999995</v>
      </c>
      <c r="D37" s="796">
        <v>4.7294521743388662</v>
      </c>
      <c r="E37" s="789">
        <v>0.4319325177702531</v>
      </c>
    </row>
    <row r="38" spans="1:5">
      <c r="A38" s="790" t="s">
        <v>519</v>
      </c>
      <c r="B38" s="794">
        <v>438.94331000000005</v>
      </c>
      <c r="C38" s="795">
        <v>3011.1733600000007</v>
      </c>
      <c r="D38" s="796">
        <v>5.8284972907630408</v>
      </c>
      <c r="E38" s="789">
        <v>0.4107817234172732</v>
      </c>
    </row>
    <row r="39" spans="1:5">
      <c r="A39" s="790" t="s">
        <v>520</v>
      </c>
      <c r="B39" s="794">
        <v>325.11804000000001</v>
      </c>
      <c r="C39" s="795">
        <v>3614.3173399999996</v>
      </c>
      <c r="D39" s="796">
        <v>10.066914460430539</v>
      </c>
      <c r="E39" s="789">
        <v>0.30425921922638699</v>
      </c>
    </row>
    <row r="40" spans="1:5">
      <c r="A40" s="790" t="s">
        <v>521</v>
      </c>
      <c r="B40" s="794">
        <v>309.51191</v>
      </c>
      <c r="C40" s="795">
        <v>1145.6905000000002</v>
      </c>
      <c r="D40" s="796">
        <v>3</v>
      </c>
      <c r="E40" s="789">
        <v>0.28965434239781884</v>
      </c>
    </row>
    <row r="41" spans="1:5">
      <c r="A41" s="790" t="s">
        <v>416</v>
      </c>
      <c r="B41" s="794">
        <v>239.34573</v>
      </c>
      <c r="C41" s="795">
        <v>2270.9151399999996</v>
      </c>
      <c r="D41" s="796">
        <v>7.4963038697432118</v>
      </c>
      <c r="E41" s="789">
        <v>0.22398986206661936</v>
      </c>
    </row>
    <row r="42" spans="1:5">
      <c r="A42" s="790" t="s">
        <v>408</v>
      </c>
      <c r="B42" s="794">
        <v>213.47997999999998</v>
      </c>
      <c r="C42" s="795">
        <v>1500.8500099999999</v>
      </c>
      <c r="D42" s="796">
        <v>4.8634081754027267</v>
      </c>
      <c r="E42" s="789">
        <v>0.19978359870545698</v>
      </c>
    </row>
    <row r="43" spans="1:5">
      <c r="A43" s="790" t="s">
        <v>407</v>
      </c>
      <c r="B43" s="791">
        <v>194.54256999999998</v>
      </c>
      <c r="C43" s="792">
        <v>679.79573000000005</v>
      </c>
      <c r="D43" s="793">
        <v>3.3402178062590608</v>
      </c>
      <c r="E43" s="789">
        <v>0.18206116908952433</v>
      </c>
    </row>
    <row r="44" spans="1:5">
      <c r="A44" s="790" t="s">
        <v>401</v>
      </c>
      <c r="B44" s="794">
        <v>190.9418</v>
      </c>
      <c r="C44" s="795">
        <v>591.55538000000001</v>
      </c>
      <c r="D44" s="796">
        <v>2.4330052616637641</v>
      </c>
      <c r="E44" s="789">
        <v>0.17869141615667017</v>
      </c>
    </row>
    <row r="45" spans="1:5">
      <c r="A45" s="790" t="s">
        <v>522</v>
      </c>
      <c r="B45" s="794">
        <v>144.47683999999998</v>
      </c>
      <c r="C45" s="795">
        <v>1838.2326499999999</v>
      </c>
      <c r="D45" s="796">
        <v>10.75</v>
      </c>
      <c r="E45" s="789">
        <v>0.1352075404203828</v>
      </c>
    </row>
    <row r="46" spans="1:5">
      <c r="A46" s="790" t="s">
        <v>523</v>
      </c>
      <c r="B46" s="794">
        <v>143.73333</v>
      </c>
      <c r="C46" s="795">
        <v>574.93331999999998</v>
      </c>
      <c r="D46" s="796">
        <v>4</v>
      </c>
      <c r="E46" s="789">
        <v>0.13451173230070107</v>
      </c>
    </row>
    <row r="47" spans="1:5">
      <c r="A47" s="790" t="s">
        <v>415</v>
      </c>
      <c r="B47" s="794">
        <v>126.56004000000001</v>
      </c>
      <c r="C47" s="795">
        <v>961.86192000000005</v>
      </c>
      <c r="D47" s="796">
        <v>9</v>
      </c>
      <c r="E47" s="789">
        <v>0.11844024082963935</v>
      </c>
    </row>
    <row r="48" spans="1:5">
      <c r="A48" s="790" t="s">
        <v>524</v>
      </c>
      <c r="B48" s="794">
        <v>122.80292</v>
      </c>
      <c r="C48" s="795">
        <v>3162.1737800000005</v>
      </c>
      <c r="D48" s="796">
        <v>24</v>
      </c>
      <c r="E48" s="789">
        <v>0.11492416895082312</v>
      </c>
    </row>
    <row r="49" spans="1:5">
      <c r="A49" s="790" t="s">
        <v>405</v>
      </c>
      <c r="B49" s="794">
        <v>121.35509000000002</v>
      </c>
      <c r="C49" s="795">
        <v>2668.0813800000001</v>
      </c>
      <c r="D49" s="796">
        <v>17.315778585888197</v>
      </c>
      <c r="E49" s="789">
        <v>0.11356922837178747</v>
      </c>
    </row>
    <row r="50" spans="1:5">
      <c r="A50" s="790" t="s">
        <v>525</v>
      </c>
      <c r="B50" s="791">
        <v>111.8283</v>
      </c>
      <c r="C50" s="792">
        <v>335.48490000000004</v>
      </c>
      <c r="D50" s="793">
        <v>2.7369562435074779</v>
      </c>
      <c r="E50" s="789">
        <v>0.10465365516294997</v>
      </c>
    </row>
    <row r="51" spans="1:5">
      <c r="A51" s="790" t="s">
        <v>409</v>
      </c>
      <c r="B51" s="791">
        <v>103.55562</v>
      </c>
      <c r="C51" s="792">
        <v>1852.8988399999998</v>
      </c>
      <c r="D51" s="793">
        <v>14.666666666666666</v>
      </c>
      <c r="E51" s="789">
        <v>9.6911731159871742E-2</v>
      </c>
    </row>
    <row r="52" spans="1:5">
      <c r="A52" s="790" t="s">
        <v>526</v>
      </c>
      <c r="B52" s="794">
        <v>103.33982</v>
      </c>
      <c r="C52" s="795">
        <v>501.49238000000003</v>
      </c>
      <c r="D52" s="796">
        <v>4.1080018887883281</v>
      </c>
      <c r="E52" s="789">
        <v>9.6709776388278476E-2</v>
      </c>
    </row>
    <row r="53" spans="1:5">
      <c r="A53" s="790" t="s">
        <v>527</v>
      </c>
      <c r="B53" s="791">
        <v>102.61644000000001</v>
      </c>
      <c r="C53" s="792">
        <v>203.64525</v>
      </c>
      <c r="D53" s="793">
        <v>1.9883059143289616</v>
      </c>
      <c r="E53" s="789">
        <v>9.603280677439921E-2</v>
      </c>
    </row>
    <row r="54" spans="1:5">
      <c r="A54" s="790" t="s">
        <v>528</v>
      </c>
      <c r="B54" s="794">
        <v>97.934740000000005</v>
      </c>
      <c r="C54" s="795">
        <v>391.73896000000002</v>
      </c>
      <c r="D54" s="796">
        <v>4</v>
      </c>
      <c r="E54" s="789">
        <v>9.1651473807910555E-2</v>
      </c>
    </row>
    <row r="55" spans="1:5">
      <c r="A55" s="790" t="s">
        <v>529</v>
      </c>
      <c r="B55" s="794">
        <v>97.341279999999998</v>
      </c>
      <c r="C55" s="795">
        <v>192.23435999999998</v>
      </c>
      <c r="D55" s="796">
        <v>2</v>
      </c>
      <c r="E55" s="789">
        <v>9.1096088827605878E-2</v>
      </c>
    </row>
    <row r="56" spans="1:5">
      <c r="A56" s="790" t="s">
        <v>406</v>
      </c>
      <c r="B56" s="794">
        <v>93.625110000000006</v>
      </c>
      <c r="C56" s="795">
        <v>141.07165000000001</v>
      </c>
      <c r="D56" s="796">
        <v>1.5067715274246405</v>
      </c>
      <c r="E56" s="789">
        <v>8.7618339691592009E-2</v>
      </c>
    </row>
    <row r="57" spans="1:5">
      <c r="A57" s="790" t="s">
        <v>413</v>
      </c>
      <c r="B57" s="791">
        <v>93.625110000000006</v>
      </c>
      <c r="C57" s="792">
        <v>3541.2705700000001</v>
      </c>
      <c r="D57" s="793">
        <v>37.823940286959342</v>
      </c>
      <c r="E57" s="789">
        <v>8.7618339691592009E-2</v>
      </c>
    </row>
    <row r="58" spans="1:5">
      <c r="A58" s="790" t="s">
        <v>373</v>
      </c>
      <c r="B58" s="794">
        <v>93.204939999999993</v>
      </c>
      <c r="C58" s="795">
        <v>186.40987999999999</v>
      </c>
      <c r="D58" s="796">
        <v>2</v>
      </c>
      <c r="E58" s="789">
        <v>8.7225126826066757E-2</v>
      </c>
    </row>
    <row r="59" spans="1:5">
      <c r="A59" s="790" t="s">
        <v>530</v>
      </c>
      <c r="B59" s="794">
        <v>91.82535</v>
      </c>
      <c r="C59" s="795">
        <v>1725.5324500000002</v>
      </c>
      <c r="D59" s="796">
        <v>19.5</v>
      </c>
      <c r="E59" s="789">
        <v>8.5934048126611859E-2</v>
      </c>
    </row>
    <row r="60" spans="1:5">
      <c r="A60" s="790" t="s">
        <v>531</v>
      </c>
      <c r="B60" s="791">
        <v>80.593600000000009</v>
      </c>
      <c r="C60" s="792">
        <v>180.03478000000001</v>
      </c>
      <c r="D60" s="793">
        <v>2.5</v>
      </c>
      <c r="E60" s="789">
        <v>7.5422901204263371E-2</v>
      </c>
    </row>
    <row r="61" spans="1:5">
      <c r="A61" s="790" t="s">
        <v>532</v>
      </c>
      <c r="B61" s="791">
        <v>60.245420000000003</v>
      </c>
      <c r="C61" s="792">
        <v>77.180640000000011</v>
      </c>
      <c r="D61" s="793">
        <v>1.5</v>
      </c>
      <c r="E61" s="789">
        <v>5.6380213325491757E-2</v>
      </c>
    </row>
    <row r="62" spans="1:5">
      <c r="A62" s="790" t="s">
        <v>410</v>
      </c>
      <c r="B62" s="794">
        <v>51.669910000000002</v>
      </c>
      <c r="C62" s="795">
        <v>138.07451</v>
      </c>
      <c r="D62" s="796">
        <v>2.5</v>
      </c>
      <c r="E62" s="789">
        <v>4.8354888194139238E-2</v>
      </c>
    </row>
    <row r="63" spans="1:5">
      <c r="A63" s="790" t="s">
        <v>533</v>
      </c>
      <c r="B63" s="794">
        <v>51.669910000000002</v>
      </c>
      <c r="C63" s="795">
        <v>223.61486000000002</v>
      </c>
      <c r="D63" s="796">
        <v>4.5</v>
      </c>
      <c r="E63" s="789">
        <v>4.8354888194139238E-2</v>
      </c>
    </row>
    <row r="64" spans="1:5">
      <c r="A64" s="790" t="s">
        <v>534</v>
      </c>
      <c r="B64" s="791">
        <v>51.669910000000002</v>
      </c>
      <c r="C64" s="792">
        <v>68.605130000000003</v>
      </c>
      <c r="D64" s="793">
        <v>1.5</v>
      </c>
      <c r="E64" s="789">
        <v>4.8354888194139238E-2</v>
      </c>
    </row>
    <row r="65" spans="1:5">
      <c r="A65" s="790" t="s">
        <v>417</v>
      </c>
      <c r="B65" s="794">
        <v>51.669910000000002</v>
      </c>
      <c r="C65" s="795">
        <v>292.21999</v>
      </c>
      <c r="D65" s="796">
        <v>5.6555157537530061</v>
      </c>
      <c r="E65" s="789">
        <v>4.8354888194139238E-2</v>
      </c>
    </row>
    <row r="66" spans="1:5">
      <c r="A66" s="790" t="s">
        <v>414</v>
      </c>
      <c r="B66" s="791">
        <v>49.894739999999999</v>
      </c>
      <c r="C66" s="792">
        <v>49.894739999999999</v>
      </c>
      <c r="D66" s="793">
        <v>1</v>
      </c>
      <c r="E66" s="789">
        <v>4.6693608991686772E-2</v>
      </c>
    </row>
    <row r="67" spans="1:5">
      <c r="A67" s="790" t="s">
        <v>535</v>
      </c>
      <c r="B67" s="791">
        <v>48.04</v>
      </c>
      <c r="C67" s="792">
        <v>48.04</v>
      </c>
      <c r="D67" s="793">
        <v>1</v>
      </c>
      <c r="E67" s="789">
        <v>4.4957864816223762E-2</v>
      </c>
    </row>
    <row r="68" spans="1:5">
      <c r="A68" s="790" t="s">
        <v>536</v>
      </c>
      <c r="B68" s="791">
        <v>47.446539999999999</v>
      </c>
      <c r="C68" s="792">
        <v>94.893079999999998</v>
      </c>
      <c r="D68" s="793">
        <v>2</v>
      </c>
      <c r="E68" s="789">
        <v>4.4402479835919099E-2</v>
      </c>
    </row>
    <row r="69" spans="1:5">
      <c r="A69" s="790" t="s">
        <v>537</v>
      </c>
      <c r="B69" s="794">
        <v>47.446539999999999</v>
      </c>
      <c r="C69" s="795">
        <v>1233.61004</v>
      </c>
      <c r="D69" s="796">
        <v>26.000000000000004</v>
      </c>
      <c r="E69" s="789">
        <v>4.4402479835919099E-2</v>
      </c>
    </row>
    <row r="70" spans="1:5">
      <c r="A70" s="790" t="s">
        <v>538</v>
      </c>
      <c r="B70" s="794">
        <v>43.310200000000002</v>
      </c>
      <c r="C70" s="795">
        <v>346.48160000000001</v>
      </c>
      <c r="D70" s="796">
        <v>8</v>
      </c>
      <c r="E70" s="789">
        <v>4.0531517834379992E-2</v>
      </c>
    </row>
    <row r="71" spans="1:5">
      <c r="A71" s="790" t="s">
        <v>539</v>
      </c>
      <c r="B71" s="794">
        <v>43.310200000000002</v>
      </c>
      <c r="C71" s="795">
        <v>216.55100000000002</v>
      </c>
      <c r="D71" s="796">
        <v>5</v>
      </c>
      <c r="E71" s="789">
        <v>4.0531517834379992E-2</v>
      </c>
    </row>
    <row r="72" spans="1:5">
      <c r="A72" s="790" t="s">
        <v>420</v>
      </c>
      <c r="B72" s="794">
        <v>43.310200000000002</v>
      </c>
      <c r="C72" s="795">
        <v>692.96320000000003</v>
      </c>
      <c r="D72" s="796">
        <v>16</v>
      </c>
      <c r="E72" s="789">
        <v>4.0531517834379992E-2</v>
      </c>
    </row>
    <row r="73" spans="1:5">
      <c r="A73" s="790" t="s">
        <v>540</v>
      </c>
      <c r="B73" s="791">
        <v>34.734690000000001</v>
      </c>
      <c r="C73" s="792">
        <v>694.69380000000001</v>
      </c>
      <c r="D73" s="793">
        <v>20</v>
      </c>
      <c r="E73" s="789">
        <v>3.2506192703027466E-2</v>
      </c>
    </row>
    <row r="74" spans="1:5">
      <c r="A74" s="790" t="s">
        <v>541</v>
      </c>
      <c r="B74" s="794">
        <v>34.734690000000001</v>
      </c>
      <c r="C74" s="795">
        <v>138.93876</v>
      </c>
      <c r="D74" s="796">
        <v>4</v>
      </c>
      <c r="E74" s="789">
        <v>3.2506192703027466E-2</v>
      </c>
    </row>
    <row r="75" spans="1:5">
      <c r="A75" s="790" t="s">
        <v>412</v>
      </c>
      <c r="B75" s="794">
        <v>34.734690000000001</v>
      </c>
      <c r="C75" s="795">
        <v>34.734690000000001</v>
      </c>
      <c r="D75" s="796">
        <v>1</v>
      </c>
      <c r="E75" s="789">
        <v>3.2506192703027466E-2</v>
      </c>
    </row>
    <row r="76" spans="1:5">
      <c r="A76" s="790" t="s">
        <v>542</v>
      </c>
      <c r="B76" s="794">
        <v>16.935220000000001</v>
      </c>
      <c r="C76" s="795">
        <v>50.805660000000003</v>
      </c>
      <c r="D76" s="796">
        <v>3</v>
      </c>
      <c r="E76" s="789">
        <v>1.5848695491111762E-2</v>
      </c>
    </row>
    <row r="77" spans="1:5">
      <c r="A77" s="790" t="s">
        <v>418</v>
      </c>
      <c r="B77" s="791">
        <v>16.935220000000001</v>
      </c>
      <c r="C77" s="792">
        <v>118.54654000000001</v>
      </c>
      <c r="D77" s="793">
        <v>7</v>
      </c>
      <c r="E77" s="789">
        <v>1.5848695491111762E-2</v>
      </c>
    </row>
    <row r="78" spans="1:5">
      <c r="A78" s="790" t="s">
        <v>543</v>
      </c>
      <c r="B78" s="794">
        <v>16.935220000000001</v>
      </c>
      <c r="C78" s="795">
        <v>508.0566</v>
      </c>
      <c r="D78" s="796">
        <v>30</v>
      </c>
      <c r="E78" s="789">
        <v>1.5848695491111762E-2</v>
      </c>
    </row>
    <row r="79" spans="1:5">
      <c r="A79" s="790" t="s">
        <v>544</v>
      </c>
      <c r="B79" s="791">
        <v>16.935220000000001</v>
      </c>
      <c r="C79" s="792">
        <v>67.740880000000004</v>
      </c>
      <c r="D79" s="793">
        <v>4</v>
      </c>
      <c r="E79" s="789">
        <v>1.5848695491111762E-2</v>
      </c>
    </row>
    <row r="80" spans="1:5">
      <c r="A80" s="193" t="s">
        <v>55</v>
      </c>
      <c r="B80" s="794">
        <v>106855.60845999962</v>
      </c>
      <c r="C80" s="794">
        <v>886621.04319999984</v>
      </c>
      <c r="D80" s="797">
        <v>8.2973748966288277</v>
      </c>
      <c r="E80" s="794">
        <v>100</v>
      </c>
    </row>
    <row r="83" spans="1:1">
      <c r="A83" s="234" t="s">
        <v>445</v>
      </c>
    </row>
  </sheetData>
  <sortState ref="A12:E79">
    <sortCondition descending="1" ref="B12:B79"/>
  </sortState>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V35"/>
  <sheetViews>
    <sheetView showGridLines="0" zoomScale="85" zoomScaleNormal="85" workbookViewId="0">
      <selection activeCell="E10" sqref="E10"/>
    </sheetView>
  </sheetViews>
  <sheetFormatPr baseColWidth="10" defaultColWidth="11.42578125" defaultRowHeight="12.75"/>
  <cols>
    <col min="1" max="1" width="27.42578125" style="2" customWidth="1"/>
    <col min="2" max="6" width="19.42578125" style="2" customWidth="1"/>
    <col min="7" max="10" width="19.42578125" style="7" customWidth="1"/>
    <col min="11" max="12" width="19.42578125" style="1426" customWidth="1"/>
    <col min="13" max="13" width="19.85546875" style="1426" customWidth="1"/>
    <col min="14" max="16384" width="11.42578125" style="2"/>
  </cols>
  <sheetData>
    <row r="1" spans="1:13" s="1423" customFormat="1" ht="18.75">
      <c r="A1" s="2587" t="s">
        <v>77</v>
      </c>
      <c r="B1" s="2587"/>
      <c r="C1" s="2587"/>
      <c r="D1" s="2587"/>
      <c r="E1" s="2587"/>
      <c r="F1" s="2587"/>
      <c r="G1" s="2588"/>
      <c r="H1" s="2588"/>
      <c r="I1" s="2588"/>
      <c r="J1" s="2588"/>
      <c r="K1" s="2589"/>
      <c r="L1" s="2589"/>
      <c r="M1" s="1424"/>
    </row>
    <row r="2" spans="1:13">
      <c r="A2" s="2132"/>
      <c r="B2" s="2132"/>
      <c r="C2" s="2132"/>
      <c r="D2" s="2132"/>
      <c r="E2" s="2132"/>
      <c r="F2" s="2132"/>
      <c r="G2" s="2590"/>
      <c r="H2" s="2590"/>
      <c r="I2" s="2590"/>
      <c r="J2" s="2590"/>
      <c r="K2" s="2591"/>
      <c r="L2" s="2591"/>
    </row>
    <row r="3" spans="1:13">
      <c r="A3" s="2132"/>
      <c r="B3" s="2132"/>
      <c r="C3" s="2132"/>
      <c r="D3" s="2132"/>
      <c r="E3" s="2132"/>
      <c r="F3" s="2132"/>
      <c r="G3" s="2590"/>
      <c r="H3" s="2590"/>
      <c r="I3" s="2590"/>
      <c r="J3" s="2590"/>
      <c r="K3" s="2591"/>
      <c r="L3" s="2591"/>
    </row>
    <row r="4" spans="1:13" s="1423" customFormat="1" ht="18.75">
      <c r="A4" s="2587" t="s">
        <v>78</v>
      </c>
      <c r="B4" s="2587"/>
      <c r="C4" s="2587"/>
      <c r="D4" s="2587"/>
      <c r="E4" s="2587"/>
      <c r="F4" s="2587"/>
      <c r="G4" s="2588"/>
      <c r="H4" s="2588"/>
      <c r="I4" s="2588"/>
      <c r="J4" s="2588"/>
      <c r="K4" s="2589"/>
      <c r="L4" s="2589"/>
      <c r="M4" s="1424"/>
    </row>
    <row r="5" spans="1:13" ht="13.5" thickBot="1">
      <c r="A5" s="2132"/>
      <c r="B5" s="2132"/>
      <c r="C5" s="2132"/>
      <c r="D5" s="2132"/>
      <c r="E5" s="2132"/>
      <c r="F5" s="2132"/>
      <c r="G5" s="2590"/>
      <c r="H5" s="2590"/>
      <c r="I5" s="2590"/>
      <c r="J5" s="2590"/>
      <c r="K5" s="2591"/>
      <c r="L5" s="2591"/>
    </row>
    <row r="6" spans="1:13" ht="13.5" thickBot="1">
      <c r="A6" s="2573" t="s">
        <v>70</v>
      </c>
      <c r="B6" s="2562" t="s">
        <v>0</v>
      </c>
      <c r="C6" s="2562" t="s">
        <v>1</v>
      </c>
      <c r="D6" s="2562" t="s">
        <v>2</v>
      </c>
      <c r="E6" s="2562" t="s">
        <v>3</v>
      </c>
      <c r="F6" s="2562" t="s">
        <v>35</v>
      </c>
      <c r="G6" s="2562" t="s">
        <v>36</v>
      </c>
      <c r="H6" s="2562" t="s">
        <v>360</v>
      </c>
      <c r="I6" s="2562" t="s">
        <v>363</v>
      </c>
      <c r="J6" s="2562" t="s">
        <v>907</v>
      </c>
      <c r="K6" s="2562" t="s">
        <v>1083</v>
      </c>
      <c r="L6" s="2562" t="s">
        <v>1084</v>
      </c>
      <c r="M6" s="6"/>
    </row>
    <row r="7" spans="1:13" ht="13.5" thickBot="1">
      <c r="A7" s="2573"/>
      <c r="B7" s="2574">
        <v>2008</v>
      </c>
      <c r="C7" s="2574">
        <v>2009</v>
      </c>
      <c r="D7" s="2574">
        <v>2010</v>
      </c>
      <c r="E7" s="2574">
        <v>2011</v>
      </c>
      <c r="F7" s="2574">
        <v>2012</v>
      </c>
      <c r="G7" s="2574">
        <v>2013</v>
      </c>
      <c r="H7" s="2574">
        <v>2014</v>
      </c>
      <c r="I7" s="2574">
        <v>2015</v>
      </c>
      <c r="J7" s="2574">
        <v>2016</v>
      </c>
      <c r="K7" s="2574">
        <v>2017</v>
      </c>
      <c r="L7" s="2574">
        <v>2018</v>
      </c>
      <c r="M7" s="6"/>
    </row>
    <row r="8" spans="1:13">
      <c r="A8" s="618" t="s">
        <v>71</v>
      </c>
      <c r="B8" s="2564">
        <v>501.31253194073895</v>
      </c>
      <c r="C8" s="2564">
        <v>540.06151763889739</v>
      </c>
      <c r="D8" s="2564">
        <v>443.1120525773934</v>
      </c>
      <c r="E8" s="2564">
        <v>541.17728073182786</v>
      </c>
      <c r="F8" s="2564">
        <v>573.84788016827667</v>
      </c>
      <c r="G8" s="2564">
        <v>509.43308012057526</v>
      </c>
      <c r="H8" s="2564">
        <v>644.95821161471667</v>
      </c>
      <c r="I8" s="2564">
        <v>548.48561736122952</v>
      </c>
      <c r="J8" s="2564">
        <f t="shared" ref="J8:J12" si="0">I8*4%+I8</f>
        <v>570.42504205567866</v>
      </c>
      <c r="K8" s="2564">
        <f t="shared" ref="K8:L8" si="1">J8*3%+J8</f>
        <v>587.53779331734904</v>
      </c>
      <c r="L8" s="2564">
        <f t="shared" si="1"/>
        <v>605.16392711686956</v>
      </c>
      <c r="M8" s="46"/>
    </row>
    <row r="9" spans="1:13">
      <c r="A9" s="618" t="s">
        <v>72</v>
      </c>
      <c r="B9" s="2564">
        <v>429.77568458449502</v>
      </c>
      <c r="C9" s="2564">
        <v>755.02154873755273</v>
      </c>
      <c r="D9" s="2564">
        <v>646.68246306612411</v>
      </c>
      <c r="E9" s="2564">
        <v>624.67302431790165</v>
      </c>
      <c r="F9" s="2564">
        <v>528.50040204381787</v>
      </c>
      <c r="G9" s="2564">
        <v>540.52519104434077</v>
      </c>
      <c r="H9" s="2564">
        <v>559.54546215290986</v>
      </c>
      <c r="I9" s="2564">
        <v>602.98696392941406</v>
      </c>
      <c r="J9" s="2564">
        <f t="shared" si="0"/>
        <v>627.10644248659059</v>
      </c>
      <c r="K9" s="2564">
        <f t="shared" ref="K9:L9" si="2">J9*3%+J9</f>
        <v>645.91963576118826</v>
      </c>
      <c r="L9" s="2564">
        <f t="shared" si="2"/>
        <v>665.29722483402395</v>
      </c>
      <c r="M9" s="46"/>
    </row>
    <row r="10" spans="1:13">
      <c r="A10" s="618" t="s">
        <v>73</v>
      </c>
      <c r="B10" s="2564">
        <v>556.57603960511847</v>
      </c>
      <c r="C10" s="2564">
        <v>741.24866132766579</v>
      </c>
      <c r="D10" s="2564">
        <v>352.48711754247603</v>
      </c>
      <c r="E10" s="2564">
        <v>926.42635968693673</v>
      </c>
      <c r="F10" s="2564">
        <v>415.21854612361483</v>
      </c>
      <c r="G10" s="2564">
        <v>697.5792621223311</v>
      </c>
      <c r="H10" s="2564">
        <v>535.9804139834406</v>
      </c>
      <c r="I10" s="2564">
        <v>742.39515873030859</v>
      </c>
      <c r="J10" s="2564">
        <f t="shared" si="0"/>
        <v>772.09096507952097</v>
      </c>
      <c r="K10" s="2564">
        <f t="shared" ref="K10:L10" si="3">J10*3%+J10</f>
        <v>795.25369403190655</v>
      </c>
      <c r="L10" s="2564">
        <f t="shared" si="3"/>
        <v>819.11130485286378</v>
      </c>
      <c r="M10" s="46"/>
    </row>
    <row r="11" spans="1:13">
      <c r="A11" s="618" t="s">
        <v>74</v>
      </c>
      <c r="B11" s="2564">
        <v>1448.3943205891428</v>
      </c>
      <c r="C11" s="2564">
        <v>0</v>
      </c>
      <c r="D11" s="2564">
        <v>0</v>
      </c>
      <c r="E11" s="2564">
        <v>494.3212197159566</v>
      </c>
      <c r="F11" s="2564">
        <v>300.04699000867583</v>
      </c>
      <c r="G11" s="2564">
        <v>162.5</v>
      </c>
      <c r="H11" s="2564"/>
      <c r="I11" s="2564" t="s">
        <v>443</v>
      </c>
      <c r="J11" s="2564"/>
      <c r="K11" s="2564"/>
      <c r="L11" s="2564"/>
      <c r="M11" s="46"/>
    </row>
    <row r="12" spans="1:13">
      <c r="A12" s="618" t="s">
        <v>75</v>
      </c>
      <c r="B12" s="2564">
        <v>360.9099118635379</v>
      </c>
      <c r="C12" s="2564">
        <v>737.23080498817126</v>
      </c>
      <c r="D12" s="2564">
        <v>620.99999999999989</v>
      </c>
      <c r="E12" s="2564">
        <v>927.82718771693419</v>
      </c>
      <c r="F12" s="2564">
        <v>420.75713000845218</v>
      </c>
      <c r="G12" s="2564">
        <v>396.4551588243184</v>
      </c>
      <c r="H12" s="2564">
        <v>457.93877679697351</v>
      </c>
      <c r="I12" s="2564">
        <v>409.58582429036596</v>
      </c>
      <c r="J12" s="2564">
        <f t="shared" si="0"/>
        <v>425.9692572619806</v>
      </c>
      <c r="K12" s="2564">
        <f t="shared" ref="K12:L12" si="4">J12*3%+J12</f>
        <v>438.74833497984002</v>
      </c>
      <c r="L12" s="2564">
        <f t="shared" si="4"/>
        <v>451.91078502923523</v>
      </c>
      <c r="M12" s="46"/>
    </row>
    <row r="13" spans="1:13">
      <c r="A13" s="618" t="s">
        <v>76</v>
      </c>
      <c r="B13" s="2564"/>
      <c r="C13" s="2564"/>
      <c r="D13" s="2564"/>
      <c r="E13" s="2564"/>
      <c r="F13" s="2564"/>
      <c r="G13" s="2564">
        <v>765.89216789964632</v>
      </c>
      <c r="H13" s="2564"/>
      <c r="I13" s="2564" t="s">
        <v>443</v>
      </c>
      <c r="J13" s="2564"/>
      <c r="K13" s="2564"/>
      <c r="L13" s="2564"/>
      <c r="M13" s="46"/>
    </row>
    <row r="14" spans="1:13">
      <c r="A14" s="2575" t="s">
        <v>1166</v>
      </c>
      <c r="B14" s="2572">
        <v>486.69833267835998</v>
      </c>
      <c r="C14" s="2572">
        <v>612.29928589716724</v>
      </c>
      <c r="D14" s="2572">
        <v>485.41117738443114</v>
      </c>
      <c r="E14" s="2572">
        <v>577.37172124191443</v>
      </c>
      <c r="F14" s="2572">
        <v>556.90718760898835</v>
      </c>
      <c r="G14" s="2572">
        <v>518.4455582456535</v>
      </c>
      <c r="H14" s="2572">
        <v>622.17051699405158</v>
      </c>
      <c r="I14" s="2572">
        <v>565.25786036732552</v>
      </c>
      <c r="J14" s="2572">
        <v>759.82</v>
      </c>
      <c r="K14" s="2572">
        <f>J14</f>
        <v>759.82</v>
      </c>
      <c r="L14" s="2572">
        <f>J14</f>
        <v>759.82</v>
      </c>
      <c r="M14" s="46"/>
    </row>
    <row r="15" spans="1:13">
      <c r="A15" s="618"/>
      <c r="B15" s="2564"/>
      <c r="C15" s="2564"/>
      <c r="D15" s="2564"/>
      <c r="E15" s="2564"/>
      <c r="F15" s="2564"/>
      <c r="G15" s="2564"/>
      <c r="H15" s="2564"/>
      <c r="I15" s="2564"/>
      <c r="J15" s="2564"/>
      <c r="K15" s="2564"/>
      <c r="L15" s="2564"/>
      <c r="M15" s="46"/>
    </row>
    <row r="16" spans="1:13" ht="13.5" thickBot="1">
      <c r="A16" s="618"/>
      <c r="B16" s="2565"/>
      <c r="C16" s="2565"/>
      <c r="D16" s="2565"/>
      <c r="E16" s="2565"/>
      <c r="F16" s="2565"/>
      <c r="G16" s="2565"/>
      <c r="H16" s="2565"/>
      <c r="I16" s="2565"/>
      <c r="J16" s="2565"/>
      <c r="K16" s="2565"/>
      <c r="L16" s="2565"/>
      <c r="M16" s="7"/>
    </row>
    <row r="17" spans="1:48" ht="13.5" thickBot="1">
      <c r="A17" s="2570" t="s">
        <v>1167</v>
      </c>
      <c r="B17" s="2571">
        <f t="shared" ref="B17:I17" si="5">B14*B25</f>
        <v>229477777.15951404</v>
      </c>
      <c r="C17" s="2571">
        <f t="shared" si="5"/>
        <v>282799609.68089515</v>
      </c>
      <c r="D17" s="2571">
        <f t="shared" si="5"/>
        <v>230192173.95042232</v>
      </c>
      <c r="E17" s="2571">
        <f t="shared" si="5"/>
        <v>281398274.75544178</v>
      </c>
      <c r="F17" s="2571">
        <f t="shared" si="5"/>
        <v>297086594.48751569</v>
      </c>
      <c r="G17" s="2571">
        <f t="shared" si="5"/>
        <v>326080481.42306972</v>
      </c>
      <c r="H17" s="2571">
        <f t="shared" si="5"/>
        <v>437395206.00457317</v>
      </c>
      <c r="I17" s="2571">
        <f t="shared" si="5"/>
        <v>402959327.72507793</v>
      </c>
      <c r="J17" s="2571">
        <f>+J14*J25</f>
        <v>476882787.32000005</v>
      </c>
      <c r="K17" s="2571">
        <f>K14*K25</f>
        <v>496110032.42000002</v>
      </c>
      <c r="L17" s="2571">
        <f>(L14*L25)-((L14*L25)*L16)</f>
        <v>526169271.44000006</v>
      </c>
      <c r="M17" s="237"/>
    </row>
    <row r="18" spans="1:48" ht="13.5" thickBot="1">
      <c r="A18" s="239" t="s">
        <v>362</v>
      </c>
      <c r="B18" s="2566">
        <f t="shared" ref="B18:H18" si="6">B17/1000000</f>
        <v>229.47777715951403</v>
      </c>
      <c r="C18" s="2566">
        <f t="shared" si="6"/>
        <v>282.79960968089517</v>
      </c>
      <c r="D18" s="2566">
        <f t="shared" si="6"/>
        <v>230.19217395042233</v>
      </c>
      <c r="E18" s="2566">
        <f t="shared" si="6"/>
        <v>281.39827475544178</v>
      </c>
      <c r="F18" s="2566">
        <f t="shared" si="6"/>
        <v>297.0865944875157</v>
      </c>
      <c r="G18" s="2566">
        <f t="shared" si="6"/>
        <v>326.08048142306973</v>
      </c>
      <c r="H18" s="2566">
        <f t="shared" si="6"/>
        <v>437.39520600457314</v>
      </c>
      <c r="I18" s="2566">
        <f>I17/1000000</f>
        <v>402.95932772507791</v>
      </c>
      <c r="J18" s="2566">
        <f>+J17/1000000</f>
        <v>476.88278732000003</v>
      </c>
      <c r="K18" s="2566">
        <f t="shared" ref="K18:L18" si="7">+K17/1000000</f>
        <v>496.11003242000004</v>
      </c>
      <c r="L18" s="2566">
        <f t="shared" si="7"/>
        <v>526.1692714400001</v>
      </c>
      <c r="M18" s="238"/>
    </row>
    <row r="19" spans="1:48">
      <c r="A19" s="2592" t="s">
        <v>932</v>
      </c>
      <c r="B19" s="2593"/>
      <c r="C19" s="2593">
        <f t="shared" ref="C19:I19" si="8">C18/B18-1</f>
        <v>0.23236163946418298</v>
      </c>
      <c r="D19" s="2593">
        <f t="shared" si="8"/>
        <v>-0.18602372114245103</v>
      </c>
      <c r="E19" s="2593">
        <f t="shared" si="8"/>
        <v>0.22244935579802982</v>
      </c>
      <c r="F19" s="2593">
        <f t="shared" si="8"/>
        <v>5.5751300343644061E-2</v>
      </c>
      <c r="G19" s="2593">
        <f t="shared" si="8"/>
        <v>9.7594060026738871E-2</v>
      </c>
      <c r="H19" s="2593">
        <f t="shared" si="8"/>
        <v>0.34137193399527432</v>
      </c>
      <c r="I19" s="2593">
        <f t="shared" si="8"/>
        <v>-7.8729436918280271E-2</v>
      </c>
      <c r="J19" s="2593">
        <f t="shared" ref="J19" si="9">J18/I18-1</f>
        <v>0.18345141682725097</v>
      </c>
      <c r="K19" s="2593">
        <f>K18/J18-1</f>
        <v>4.0318597381242993E-2</v>
      </c>
      <c r="L19" s="2593">
        <f t="shared" ref="L19" si="10">L18/K18-1</f>
        <v>6.0589863247418219E-2</v>
      </c>
      <c r="M19" s="5"/>
    </row>
    <row r="20" spans="1:48">
      <c r="A20" s="2576" t="s">
        <v>1165</v>
      </c>
      <c r="B20" s="2565"/>
      <c r="C20" s="2565"/>
      <c r="D20" s="2565"/>
      <c r="E20" s="2565"/>
      <c r="F20" s="2565"/>
      <c r="G20" s="2565"/>
      <c r="H20" s="2565">
        <f>H18/D18-1</f>
        <v>0.90013065387173929</v>
      </c>
      <c r="I20" s="2565">
        <f>I18/B18-1</f>
        <v>0.75598409882179496</v>
      </c>
      <c r="J20" s="2565"/>
      <c r="K20" s="2565"/>
      <c r="L20" s="2565"/>
      <c r="M20" s="7"/>
    </row>
    <row r="21" spans="1:48">
      <c r="A21" s="618" t="s">
        <v>79</v>
      </c>
      <c r="B21" s="2565"/>
      <c r="C21" s="2565"/>
      <c r="D21" s="2565"/>
      <c r="E21" s="2565"/>
      <c r="F21" s="2565"/>
      <c r="G21" s="2565"/>
      <c r="H21" s="2565"/>
      <c r="I21" s="2565"/>
      <c r="J21" s="2565"/>
      <c r="K21" s="2565"/>
      <c r="L21" s="2565"/>
      <c r="M21" s="7"/>
    </row>
    <row r="22" spans="1:48">
      <c r="A22" s="618"/>
      <c r="B22" s="2565"/>
      <c r="C22" s="2565"/>
      <c r="D22" s="2565"/>
      <c r="E22" s="2565"/>
      <c r="F22" s="2565"/>
      <c r="G22" s="2565"/>
      <c r="H22" s="2565"/>
      <c r="I22" s="2565"/>
      <c r="J22" s="2565"/>
      <c r="K22" s="2565"/>
      <c r="L22" s="2565"/>
      <c r="M22" s="7"/>
    </row>
    <row r="23" spans="1:48">
      <c r="A23" s="2577">
        <v>2007</v>
      </c>
      <c r="B23" s="2563">
        <v>2008</v>
      </c>
      <c r="C23" s="2563">
        <v>2009</v>
      </c>
      <c r="D23" s="2563">
        <v>2010</v>
      </c>
      <c r="E23" s="2563">
        <v>2011</v>
      </c>
      <c r="F23" s="2563">
        <v>2012</v>
      </c>
      <c r="G23" s="2563">
        <v>2013</v>
      </c>
      <c r="H23" s="2563">
        <v>2014</v>
      </c>
      <c r="I23" s="2563" t="s">
        <v>361</v>
      </c>
      <c r="J23" s="2563">
        <v>2016</v>
      </c>
      <c r="K23" s="2563">
        <v>2017</v>
      </c>
      <c r="L23" s="2563">
        <v>2018</v>
      </c>
      <c r="M23" s="6"/>
    </row>
    <row r="24" spans="1:48" s="6" customFormat="1">
      <c r="A24" s="2577" t="s">
        <v>49</v>
      </c>
      <c r="B24" s="2563" t="s">
        <v>49</v>
      </c>
      <c r="C24" s="2563" t="s">
        <v>49</v>
      </c>
      <c r="D24" s="2563" t="s">
        <v>49</v>
      </c>
      <c r="E24" s="2563" t="s">
        <v>49</v>
      </c>
      <c r="F24" s="2563" t="s">
        <v>49</v>
      </c>
      <c r="G24" s="2563" t="s">
        <v>49</v>
      </c>
      <c r="H24" s="2563"/>
      <c r="I24" s="2563"/>
      <c r="J24" s="2563" t="s">
        <v>49</v>
      </c>
      <c r="K24" s="2563" t="s">
        <v>49</v>
      </c>
      <c r="L24" s="2563" t="s">
        <v>49</v>
      </c>
    </row>
    <row r="25" spans="1:48" ht="15">
      <c r="A25" s="2578">
        <f>'Llegadas '!B16</f>
        <v>417853</v>
      </c>
      <c r="B25" s="2567">
        <f>'Llegadas '!C16</f>
        <v>471499</v>
      </c>
      <c r="C25" s="2567">
        <f>'Llegadas '!D16</f>
        <v>461865</v>
      </c>
      <c r="D25" s="2567">
        <f>'Llegadas '!E16</f>
        <v>474221</v>
      </c>
      <c r="E25" s="2567">
        <f>'Llegadas '!F16</f>
        <v>487378</v>
      </c>
      <c r="F25" s="2567">
        <f>'Llegadas '!G16</f>
        <v>533458</v>
      </c>
      <c r="G25" s="2567">
        <f>'Llegadas '!H16</f>
        <v>628958</v>
      </c>
      <c r="H25" s="2567">
        <f>'Llegadas '!I16</f>
        <v>703015</v>
      </c>
      <c r="I25" s="2567">
        <f>'Llegadas '!J16</f>
        <v>712877</v>
      </c>
      <c r="J25" s="2567">
        <f>'Llegadas '!K16</f>
        <v>627626</v>
      </c>
      <c r="K25" s="2567">
        <f>'Llegadas '!L16</f>
        <v>652931</v>
      </c>
      <c r="L25" s="2567">
        <f>'Llegadas '!M16</f>
        <v>692492</v>
      </c>
      <c r="M25" s="8" t="s">
        <v>190</v>
      </c>
      <c r="Y25" s="3982" t="s">
        <v>340</v>
      </c>
      <c r="Z25" s="3982"/>
      <c r="AA25" s="3982"/>
      <c r="AB25" s="3982"/>
      <c r="AC25" s="3982"/>
      <c r="AP25" s="1439" t="s">
        <v>910</v>
      </c>
    </row>
    <row r="26" spans="1:48" ht="15.75" thickBot="1">
      <c r="A26" s="618"/>
      <c r="B26" s="2565"/>
      <c r="C26" s="2565"/>
      <c r="D26" s="2565"/>
      <c r="E26" s="2565"/>
      <c r="F26" s="2565"/>
      <c r="G26" s="2565"/>
      <c r="H26" s="2565"/>
      <c r="I26" s="2565"/>
      <c r="J26" s="2565"/>
      <c r="K26" s="2565"/>
      <c r="L26" s="2565"/>
      <c r="M26" s="1947"/>
      <c r="Y26" s="3982" t="s">
        <v>341</v>
      </c>
      <c r="Z26" s="3982"/>
      <c r="AA26" s="3982"/>
      <c r="AB26" s="3982"/>
      <c r="AC26" s="3982"/>
      <c r="AG26" s="3982" t="s">
        <v>353</v>
      </c>
      <c r="AH26" s="3982"/>
      <c r="AI26" s="3982"/>
      <c r="AJ26" s="3982"/>
      <c r="AK26" s="3982"/>
      <c r="AL26" s="3982"/>
      <c r="AM26" s="3982"/>
      <c r="AP26" s="3982" t="s">
        <v>909</v>
      </c>
      <c r="AQ26" s="3982"/>
      <c r="AR26" s="3982"/>
      <c r="AS26" s="3982"/>
      <c r="AT26" s="3982"/>
      <c r="AU26" s="3982"/>
      <c r="AV26" s="3982"/>
    </row>
    <row r="27" spans="1:48" ht="15.75" thickBot="1">
      <c r="A27" s="2579"/>
      <c r="B27" s="2568">
        <f t="shared" ref="B27:I27" si="11">B14*B25</f>
        <v>229477777.15951404</v>
      </c>
      <c r="C27" s="2568">
        <f t="shared" si="11"/>
        <v>282799609.68089515</v>
      </c>
      <c r="D27" s="2568">
        <f t="shared" si="11"/>
        <v>230192173.95042232</v>
      </c>
      <c r="E27" s="2568">
        <f t="shared" si="11"/>
        <v>281398274.75544178</v>
      </c>
      <c r="F27" s="2568">
        <f t="shared" si="11"/>
        <v>297086594.48751569</v>
      </c>
      <c r="G27" s="2568">
        <f t="shared" si="11"/>
        <v>326080481.42306972</v>
      </c>
      <c r="H27" s="2568">
        <f t="shared" si="11"/>
        <v>437395206.00457317</v>
      </c>
      <c r="I27" s="2568">
        <f t="shared" si="11"/>
        <v>402959327.72507793</v>
      </c>
      <c r="J27" s="2568">
        <f>+J17</f>
        <v>476882787.32000005</v>
      </c>
      <c r="K27" s="2568">
        <f t="shared" ref="K27:L27" si="12">+K17</f>
        <v>496110032.42000002</v>
      </c>
      <c r="L27" s="2568">
        <f t="shared" si="12"/>
        <v>526169271.44000006</v>
      </c>
      <c r="M27" s="1948"/>
      <c r="AG27" s="3982" t="s">
        <v>341</v>
      </c>
      <c r="AH27" s="3982"/>
      <c r="AI27" s="3982"/>
      <c r="AJ27" s="3982"/>
      <c r="AK27" s="3982"/>
      <c r="AL27" s="3982"/>
      <c r="AM27" s="3982"/>
      <c r="AP27" s="3982" t="s">
        <v>341</v>
      </c>
      <c r="AQ27" s="3982"/>
      <c r="AR27" s="3982"/>
      <c r="AS27" s="3982"/>
      <c r="AT27" s="3982"/>
      <c r="AU27" s="3982"/>
      <c r="AV27" s="3982"/>
    </row>
    <row r="28" spans="1:48">
      <c r="I28" s="2569"/>
      <c r="J28" s="2569"/>
      <c r="K28" s="2569"/>
      <c r="L28" s="2569"/>
      <c r="M28" s="1425"/>
    </row>
    <row r="29" spans="1:48">
      <c r="I29" s="6"/>
      <c r="J29" s="6"/>
      <c r="K29" s="6"/>
      <c r="L29" s="6"/>
      <c r="M29" s="1425"/>
    </row>
    <row r="30" spans="1:48">
      <c r="I30" s="6"/>
      <c r="J30" s="6"/>
      <c r="K30" s="6"/>
      <c r="L30" s="6"/>
    </row>
    <row r="35" spans="15:15" ht="15">
      <c r="O35" s="234" t="s">
        <v>908</v>
      </c>
    </row>
  </sheetData>
  <mergeCells count="6">
    <mergeCell ref="AG26:AM26"/>
    <mergeCell ref="Y25:AC25"/>
    <mergeCell ref="Y26:AC26"/>
    <mergeCell ref="AG27:AM27"/>
    <mergeCell ref="AP26:AV26"/>
    <mergeCell ref="AP27:AV27"/>
  </mergeCells>
  <pageMargins left="0.70866141732283472" right="0.70866141732283472" top="0.74803149606299213" bottom="0.74803149606299213" header="0.31496062992125984" footer="0.31496062992125984"/>
  <pageSetup scale="17"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9"/>
  <sheetViews>
    <sheetView showGridLines="0" zoomScale="85" zoomScaleNormal="85" workbookViewId="0">
      <selection activeCell="B6" sqref="B6"/>
    </sheetView>
  </sheetViews>
  <sheetFormatPr baseColWidth="10" defaultRowHeight="15"/>
  <cols>
    <col min="1" max="1" width="31.42578125" customWidth="1"/>
    <col min="9" max="9" width="11.42578125" style="65"/>
    <col min="10" max="10" width="11.42578125" style="1442"/>
  </cols>
  <sheetData>
    <row r="1" spans="1:12">
      <c r="A1" s="1" t="s">
        <v>144</v>
      </c>
      <c r="D1" s="1"/>
      <c r="E1" s="1"/>
      <c r="F1" s="1"/>
      <c r="G1" s="1"/>
      <c r="H1" s="1"/>
      <c r="I1" s="893"/>
      <c r="J1" s="40"/>
      <c r="K1" s="1"/>
    </row>
    <row r="2" spans="1:12">
      <c r="A2" s="1"/>
      <c r="D2" s="1"/>
      <c r="E2" s="1"/>
      <c r="F2" s="1"/>
      <c r="G2" s="1"/>
      <c r="H2" s="1"/>
      <c r="I2" s="893"/>
      <c r="J2" s="40"/>
      <c r="K2" s="1"/>
    </row>
    <row r="3" spans="1:12" ht="24">
      <c r="A3" t="s">
        <v>145</v>
      </c>
      <c r="B3">
        <v>2008</v>
      </c>
      <c r="C3">
        <v>2009</v>
      </c>
      <c r="D3">
        <v>2010</v>
      </c>
      <c r="E3">
        <v>2011</v>
      </c>
      <c r="F3">
        <v>2012</v>
      </c>
      <c r="G3">
        <v>2013</v>
      </c>
      <c r="H3">
        <v>2014</v>
      </c>
      <c r="I3" s="65">
        <v>2015</v>
      </c>
      <c r="J3" s="1442">
        <v>2016</v>
      </c>
      <c r="K3" s="49" t="s">
        <v>171</v>
      </c>
      <c r="L3" s="49" t="s">
        <v>447</v>
      </c>
    </row>
    <row r="4" spans="1:12">
      <c r="B4" t="s">
        <v>4</v>
      </c>
      <c r="C4" t="s">
        <v>146</v>
      </c>
      <c r="D4" t="s">
        <v>147</v>
      </c>
      <c r="E4" t="s">
        <v>148</v>
      </c>
      <c r="F4" t="s">
        <v>4</v>
      </c>
      <c r="G4" t="s">
        <v>4</v>
      </c>
      <c r="H4" t="s">
        <v>148</v>
      </c>
      <c r="I4" s="65" t="s">
        <v>148</v>
      </c>
      <c r="J4" s="1442" t="s">
        <v>912</v>
      </c>
      <c r="K4" s="49" t="s">
        <v>446</v>
      </c>
      <c r="L4" s="49"/>
    </row>
    <row r="5" spans="1:12">
      <c r="A5" s="1" t="s">
        <v>149</v>
      </c>
      <c r="B5" s="1">
        <v>3910853.2765000053</v>
      </c>
      <c r="C5" s="1">
        <v>5809986.776700004</v>
      </c>
      <c r="D5" s="1">
        <v>5488400.1773336418</v>
      </c>
      <c r="E5" s="1">
        <v>5835897.2395500317</v>
      </c>
      <c r="F5" s="1">
        <v>6279741.3443702264</v>
      </c>
      <c r="G5" s="1">
        <v>6944389.8163498146</v>
      </c>
      <c r="H5" s="1">
        <v>8128373.42682995</v>
      </c>
      <c r="I5" s="893">
        <v>9068662</v>
      </c>
      <c r="J5" s="40"/>
      <c r="K5" s="4">
        <f>I5/H5-1</f>
        <v>0.1156797951809605</v>
      </c>
      <c r="L5" s="4">
        <f>I5/$I$17</f>
        <v>0.33993151412278977</v>
      </c>
    </row>
    <row r="6" spans="1:12">
      <c r="A6" s="1" t="s">
        <v>150</v>
      </c>
      <c r="B6" s="1">
        <v>4708173.1426999895</v>
      </c>
      <c r="C6" s="1">
        <v>13026793.35370001</v>
      </c>
      <c r="D6" s="1">
        <v>3876928.5119385687</v>
      </c>
      <c r="E6" s="1">
        <v>3566259.034700017</v>
      </c>
      <c r="F6" s="1">
        <v>4913237.7258098908</v>
      </c>
      <c r="G6" s="1">
        <v>6512344.6845427286</v>
      </c>
      <c r="H6" s="1">
        <v>8160283.4778109426</v>
      </c>
      <c r="I6" s="893">
        <v>5669133</v>
      </c>
      <c r="J6" s="40"/>
      <c r="K6" s="4">
        <f t="shared" ref="K6:K17" si="0">I6/H6-1</f>
        <v>-0.30527744343499352</v>
      </c>
      <c r="L6" s="4">
        <f t="shared" ref="L6:L17" si="1">I6/$I$17</f>
        <v>0.21250289893409563</v>
      </c>
    </row>
    <row r="7" spans="1:12">
      <c r="A7" s="1" t="s">
        <v>151</v>
      </c>
      <c r="B7" s="1">
        <v>2495418.1379000023</v>
      </c>
      <c r="C7" s="1">
        <v>103184.026</v>
      </c>
      <c r="D7" s="1">
        <v>1563761.1174538762</v>
      </c>
      <c r="E7" s="1">
        <v>2935807.2472160137</v>
      </c>
      <c r="F7" s="1">
        <v>2507014.3672151384</v>
      </c>
      <c r="G7" s="1">
        <v>4282595.5165914791</v>
      </c>
      <c r="H7" s="1">
        <v>4109727.1923769698</v>
      </c>
      <c r="I7" s="893">
        <v>2515585</v>
      </c>
      <c r="J7" s="40"/>
      <c r="K7" s="4">
        <f t="shared" si="0"/>
        <v>-0.38789489368878405</v>
      </c>
      <c r="L7" s="4">
        <f t="shared" si="1"/>
        <v>9.4294684039892329E-2</v>
      </c>
    </row>
    <row r="8" spans="1:12">
      <c r="A8" s="1" t="s">
        <v>152</v>
      </c>
      <c r="B8" s="1">
        <v>1269404.9542999996</v>
      </c>
      <c r="C8" s="1">
        <v>336906.72600000002</v>
      </c>
      <c r="D8" s="1">
        <v>947038.59872132749</v>
      </c>
      <c r="E8" s="1">
        <v>1622771.2080000064</v>
      </c>
      <c r="F8" s="1">
        <v>1833776.8422221218</v>
      </c>
      <c r="G8" s="1">
        <v>2540099.1150209731</v>
      </c>
      <c r="H8" s="1">
        <v>2481763.6134149819</v>
      </c>
      <c r="I8" s="893">
        <v>2253492</v>
      </c>
      <c r="J8" s="40"/>
      <c r="K8" s="4">
        <f t="shared" si="0"/>
        <v>-9.1979595550953031E-2</v>
      </c>
      <c r="L8" s="4">
        <f t="shared" si="1"/>
        <v>8.4470338361226138E-2</v>
      </c>
    </row>
    <row r="9" spans="1:12">
      <c r="A9" s="40" t="s">
        <v>153</v>
      </c>
      <c r="B9" s="40">
        <v>16372.794899999992</v>
      </c>
      <c r="C9" s="40">
        <v>1577059.1652000004</v>
      </c>
      <c r="D9" s="40">
        <v>938971.27974674688</v>
      </c>
      <c r="E9" s="40">
        <v>1369050.782600007</v>
      </c>
      <c r="F9" s="40">
        <v>1279128.0306472031</v>
      </c>
      <c r="G9" s="40">
        <v>2208721.9317660895</v>
      </c>
      <c r="H9" s="40">
        <v>2270191.9771659868</v>
      </c>
      <c r="I9" s="893">
        <v>2023573</v>
      </c>
      <c r="J9" s="40"/>
      <c r="K9" s="43">
        <f t="shared" si="0"/>
        <v>-0.1086335339242348</v>
      </c>
      <c r="L9" s="4">
        <f t="shared" si="1"/>
        <v>7.5852009241054091E-2</v>
      </c>
    </row>
    <row r="10" spans="1:12">
      <c r="A10" s="1" t="s">
        <v>154</v>
      </c>
      <c r="B10" s="1">
        <v>2436617.4085999997</v>
      </c>
      <c r="C10" s="1">
        <v>326020.78600000002</v>
      </c>
      <c r="D10" s="1">
        <v>2479234.7203986021</v>
      </c>
      <c r="E10" s="1">
        <v>1515030.267050006</v>
      </c>
      <c r="F10" s="1">
        <v>1622591.4564141741</v>
      </c>
      <c r="G10" s="1">
        <v>1933104.9398758516</v>
      </c>
      <c r="H10" s="1">
        <v>1771306.929985987</v>
      </c>
      <c r="I10" s="893">
        <v>2474440</v>
      </c>
      <c r="J10" s="40"/>
      <c r="K10" s="4">
        <f t="shared" si="0"/>
        <v>0.39695721735790612</v>
      </c>
      <c r="L10" s="4">
        <f t="shared" si="1"/>
        <v>9.2752396748935609E-2</v>
      </c>
    </row>
    <row r="11" spans="1:12">
      <c r="A11" s="40" t="s">
        <v>155</v>
      </c>
      <c r="B11" s="40">
        <v>571980.45250000025</v>
      </c>
      <c r="C11" s="40">
        <v>4269896.1287000012</v>
      </c>
      <c r="D11" s="40">
        <v>585675.844791846</v>
      </c>
      <c r="E11" s="40">
        <v>1489774.5112000094</v>
      </c>
      <c r="F11" s="40">
        <v>1158552.8354420536</v>
      </c>
      <c r="G11" s="40">
        <v>502965.02811722894</v>
      </c>
      <c r="H11" s="40">
        <v>930432.64721899398</v>
      </c>
      <c r="I11" s="893">
        <v>317950</v>
      </c>
      <c r="J11" s="40"/>
      <c r="K11" s="43">
        <f t="shared" si="0"/>
        <v>-0.65827725311409369</v>
      </c>
      <c r="L11" s="4">
        <f t="shared" si="1"/>
        <v>1.1918100477814809E-2</v>
      </c>
    </row>
    <row r="12" spans="1:12">
      <c r="A12" s="1" t="s">
        <v>156</v>
      </c>
      <c r="B12" s="1">
        <v>572582.17480000085</v>
      </c>
      <c r="C12" s="1">
        <v>383443.27199999994</v>
      </c>
      <c r="D12" s="1">
        <v>443839.87787509518</v>
      </c>
      <c r="E12" s="1">
        <v>362722.84660000179</v>
      </c>
      <c r="F12" s="1">
        <v>430565.02630202298</v>
      </c>
      <c r="G12" s="1">
        <v>375183.72901114501</v>
      </c>
      <c r="H12" s="34">
        <v>244512.18601699866</v>
      </c>
      <c r="I12" s="894">
        <v>231636</v>
      </c>
      <c r="J12" s="1443"/>
      <c r="K12" s="4">
        <f t="shared" si="0"/>
        <v>-5.2660712853401459E-2</v>
      </c>
      <c r="L12" s="4">
        <f t="shared" si="1"/>
        <v>8.6826894866460485E-3</v>
      </c>
    </row>
    <row r="13" spans="1:12">
      <c r="A13" s="40" t="s">
        <v>157</v>
      </c>
      <c r="B13" s="40">
        <v>607161.60159999912</v>
      </c>
      <c r="C13" s="40">
        <v>1605627.2738000003</v>
      </c>
      <c r="D13" s="40">
        <v>196008.83551002012</v>
      </c>
      <c r="E13" s="40">
        <v>462108.89110000286</v>
      </c>
      <c r="F13" s="40">
        <v>361815.00757998903</v>
      </c>
      <c r="G13" s="40">
        <v>267119.62353919999</v>
      </c>
      <c r="H13" s="40">
        <v>332266.05306099815</v>
      </c>
      <c r="I13" s="893">
        <v>287799</v>
      </c>
      <c r="J13" s="40"/>
      <c r="K13" s="43">
        <f t="shared" si="0"/>
        <v>-0.13382966045235678</v>
      </c>
      <c r="L13" s="4">
        <f t="shared" si="1"/>
        <v>1.0787914450116761E-2</v>
      </c>
    </row>
    <row r="14" spans="1:12">
      <c r="A14" s="40" t="s">
        <v>158</v>
      </c>
      <c r="B14" s="40">
        <v>108527.23699999998</v>
      </c>
      <c r="C14" s="40">
        <v>253723.78400000004</v>
      </c>
      <c r="D14" s="40">
        <v>166979.75775407004</v>
      </c>
      <c r="E14" s="40">
        <v>496186.45400000212</v>
      </c>
      <c r="F14" s="40">
        <v>242992.9226107107</v>
      </c>
      <c r="G14" s="40">
        <v>264112.79215716157</v>
      </c>
      <c r="H14" s="40">
        <v>511535.41593299707</v>
      </c>
      <c r="I14" s="893">
        <v>282182</v>
      </c>
      <c r="J14" s="40"/>
      <c r="K14" s="43">
        <f t="shared" si="0"/>
        <v>-0.44836273069123855</v>
      </c>
      <c r="L14" s="4">
        <f t="shared" si="1"/>
        <v>1.0577365714831699E-2</v>
      </c>
    </row>
    <row r="15" spans="1:12">
      <c r="A15" s="1" t="s">
        <v>159</v>
      </c>
      <c r="B15" s="1">
        <v>5488454.7948000068</v>
      </c>
      <c r="C15" s="1">
        <v>960592.42180000001</v>
      </c>
      <c r="D15" s="1">
        <v>5687218.6770655941</v>
      </c>
      <c r="E15" s="1">
        <v>5169790.4728000183</v>
      </c>
      <c r="F15" s="1">
        <v>4556712.0010027997</v>
      </c>
      <c r="G15" s="1">
        <v>2796871.2717931238</v>
      </c>
      <c r="H15" s="1">
        <v>3588548.2203679713</v>
      </c>
      <c r="I15" s="893">
        <v>1553457</v>
      </c>
      <c r="J15" s="40"/>
      <c r="K15" s="4">
        <f t="shared" si="0"/>
        <v>-0.56710711279206172</v>
      </c>
      <c r="L15" s="4">
        <f t="shared" si="1"/>
        <v>5.8230088422597137E-2</v>
      </c>
    </row>
    <row r="16" spans="1:12" ht="15.75" thickBot="1">
      <c r="A16" s="1" t="s">
        <v>184</v>
      </c>
      <c r="B16" s="1">
        <f t="shared" ref="B16:I16" si="2">B14+B13+B11+B9</f>
        <v>1304042.0859999994</v>
      </c>
      <c r="C16" s="1">
        <f t="shared" si="2"/>
        <v>7706306.3517000023</v>
      </c>
      <c r="D16" s="1">
        <f t="shared" si="2"/>
        <v>1887635.7178026829</v>
      </c>
      <c r="E16" s="1">
        <f t="shared" si="2"/>
        <v>3817120.6389000211</v>
      </c>
      <c r="F16" s="1">
        <f t="shared" si="2"/>
        <v>3042488.7962799566</v>
      </c>
      <c r="G16" s="1">
        <f t="shared" si="2"/>
        <v>3242919.3755796803</v>
      </c>
      <c r="H16" s="1">
        <f t="shared" si="2"/>
        <v>4044426.093378976</v>
      </c>
      <c r="I16" s="893">
        <f t="shared" si="2"/>
        <v>2911504</v>
      </c>
      <c r="J16" s="40"/>
      <c r="K16" s="4">
        <f t="shared" si="0"/>
        <v>-0.28011937101129203</v>
      </c>
      <c r="L16" s="4">
        <f t="shared" si="1"/>
        <v>0.10913538988381735</v>
      </c>
    </row>
    <row r="17" spans="1:12" ht="15.75" thickBot="1">
      <c r="A17" s="268" t="s">
        <v>33</v>
      </c>
      <c r="B17" s="269">
        <v>22185545.975599959</v>
      </c>
      <c r="C17" s="269">
        <v>28653233.713899985</v>
      </c>
      <c r="D17" s="269">
        <v>22374057.398589883</v>
      </c>
      <c r="E17" s="269">
        <v>24825398.954816137</v>
      </c>
      <c r="F17" s="269">
        <v>25186127.559616279</v>
      </c>
      <c r="G17" s="269">
        <v>28627508.448764794</v>
      </c>
      <c r="H17" s="235">
        <v>32528941.140182778</v>
      </c>
      <c r="I17" s="895">
        <v>26677909</v>
      </c>
      <c r="J17" s="1444"/>
      <c r="K17" s="270">
        <f t="shared" si="0"/>
        <v>-0.17987158312248408</v>
      </c>
      <c r="L17" s="271">
        <f t="shared" si="1"/>
        <v>1</v>
      </c>
    </row>
    <row r="18" spans="1:12">
      <c r="D18" s="1"/>
      <c r="E18" s="1"/>
      <c r="F18" s="1"/>
      <c r="G18" s="4">
        <f>G17/F17-1</f>
        <v>0.1366379520234966</v>
      </c>
      <c r="H18" s="4">
        <f>H17/G17-1</f>
        <v>0.13628264920087108</v>
      </c>
      <c r="I18" s="896">
        <f>I17/H17-1</f>
        <v>-0.17987158312248408</v>
      </c>
      <c r="J18" s="43"/>
      <c r="K18" s="4"/>
    </row>
    <row r="19" spans="1:12">
      <c r="A19" s="234" t="s">
        <v>445</v>
      </c>
    </row>
  </sheetData>
  <sortState ref="A5:K14">
    <sortCondition descending="1" ref="G5:G14"/>
  </sortState>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M11"/>
  <sheetViews>
    <sheetView showGridLines="0" workbookViewId="0">
      <selection activeCell="L9" sqref="L9"/>
    </sheetView>
  </sheetViews>
  <sheetFormatPr baseColWidth="10" defaultColWidth="10.42578125" defaultRowHeight="12.75"/>
  <cols>
    <col min="1" max="1" width="2" style="2" bestFit="1" customWidth="1"/>
    <col min="2" max="2" width="2.7109375" style="2" customWidth="1"/>
    <col min="3" max="3" width="17.85546875" style="2" customWidth="1"/>
    <col min="4" max="9" width="8" style="2" customWidth="1"/>
    <col min="10" max="10" width="9.140625" style="2" customWidth="1"/>
    <col min="11" max="11" width="9.140625" style="871" customWidth="1"/>
    <col min="12" max="12" width="12.140625" style="2" customWidth="1"/>
    <col min="13" max="14" width="8" style="2" customWidth="1"/>
    <col min="15" max="15" width="6.5703125" style="2" customWidth="1"/>
    <col min="16" max="16384" width="10.42578125" style="2"/>
  </cols>
  <sheetData>
    <row r="2" spans="3:13" s="66" customFormat="1" ht="25.5">
      <c r="C2" s="66" t="s">
        <v>177</v>
      </c>
      <c r="D2" s="66" t="s">
        <v>0</v>
      </c>
      <c r="E2" s="66" t="s">
        <v>1</v>
      </c>
      <c r="F2" s="66" t="s">
        <v>2</v>
      </c>
      <c r="G2" s="66" t="s">
        <v>3</v>
      </c>
      <c r="H2" s="66" t="s">
        <v>35</v>
      </c>
      <c r="I2" s="66" t="s">
        <v>36</v>
      </c>
      <c r="J2" s="66" t="s">
        <v>364</v>
      </c>
      <c r="K2" s="897" t="s">
        <v>444</v>
      </c>
      <c r="L2" s="66" t="s">
        <v>447</v>
      </c>
    </row>
    <row r="3" spans="3:13">
      <c r="C3" s="2" t="s">
        <v>88</v>
      </c>
      <c r="D3" s="45">
        <v>560.33759999999995</v>
      </c>
      <c r="E3" s="45">
        <v>533.53880000000015</v>
      </c>
      <c r="F3" s="45">
        <v>1640.234526327001</v>
      </c>
      <c r="G3" s="45">
        <v>622.01129999999989</v>
      </c>
      <c r="H3" s="45">
        <v>803.1498773385</v>
      </c>
      <c r="I3" s="45">
        <v>1295.3380774032905</v>
      </c>
      <c r="J3" s="45">
        <v>838.60681599999998</v>
      </c>
      <c r="K3" s="898">
        <v>470.01564000000008</v>
      </c>
      <c r="L3" s="5">
        <f t="shared" ref="L3:L8" si="0">K3/$K$8</f>
        <v>1.2438868716236702E-2</v>
      </c>
      <c r="M3" s="5"/>
    </row>
    <row r="4" spans="3:13">
      <c r="C4" s="2" t="s">
        <v>89</v>
      </c>
      <c r="D4" s="45">
        <v>7180.6158000000169</v>
      </c>
      <c r="E4" s="45">
        <v>6965.1683999999959</v>
      </c>
      <c r="F4" s="45">
        <v>10024.751165601969</v>
      </c>
      <c r="G4" s="45">
        <v>7652.2977999999885</v>
      </c>
      <c r="H4" s="45">
        <v>10349.163048728327</v>
      </c>
      <c r="I4" s="45">
        <v>12056.738700643897</v>
      </c>
      <c r="J4" s="45">
        <v>10851.122923999985</v>
      </c>
      <c r="K4" s="898">
        <v>7501.4592799999991</v>
      </c>
      <c r="L4" s="5">
        <f t="shared" si="0"/>
        <v>0.19852460050928405</v>
      </c>
      <c r="M4" s="5"/>
    </row>
    <row r="5" spans="3:13">
      <c r="C5" s="2" t="s">
        <v>90</v>
      </c>
      <c r="D5" s="45">
        <v>21673.219400000027</v>
      </c>
      <c r="E5" s="45">
        <v>23749.480399999913</v>
      </c>
      <c r="F5" s="45">
        <v>24892.232297261304</v>
      </c>
      <c r="G5" s="45">
        <v>26046.756200000025</v>
      </c>
      <c r="H5" s="45">
        <v>23574.389833025114</v>
      </c>
      <c r="I5" s="45">
        <v>30755.702317596653</v>
      </c>
      <c r="J5" s="45">
        <v>31844.019048000089</v>
      </c>
      <c r="K5" s="898">
        <v>23129.702250000002</v>
      </c>
      <c r="L5" s="5">
        <f t="shared" si="0"/>
        <v>0.61212288538610038</v>
      </c>
      <c r="M5" s="5"/>
    </row>
    <row r="6" spans="3:13">
      <c r="C6" s="2" t="s">
        <v>91</v>
      </c>
      <c r="D6" s="45">
        <v>16169.826800000008</v>
      </c>
      <c r="E6" s="45">
        <v>15547.821300000007</v>
      </c>
      <c r="F6" s="45">
        <v>9535.7820095919724</v>
      </c>
      <c r="G6" s="45">
        <v>8622.3745999999937</v>
      </c>
      <c r="H6" s="45">
        <v>10498.297240908041</v>
      </c>
      <c r="I6" s="45">
        <v>10913.016987657909</v>
      </c>
      <c r="J6" s="45">
        <v>8749.2511369999957</v>
      </c>
      <c r="K6" s="898">
        <v>6684.8667799999967</v>
      </c>
      <c r="L6" s="5">
        <f t="shared" si="0"/>
        <v>0.17691364538837881</v>
      </c>
      <c r="M6" s="5"/>
    </row>
    <row r="7" spans="3:13">
      <c r="C7" s="2" t="s">
        <v>76</v>
      </c>
      <c r="D7" s="45"/>
      <c r="E7" s="45"/>
      <c r="F7" s="45"/>
      <c r="G7" s="45">
        <v>55</v>
      </c>
      <c r="H7" s="45">
        <v>0</v>
      </c>
      <c r="I7" s="45">
        <v>22.066666666666698</v>
      </c>
      <c r="J7" s="45"/>
      <c r="K7" s="898"/>
      <c r="L7" s="5">
        <f t="shared" si="0"/>
        <v>0</v>
      </c>
      <c r="M7" s="5"/>
    </row>
    <row r="8" spans="3:13">
      <c r="C8" s="2" t="s">
        <v>54</v>
      </c>
      <c r="D8" s="2">
        <v>45583.999599999857</v>
      </c>
      <c r="E8" s="2">
        <v>46796.008900000117</v>
      </c>
      <c r="F8" s="2">
        <v>46092.999998782681</v>
      </c>
      <c r="G8" s="2">
        <v>42998.439900000012</v>
      </c>
      <c r="H8" s="2">
        <v>45224.999999999709</v>
      </c>
      <c r="I8" s="3">
        <v>55042.86274996835</v>
      </c>
      <c r="J8" s="3">
        <v>52282.999924999691</v>
      </c>
      <c r="K8" s="877">
        <f>SUM(K3:K7)</f>
        <v>37786.043949999999</v>
      </c>
      <c r="L8" s="5">
        <f t="shared" si="0"/>
        <v>1</v>
      </c>
      <c r="M8" s="5"/>
    </row>
    <row r="9" spans="3:13" ht="35.25" customHeight="1">
      <c r="I9" s="3983" t="s">
        <v>365</v>
      </c>
      <c r="J9" s="3983"/>
      <c r="K9" s="897" t="s">
        <v>685</v>
      </c>
    </row>
    <row r="11" spans="3:13" ht="15">
      <c r="C11" s="234" t="s">
        <v>684</v>
      </c>
    </row>
  </sheetData>
  <mergeCells count="1">
    <mergeCell ref="I9:J9"/>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9"/>
  <sheetViews>
    <sheetView showGridLines="0" workbookViewId="0">
      <selection activeCell="K1" sqref="K1:K1048576"/>
    </sheetView>
  </sheetViews>
  <sheetFormatPr baseColWidth="10" defaultRowHeight="15"/>
  <cols>
    <col min="1" max="1" width="2" bestFit="1" customWidth="1"/>
    <col min="2" max="2" width="2.140625" customWidth="1"/>
    <col min="3" max="3" width="18.7109375" customWidth="1"/>
    <col min="4" max="4" width="10.7109375" bestFit="1" customWidth="1"/>
    <col min="5" max="5" width="11.5703125" bestFit="1" customWidth="1"/>
    <col min="6" max="6" width="10.5703125" bestFit="1" customWidth="1"/>
    <col min="7" max="8" width="12.85546875" customWidth="1"/>
    <col min="9" max="9" width="10.5703125" bestFit="1" customWidth="1"/>
    <col min="10" max="10" width="11.28515625" bestFit="1" customWidth="1"/>
    <col min="11" max="11" width="11.28515625" style="65" customWidth="1"/>
    <col min="12" max="12" width="15.28515625" customWidth="1"/>
    <col min="13" max="14" width="11" bestFit="1" customWidth="1"/>
  </cols>
  <sheetData>
    <row r="2" spans="3:12" s="61" customFormat="1" ht="30">
      <c r="C2" s="61" t="s">
        <v>93</v>
      </c>
      <c r="D2" s="61" t="s">
        <v>0</v>
      </c>
      <c r="E2" s="61" t="s">
        <v>1</v>
      </c>
      <c r="F2" s="61" t="s">
        <v>2</v>
      </c>
      <c r="G2" s="61" t="s">
        <v>3</v>
      </c>
      <c r="H2" s="61" t="s">
        <v>35</v>
      </c>
      <c r="I2" s="61" t="s">
        <v>36</v>
      </c>
      <c r="J2" s="61" t="s">
        <v>364</v>
      </c>
      <c r="K2" s="880" t="s">
        <v>444</v>
      </c>
      <c r="L2" s="62" t="s">
        <v>421</v>
      </c>
    </row>
    <row r="3" spans="3:12">
      <c r="C3" t="s">
        <v>172</v>
      </c>
      <c r="D3" s="44">
        <v>13831.08239999997</v>
      </c>
      <c r="E3" s="44">
        <v>16187.176299999996</v>
      </c>
      <c r="F3" s="44">
        <v>18185.503135580999</v>
      </c>
      <c r="G3" s="44">
        <v>15775.352999999981</v>
      </c>
      <c r="H3" s="44">
        <v>10917.000000000038</v>
      </c>
      <c r="I3" s="44">
        <v>17775.471720662877</v>
      </c>
      <c r="J3" s="44">
        <v>17881</v>
      </c>
      <c r="K3" s="870">
        <v>17710.827679999977</v>
      </c>
      <c r="L3" s="4">
        <f t="shared" ref="L3:L8" si="0">K3/$K$8</f>
        <v>0.37526121555220571</v>
      </c>
    </row>
    <row r="4" spans="3:12">
      <c r="C4" t="s">
        <v>173</v>
      </c>
      <c r="D4" s="44">
        <v>13913.45870000001</v>
      </c>
      <c r="E4" s="44">
        <v>15683.536800000018</v>
      </c>
      <c r="F4" s="44">
        <v>15032.472342570913</v>
      </c>
      <c r="G4" s="44">
        <v>16088.468499999999</v>
      </c>
      <c r="H4" s="44">
        <v>15672.000000000015</v>
      </c>
      <c r="I4" s="44">
        <v>19079.070803902508</v>
      </c>
      <c r="J4" s="44">
        <v>22509</v>
      </c>
      <c r="K4" s="870">
        <v>17401.311309999968</v>
      </c>
      <c r="L4" s="4">
        <f t="shared" si="0"/>
        <v>0.36870310932825595</v>
      </c>
    </row>
    <row r="5" spans="3:12">
      <c r="C5" t="s">
        <v>174</v>
      </c>
      <c r="D5" s="44">
        <v>9552.1895000000131</v>
      </c>
      <c r="E5" s="44">
        <v>10796.876699999997</v>
      </c>
      <c r="F5" s="44">
        <v>8318.8207691239841</v>
      </c>
      <c r="G5" s="44">
        <v>8752.1476999999832</v>
      </c>
      <c r="H5" s="44">
        <v>12555.000000000002</v>
      </c>
      <c r="I5" s="44">
        <v>13715.396002143205</v>
      </c>
      <c r="J5" s="44">
        <v>8466</v>
      </c>
      <c r="K5" s="870">
        <v>8509.9654400000036</v>
      </c>
      <c r="L5" s="4">
        <f t="shared" si="0"/>
        <v>0.18031116518218343</v>
      </c>
    </row>
    <row r="6" spans="3:12">
      <c r="C6" t="s">
        <v>175</v>
      </c>
      <c r="D6" s="44">
        <v>4267.9005999999963</v>
      </c>
      <c r="E6" s="44">
        <v>3382.4538000000011</v>
      </c>
      <c r="F6" s="44">
        <v>4556.2037515059965</v>
      </c>
      <c r="G6" s="44">
        <v>2381.7707000000009</v>
      </c>
      <c r="H6" s="44">
        <v>6081</v>
      </c>
      <c r="I6" s="44">
        <v>4472.9242232599127</v>
      </c>
      <c r="J6" s="44">
        <v>3427</v>
      </c>
      <c r="K6" s="870">
        <v>3573.8938399999979</v>
      </c>
      <c r="L6" s="4">
        <f t="shared" si="0"/>
        <v>7.5724509937354953E-2</v>
      </c>
    </row>
    <row r="7" spans="3:12">
      <c r="C7" t="s">
        <v>176</v>
      </c>
      <c r="D7" s="44">
        <v>4019.3683999999985</v>
      </c>
      <c r="E7" s="44"/>
      <c r="F7" s="44"/>
      <c r="G7" s="44"/>
      <c r="H7" s="44"/>
      <c r="I7" s="44"/>
      <c r="J7" s="44"/>
      <c r="K7" s="870"/>
      <c r="L7" s="4">
        <f t="shared" si="0"/>
        <v>0</v>
      </c>
    </row>
    <row r="8" spans="3:12">
      <c r="C8" t="s">
        <v>54</v>
      </c>
      <c r="D8" s="44">
        <v>45583.999599999857</v>
      </c>
      <c r="E8" s="44">
        <v>46796.008900000117</v>
      </c>
      <c r="F8" s="44">
        <v>46092.999998782681</v>
      </c>
      <c r="G8" s="44">
        <v>42997.739899999964</v>
      </c>
      <c r="H8" s="44">
        <v>45224.999999999607</v>
      </c>
      <c r="I8" s="44">
        <f>SUM(I3:I7)</f>
        <v>55042.86274996851</v>
      </c>
      <c r="J8" s="44">
        <f>SUM(J3:J7)</f>
        <v>52283</v>
      </c>
      <c r="K8" s="870">
        <f>SUM(K3:K7)</f>
        <v>47195.998269999945</v>
      </c>
      <c r="L8" s="4">
        <f t="shared" si="0"/>
        <v>1</v>
      </c>
    </row>
    <row r="9" spans="3:12">
      <c r="C9" s="234" t="s">
        <v>684</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2:T18"/>
  <sheetViews>
    <sheetView showGridLines="0" zoomScale="90" zoomScaleNormal="90" workbookViewId="0">
      <selection activeCell="U8" sqref="U8"/>
    </sheetView>
  </sheetViews>
  <sheetFormatPr baseColWidth="10" defaultColWidth="11.42578125" defaultRowHeight="15"/>
  <cols>
    <col min="1" max="1" width="29.42578125" style="22" customWidth="1"/>
    <col min="2" max="5" width="11.42578125" style="22" hidden="1" customWidth="1"/>
    <col min="6" max="7" width="11.42578125" style="22" customWidth="1"/>
    <col min="8" max="8" width="13.42578125" style="22" customWidth="1"/>
    <col min="9" max="9" width="12.5703125" style="22" bestFit="1" customWidth="1"/>
    <col min="10" max="13" width="12.5703125" style="22" customWidth="1"/>
    <col min="14" max="16384" width="11.42578125" style="22"/>
  </cols>
  <sheetData>
    <row r="2" spans="1:20" ht="47.25" customHeight="1">
      <c r="A2" s="3778" t="s">
        <v>632</v>
      </c>
      <c r="B2" s="3778"/>
      <c r="C2" s="3778"/>
      <c r="D2" s="3778"/>
      <c r="E2" s="3778"/>
      <c r="F2" s="3778"/>
      <c r="G2" s="3778"/>
      <c r="H2" s="3778"/>
      <c r="I2" s="3778"/>
      <c r="J2" s="3778"/>
      <c r="K2" s="3778"/>
      <c r="L2" s="3778"/>
      <c r="M2" s="3778"/>
      <c r="N2" s="3778"/>
      <c r="O2" s="3778"/>
      <c r="P2" s="3778"/>
      <c r="Q2" s="3778"/>
      <c r="R2" s="3778"/>
      <c r="S2" s="3778"/>
      <c r="T2" s="3778"/>
    </row>
    <row r="3" spans="1:20" ht="15.75" thickBot="1">
      <c r="A3" s="3779" t="s">
        <v>632</v>
      </c>
      <c r="B3" s="3779"/>
      <c r="C3" s="3779"/>
      <c r="D3" s="3779"/>
      <c r="E3" s="3779"/>
      <c r="F3" s="3779"/>
      <c r="G3" s="3779"/>
      <c r="H3" s="3779"/>
      <c r="I3" s="3779"/>
      <c r="J3" s="3779"/>
      <c r="K3" s="3779"/>
      <c r="L3" s="2581"/>
      <c r="M3" s="2581"/>
    </row>
    <row r="4" spans="1:20" s="62" customFormat="1" ht="30.75" thickBot="1">
      <c r="A4" s="541" t="s">
        <v>584</v>
      </c>
      <c r="B4" s="542" t="s">
        <v>594</v>
      </c>
      <c r="C4" s="542" t="s">
        <v>595</v>
      </c>
      <c r="D4" s="542" t="s">
        <v>596</v>
      </c>
      <c r="E4" s="542" t="s">
        <v>597</v>
      </c>
      <c r="F4" s="542" t="s">
        <v>598</v>
      </c>
      <c r="G4" s="542" t="s">
        <v>599</v>
      </c>
      <c r="H4" s="542" t="s">
        <v>600</v>
      </c>
      <c r="I4" s="542" t="s">
        <v>601</v>
      </c>
      <c r="J4" s="1434" t="s">
        <v>905</v>
      </c>
      <c r="K4" s="1427" t="s">
        <v>906</v>
      </c>
      <c r="L4" s="1427" t="s">
        <v>1007</v>
      </c>
      <c r="M4" s="3500" t="s">
        <v>1135</v>
      </c>
    </row>
    <row r="5" spans="1:20" ht="15.75">
      <c r="A5" s="536" t="s">
        <v>754</v>
      </c>
      <c r="B5" s="537">
        <v>4.45</v>
      </c>
      <c r="C5" s="537">
        <v>5.7</v>
      </c>
      <c r="D5" s="537"/>
      <c r="E5" s="537"/>
      <c r="F5" s="537">
        <v>5.87</v>
      </c>
      <c r="G5" s="537">
        <v>5.38</v>
      </c>
      <c r="H5" s="537">
        <v>7.45</v>
      </c>
      <c r="I5" s="537">
        <v>5.92</v>
      </c>
      <c r="J5" s="1435">
        <v>5.53</v>
      </c>
      <c r="K5" s="1428">
        <v>4.8682914931280266</v>
      </c>
      <c r="L5" s="1428">
        <v>5.84</v>
      </c>
      <c r="M5" s="3501">
        <f>AVERAGE(H5:L5)</f>
        <v>5.9216582986256059</v>
      </c>
    </row>
    <row r="6" spans="1:20" ht="15.75">
      <c r="A6" s="538" t="s">
        <v>755</v>
      </c>
      <c r="B6" s="535">
        <f>B5*B7</f>
        <v>474.81500000000005</v>
      </c>
      <c r="C6" s="535">
        <f>C5*C7</f>
        <v>551.19000000000005</v>
      </c>
      <c r="D6" s="535"/>
      <c r="E6" s="535"/>
      <c r="F6" s="535">
        <v>537</v>
      </c>
      <c r="G6" s="535">
        <v>572</v>
      </c>
      <c r="H6" s="535">
        <v>666</v>
      </c>
      <c r="I6" s="535">
        <v>446</v>
      </c>
      <c r="J6" s="1436">
        <v>631</v>
      </c>
      <c r="K6" s="1429">
        <v>550.08828863600218</v>
      </c>
      <c r="L6" s="1429">
        <v>690</v>
      </c>
      <c r="M6" s="3502">
        <f t="shared" ref="M6" si="0">AVERAGE(H6:L6)</f>
        <v>596.61765772720048</v>
      </c>
    </row>
    <row r="7" spans="1:20" ht="16.5" thickBot="1">
      <c r="A7" s="539" t="s">
        <v>756</v>
      </c>
      <c r="B7" s="540">
        <v>106.7</v>
      </c>
      <c r="C7" s="540">
        <v>96.7</v>
      </c>
      <c r="D7" s="540"/>
      <c r="E7" s="540"/>
      <c r="F7" s="540">
        <v>91</v>
      </c>
      <c r="G7" s="540">
        <v>106</v>
      </c>
      <c r="H7" s="540">
        <v>89</v>
      </c>
      <c r="I7" s="540">
        <v>75</v>
      </c>
      <c r="J7" s="1437">
        <v>114</v>
      </c>
      <c r="K7" s="1430">
        <v>112.99411496055541</v>
      </c>
      <c r="L7" s="1430">
        <f>L6/L5</f>
        <v>118.15068493150686</v>
      </c>
      <c r="M7" s="3503">
        <f>AVERAGE(H7:L7)</f>
        <v>101.82895997841246</v>
      </c>
    </row>
    <row r="8" spans="1:20" ht="15.75">
      <c r="A8" s="562"/>
      <c r="B8" s="563"/>
      <c r="C8" s="563"/>
      <c r="D8" s="563"/>
      <c r="E8" s="563"/>
      <c r="F8" s="563"/>
      <c r="G8" s="982">
        <f t="shared" ref="G8:M10" si="1">G5/F5-1</f>
        <v>-8.3475298126064801E-2</v>
      </c>
      <c r="H8" s="982">
        <f t="shared" si="1"/>
        <v>0.38475836431226762</v>
      </c>
      <c r="I8" s="982">
        <f t="shared" si="1"/>
        <v>-0.2053691275167786</v>
      </c>
      <c r="J8" s="1438">
        <f t="shared" si="1"/>
        <v>-6.5878378378378288E-2</v>
      </c>
      <c r="K8" s="1431">
        <f t="shared" si="1"/>
        <v>-0.11965795784303324</v>
      </c>
      <c r="L8" s="1431">
        <f t="shared" si="1"/>
        <v>0.19959949157596979</v>
      </c>
      <c r="M8" s="3504">
        <f t="shared" si="1"/>
        <v>1.3982585381096868E-2</v>
      </c>
    </row>
    <row r="9" spans="1:20" ht="15.75">
      <c r="A9" s="562"/>
      <c r="B9" s="563"/>
      <c r="C9" s="563"/>
      <c r="D9" s="563"/>
      <c r="E9" s="563"/>
      <c r="F9" s="563"/>
      <c r="G9" s="982">
        <f t="shared" si="1"/>
        <v>6.5176908752327734E-2</v>
      </c>
      <c r="H9" s="982">
        <f t="shared" si="1"/>
        <v>0.16433566433566438</v>
      </c>
      <c r="I9" s="982">
        <f t="shared" si="1"/>
        <v>-0.33033033033033032</v>
      </c>
      <c r="J9" s="1438">
        <f t="shared" si="1"/>
        <v>0.41479820627802688</v>
      </c>
      <c r="K9" s="1431">
        <f t="shared" si="1"/>
        <v>-0.12822775176544821</v>
      </c>
      <c r="L9" s="1431">
        <f t="shared" si="1"/>
        <v>0.25434410121859274</v>
      </c>
      <c r="M9" s="3504">
        <f t="shared" si="1"/>
        <v>-0.13533672793159346</v>
      </c>
    </row>
    <row r="10" spans="1:20">
      <c r="F10" s="33"/>
      <c r="G10" s="982">
        <f t="shared" si="1"/>
        <v>0.16483516483516492</v>
      </c>
      <c r="H10" s="982">
        <f t="shared" si="1"/>
        <v>-0.160377358490566</v>
      </c>
      <c r="I10" s="982">
        <f t="shared" si="1"/>
        <v>-0.15730337078651691</v>
      </c>
      <c r="J10" s="1438">
        <f t="shared" si="1"/>
        <v>0.52</v>
      </c>
      <c r="K10" s="1431">
        <f t="shared" si="1"/>
        <v>-8.8235529775841925E-3</v>
      </c>
      <c r="L10" s="1431">
        <f t="shared" si="1"/>
        <v>4.5635739283869103E-2</v>
      </c>
      <c r="M10" s="3504">
        <f t="shared" si="1"/>
        <v>-0.13814329525517577</v>
      </c>
    </row>
    <row r="11" spans="1:20" ht="55.5">
      <c r="B11" s="534" t="s">
        <v>592</v>
      </c>
      <c r="C11" s="534" t="s">
        <v>590</v>
      </c>
      <c r="D11" s="534"/>
      <c r="E11" s="534"/>
      <c r="F11" s="534" t="s">
        <v>589</v>
      </c>
      <c r="G11" s="534" t="s">
        <v>586</v>
      </c>
      <c r="H11" s="534" t="s">
        <v>587</v>
      </c>
      <c r="I11" s="534" t="s">
        <v>588</v>
      </c>
      <c r="J11" s="534" t="s">
        <v>902</v>
      </c>
      <c r="K11" s="1432"/>
      <c r="L11" s="3674" t="s">
        <v>1443</v>
      </c>
      <c r="M11" s="3674" t="s">
        <v>1443</v>
      </c>
    </row>
    <row r="12" spans="1:20" ht="26.25">
      <c r="A12" s="22" t="s">
        <v>618</v>
      </c>
      <c r="B12" s="533"/>
      <c r="C12" s="532"/>
      <c r="D12" s="532"/>
      <c r="E12" s="532"/>
      <c r="F12" s="532"/>
      <c r="G12" s="532"/>
      <c r="H12" s="532"/>
      <c r="I12" s="532"/>
      <c r="J12" s="532" t="s">
        <v>903</v>
      </c>
      <c r="K12" s="1433" t="s">
        <v>904</v>
      </c>
      <c r="L12" s="1433"/>
      <c r="M12" s="1433"/>
    </row>
    <row r="13" spans="1:20" ht="49.5" customHeight="1">
      <c r="A13" s="3777" t="s">
        <v>593</v>
      </c>
      <c r="B13" s="3777"/>
      <c r="C13" s="3777"/>
      <c r="D13" s="3777"/>
      <c r="E13" s="3777"/>
      <c r="F13" s="3777"/>
      <c r="G13" s="3777"/>
      <c r="H13" s="3777"/>
      <c r="I13" s="3777"/>
      <c r="J13" s="717"/>
      <c r="K13" s="936"/>
      <c r="L13" s="2580"/>
      <c r="M13" s="3161"/>
    </row>
    <row r="14" spans="1:20">
      <c r="A14" s="3777"/>
      <c r="B14" s="3777"/>
      <c r="C14" s="3777"/>
      <c r="D14" s="3777"/>
      <c r="E14" s="3777"/>
      <c r="F14" s="3777"/>
      <c r="G14" s="3777"/>
      <c r="H14" s="3777"/>
      <c r="I14" s="3777"/>
      <c r="J14" s="717"/>
      <c r="K14" s="936"/>
      <c r="L14" s="2580"/>
      <c r="M14" s="3161"/>
    </row>
    <row r="15" spans="1:20" ht="15" customHeight="1">
      <c r="A15" s="3777" t="s">
        <v>591</v>
      </c>
      <c r="B15" s="3777"/>
      <c r="C15" s="3777"/>
      <c r="D15" s="3777"/>
      <c r="E15" s="3777"/>
      <c r="F15" s="3777"/>
      <c r="G15" s="3777"/>
      <c r="H15" s="3777"/>
      <c r="I15" s="3777"/>
      <c r="J15" s="717"/>
      <c r="K15" s="936"/>
      <c r="L15" s="2580"/>
      <c r="M15" s="3161"/>
    </row>
    <row r="16" spans="1:20">
      <c r="A16" s="3777" t="s">
        <v>623</v>
      </c>
      <c r="B16" s="3777"/>
      <c r="C16" s="3777"/>
      <c r="D16" s="3777"/>
      <c r="E16" s="3777"/>
      <c r="F16" s="3777"/>
      <c r="G16" s="3777"/>
      <c r="H16" s="3777"/>
      <c r="I16" s="3777"/>
      <c r="J16" s="717"/>
      <c r="K16" s="936"/>
      <c r="L16" s="2580"/>
      <c r="M16" s="3161"/>
    </row>
    <row r="18" spans="8:13">
      <c r="H18" s="643"/>
      <c r="I18" s="643"/>
      <c r="J18" s="643"/>
      <c r="K18" s="643"/>
      <c r="L18" s="643"/>
      <c r="M18" s="643"/>
    </row>
  </sheetData>
  <mergeCells count="5">
    <mergeCell ref="A15:I15"/>
    <mergeCell ref="A13:I14"/>
    <mergeCell ref="A16:I16"/>
    <mergeCell ref="A2:T2"/>
    <mergeCell ref="A3:K3"/>
  </mergeCells>
  <pageMargins left="0.70866141732283472" right="0.70866141732283472" top="0.74803149606299213" bottom="0.74803149606299213" header="0.31496062992125984" footer="0.31496062992125984"/>
  <pageSetup scale="61" orientation="landscape" verticalDpi="597"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P22"/>
  <sheetViews>
    <sheetView showGridLines="0" topLeftCell="F1" zoomScale="85" zoomScaleNormal="85" workbookViewId="0">
      <selection activeCell="L1" sqref="L1:L1048576"/>
    </sheetView>
  </sheetViews>
  <sheetFormatPr baseColWidth="10" defaultColWidth="11.42578125" defaultRowHeight="12.75"/>
  <cols>
    <col min="1" max="1" width="1.28515625" style="2" customWidth="1"/>
    <col min="2" max="2" width="1.28515625" style="7" customWidth="1"/>
    <col min="3" max="3" width="24.42578125" style="579" customWidth="1"/>
    <col min="4" max="4" width="22.7109375" style="21" customWidth="1"/>
    <col min="5" max="6" width="10" style="2" bestFit="1" customWidth="1"/>
    <col min="7" max="7" width="10.42578125" style="2" bestFit="1" customWidth="1"/>
    <col min="8" max="8" width="11.28515625" style="2" bestFit="1" customWidth="1"/>
    <col min="9" max="10" width="10" style="2" bestFit="1" customWidth="1"/>
    <col min="11" max="11" width="11.28515625" style="2" bestFit="1" customWidth="1"/>
    <col min="12" max="12" width="11.28515625" style="871" customWidth="1"/>
    <col min="13" max="13" width="10" style="2" customWidth="1"/>
    <col min="14" max="14" width="13.140625" style="566" hidden="1" customWidth="1"/>
    <col min="15" max="16" width="12.7109375" style="2" customWidth="1"/>
    <col min="17" max="16384" width="11.42578125" style="2"/>
  </cols>
  <sheetData>
    <row r="1" spans="3:16" ht="25.5">
      <c r="C1" s="579" t="s">
        <v>94</v>
      </c>
    </row>
    <row r="3" spans="3:16" ht="25.5">
      <c r="C3" s="579" t="s">
        <v>95</v>
      </c>
      <c r="E3" s="580" t="s">
        <v>0</v>
      </c>
      <c r="F3" s="581" t="s">
        <v>1</v>
      </c>
      <c r="G3" s="581" t="s">
        <v>2</v>
      </c>
      <c r="H3" s="581" t="s">
        <v>3</v>
      </c>
      <c r="I3" s="581">
        <v>2012</v>
      </c>
      <c r="J3" s="581">
        <v>2013</v>
      </c>
      <c r="K3" s="581">
        <v>2014</v>
      </c>
      <c r="L3" s="872">
        <v>2015</v>
      </c>
      <c r="M3" s="582" t="s">
        <v>627</v>
      </c>
      <c r="N3" s="583">
        <v>2015</v>
      </c>
      <c r="O3" s="3984" t="s">
        <v>626</v>
      </c>
      <c r="P3" s="3984"/>
    </row>
    <row r="4" spans="3:16" ht="25.5">
      <c r="E4" s="584" t="s">
        <v>0</v>
      </c>
      <c r="F4" s="253" t="s">
        <v>1</v>
      </c>
      <c r="G4" s="253" t="s">
        <v>2</v>
      </c>
      <c r="H4" s="253" t="s">
        <v>3</v>
      </c>
      <c r="I4" s="253" t="s">
        <v>35</v>
      </c>
      <c r="J4" s="253" t="s">
        <v>36</v>
      </c>
      <c r="K4" s="253" t="s">
        <v>364</v>
      </c>
      <c r="L4" s="873" t="s">
        <v>363</v>
      </c>
      <c r="M4" s="582"/>
      <c r="N4" s="158" t="s">
        <v>625</v>
      </c>
      <c r="O4" s="3984"/>
      <c r="P4" s="3984"/>
    </row>
    <row r="5" spans="3:16" ht="25.5">
      <c r="C5" s="585" t="s">
        <v>81</v>
      </c>
      <c r="D5" s="586" t="s">
        <v>81</v>
      </c>
      <c r="E5" s="3">
        <v>6685.6864000000141</v>
      </c>
      <c r="F5" s="3">
        <v>8671.939399999992</v>
      </c>
      <c r="G5" s="3">
        <v>13814.049797596965</v>
      </c>
      <c r="H5" s="3">
        <v>11270.568300000012</v>
      </c>
      <c r="I5" s="3">
        <v>12734.583781630261</v>
      </c>
      <c r="J5" s="3">
        <v>20514.59729052132</v>
      </c>
      <c r="K5" s="575">
        <v>18484.630589999968</v>
      </c>
      <c r="L5" s="874">
        <v>14582.115569999949</v>
      </c>
      <c r="M5" s="597">
        <f>L5/K5-1</f>
        <v>-0.21112215367242704</v>
      </c>
      <c r="N5" s="598">
        <f t="shared" ref="N5:N18" si="0">L5/$L$18</f>
        <v>0.30896932164838087</v>
      </c>
      <c r="O5" s="608">
        <f>L5/$L$18</f>
        <v>0.30896932164838087</v>
      </c>
      <c r="P5" s="592">
        <f>O5</f>
        <v>0.30896932164838087</v>
      </c>
    </row>
    <row r="6" spans="3:16">
      <c r="C6" s="585" t="s">
        <v>80</v>
      </c>
      <c r="D6" s="586" t="s">
        <v>80</v>
      </c>
      <c r="E6" s="3">
        <v>18599.029899999994</v>
      </c>
      <c r="F6" s="3">
        <v>21591.399099999966</v>
      </c>
      <c r="G6" s="3">
        <v>19299.052366580272</v>
      </c>
      <c r="H6" s="3">
        <v>15854.946100000025</v>
      </c>
      <c r="I6" s="3">
        <v>11685.96936968867</v>
      </c>
      <c r="J6" s="3">
        <v>16247.094692138864</v>
      </c>
      <c r="K6" s="576">
        <v>19408.13392900004</v>
      </c>
      <c r="L6" s="875">
        <v>23203.928379999987</v>
      </c>
      <c r="M6" s="597">
        <f t="shared" ref="M6:M18" si="1">L6/K6-1</f>
        <v>0.195577507084707</v>
      </c>
      <c r="N6" s="598">
        <f t="shared" si="0"/>
        <v>0.49165033542154496</v>
      </c>
      <c r="O6" s="608">
        <f t="shared" ref="O6:O17" si="2">L6/$L$18</f>
        <v>0.49165033542154496</v>
      </c>
      <c r="P6" s="592">
        <f>O6</f>
        <v>0.49165033542154496</v>
      </c>
    </row>
    <row r="7" spans="3:16">
      <c r="C7" s="587" t="s">
        <v>82</v>
      </c>
      <c r="D7" s="588" t="s">
        <v>100</v>
      </c>
      <c r="E7" s="3">
        <v>3755.5793999999978</v>
      </c>
      <c r="F7" s="3">
        <v>5804.1046000000006</v>
      </c>
      <c r="G7" s="3">
        <v>4066.9811061119908</v>
      </c>
      <c r="H7" s="3">
        <v>5377.2943999999916</v>
      </c>
      <c r="I7" s="3">
        <v>6945.8813039114229</v>
      </c>
      <c r="J7" s="3">
        <v>7527.4618692054491</v>
      </c>
      <c r="K7" s="576">
        <v>5941.8221759999933</v>
      </c>
      <c r="L7" s="875">
        <v>4632.1667999999963</v>
      </c>
      <c r="M7" s="597">
        <f t="shared" si="1"/>
        <v>-0.22041308830983075</v>
      </c>
      <c r="N7" s="598">
        <f t="shared" si="0"/>
        <v>9.8147448296362308E-2</v>
      </c>
      <c r="O7" s="609">
        <f t="shared" si="2"/>
        <v>9.8147448296362308E-2</v>
      </c>
      <c r="P7" s="593">
        <f>SUM(O7:O10)</f>
        <v>0.14763681509898588</v>
      </c>
    </row>
    <row r="8" spans="3:16" ht="25.5">
      <c r="C8" s="587" t="s">
        <v>628</v>
      </c>
      <c r="D8" s="588"/>
      <c r="E8" s="3">
        <v>2195.2924999999996</v>
      </c>
      <c r="F8" s="3">
        <v>2529.1841000000004</v>
      </c>
      <c r="G8" s="3">
        <v>1310.7552781610018</v>
      </c>
      <c r="H8" s="3">
        <v>1916.6378999999999</v>
      </c>
      <c r="I8" s="3">
        <v>3350.6242469731073</v>
      </c>
      <c r="J8" s="3">
        <v>3978.2547799631307</v>
      </c>
      <c r="K8" s="576">
        <v>3434.4950699999981</v>
      </c>
      <c r="L8" s="875">
        <v>1229.5067799999997</v>
      </c>
      <c r="M8" s="597">
        <f t="shared" si="1"/>
        <v>-0.64201236136874107</v>
      </c>
      <c r="N8" s="598">
        <f t="shared" si="0"/>
        <v>2.6051081131205592E-2</v>
      </c>
      <c r="O8" s="609">
        <f t="shared" si="2"/>
        <v>2.6051081131205592E-2</v>
      </c>
      <c r="P8" s="593"/>
    </row>
    <row r="9" spans="3:16" ht="25.5">
      <c r="C9" s="587" t="s">
        <v>98</v>
      </c>
      <c r="D9" s="588"/>
      <c r="E9" s="3">
        <v>6039.7454000000107</v>
      </c>
      <c r="F9" s="3">
        <v>485.97739999999999</v>
      </c>
      <c r="G9" s="3">
        <v>2071.0954591760042</v>
      </c>
      <c r="H9" s="3">
        <v>2049.5744</v>
      </c>
      <c r="I9" s="3">
        <v>3062.664985723135</v>
      </c>
      <c r="J9" s="3">
        <v>1979.9713282736864</v>
      </c>
      <c r="K9" s="576">
        <v>1254.1661980000003</v>
      </c>
      <c r="L9" s="875">
        <v>1013.3860500000001</v>
      </c>
      <c r="M9" s="597">
        <f t="shared" si="1"/>
        <v>-0.19198424290494254</v>
      </c>
      <c r="N9" s="598">
        <f t="shared" si="0"/>
        <v>2.1471863868682346E-2</v>
      </c>
      <c r="O9" s="609">
        <f t="shared" si="2"/>
        <v>2.1471863868682346E-2</v>
      </c>
      <c r="P9" s="593"/>
    </row>
    <row r="10" spans="3:16">
      <c r="C10" s="587" t="s">
        <v>85</v>
      </c>
      <c r="D10" s="588"/>
      <c r="E10" s="3">
        <v>2526.0281999999984</v>
      </c>
      <c r="F10" s="3">
        <v>2782.2850000000012</v>
      </c>
      <c r="G10" s="3">
        <v>2245.0408197939973</v>
      </c>
      <c r="H10" s="3">
        <v>1021.1430000000001</v>
      </c>
      <c r="I10" s="3">
        <v>1317.1319469792645</v>
      </c>
      <c r="J10" s="3">
        <v>1525.7935509627464</v>
      </c>
      <c r="K10" s="576">
        <v>1043.6701149999999</v>
      </c>
      <c r="L10" s="875">
        <v>92.807240000000007</v>
      </c>
      <c r="M10" s="597">
        <f t="shared" si="1"/>
        <v>-0.91107607790417566</v>
      </c>
      <c r="N10" s="598">
        <f t="shared" si="0"/>
        <v>1.9664218027356218E-3</v>
      </c>
      <c r="O10" s="609">
        <f t="shared" si="2"/>
        <v>1.9664218027356218E-3</v>
      </c>
      <c r="P10" s="593"/>
    </row>
    <row r="11" spans="3:16">
      <c r="C11" s="585" t="s">
        <v>97</v>
      </c>
      <c r="D11" s="586" t="s">
        <v>97</v>
      </c>
      <c r="E11" s="3">
        <v>2908.9277999999977</v>
      </c>
      <c r="F11" s="3">
        <v>949.16560000000027</v>
      </c>
      <c r="G11" s="3">
        <v>824.50613755300014</v>
      </c>
      <c r="H11" s="3">
        <v>735.46170000000006</v>
      </c>
      <c r="I11" s="3">
        <v>299.12180513230919</v>
      </c>
      <c r="J11" s="3">
        <v>475.12098997040994</v>
      </c>
      <c r="K11" s="576">
        <v>279.54754600000001</v>
      </c>
      <c r="L11" s="875">
        <v>342.61894000000001</v>
      </c>
      <c r="M11" s="597">
        <f t="shared" si="1"/>
        <v>0.22561955882810714</v>
      </c>
      <c r="N11" s="598">
        <f t="shared" si="0"/>
        <v>7.259491324665703E-3</v>
      </c>
      <c r="O11" s="608">
        <f t="shared" si="2"/>
        <v>7.259491324665703E-3</v>
      </c>
      <c r="P11" s="592">
        <f>O11</f>
        <v>7.259491324665703E-3</v>
      </c>
    </row>
    <row r="12" spans="3:16">
      <c r="C12" s="585" t="s">
        <v>99</v>
      </c>
      <c r="D12" s="594" t="s">
        <v>53</v>
      </c>
      <c r="E12" s="3"/>
      <c r="F12" s="3">
        <v>454.88379999999995</v>
      </c>
      <c r="G12" s="3">
        <v>282.88467818999999</v>
      </c>
      <c r="H12" s="3">
        <v>905.04370000000017</v>
      </c>
      <c r="I12" s="3">
        <v>427.78181805599701</v>
      </c>
      <c r="J12" s="3">
        <v>433.27247050335285</v>
      </c>
      <c r="K12" s="576">
        <v>429.73559699999993</v>
      </c>
      <c r="L12" s="875">
        <v>216.55100000000002</v>
      </c>
      <c r="M12" s="597">
        <f t="shared" si="1"/>
        <v>-0.49608316948432818</v>
      </c>
      <c r="N12" s="598">
        <f t="shared" si="0"/>
        <v>4.5883339252864499E-3</v>
      </c>
      <c r="O12" s="610">
        <f t="shared" si="2"/>
        <v>4.5883339252864499E-3</v>
      </c>
      <c r="P12" s="595">
        <f>SUM(O12:O17)</f>
        <v>4.4484036506428487E-2</v>
      </c>
    </row>
    <row r="13" spans="3:16">
      <c r="C13" s="585" t="s">
        <v>96</v>
      </c>
      <c r="D13" s="594"/>
      <c r="E13" s="3">
        <v>285.65350000000001</v>
      </c>
      <c r="F13" s="3">
        <v>267.8854</v>
      </c>
      <c r="G13" s="3">
        <v>663.06366429000013</v>
      </c>
      <c r="H13" s="3">
        <v>360.35699999999997</v>
      </c>
      <c r="I13" s="3">
        <v>303.52209317228801</v>
      </c>
      <c r="J13" s="3">
        <v>419.48058144640879</v>
      </c>
      <c r="K13" s="576">
        <v>389.499776</v>
      </c>
      <c r="L13" s="875">
        <v>1062.7846100000002</v>
      </c>
      <c r="M13" s="597">
        <f t="shared" si="1"/>
        <v>1.7285885011651461</v>
      </c>
      <c r="N13" s="598">
        <f t="shared" si="0"/>
        <v>2.2518532268774233E-2</v>
      </c>
      <c r="O13" s="610">
        <f t="shared" si="2"/>
        <v>2.2518532268774233E-2</v>
      </c>
      <c r="P13" s="595"/>
    </row>
    <row r="14" spans="3:16">
      <c r="C14" s="585" t="s">
        <v>86</v>
      </c>
      <c r="D14" s="594"/>
      <c r="E14" s="3"/>
      <c r="F14" s="3">
        <v>277.05889999999999</v>
      </c>
      <c r="G14" s="3">
        <v>445.81000753899991</v>
      </c>
      <c r="H14" s="3">
        <v>534.32530000000008</v>
      </c>
      <c r="I14" s="3">
        <v>954.0830857913669</v>
      </c>
      <c r="J14" s="3">
        <v>202.6934082046985</v>
      </c>
      <c r="K14" s="576">
        <v>335.62633199999999</v>
      </c>
      <c r="L14" s="875">
        <v>312.58907999999997</v>
      </c>
      <c r="M14" s="597">
        <f t="shared" si="1"/>
        <v>-6.8639584572285695E-2</v>
      </c>
      <c r="N14" s="598">
        <f t="shared" si="0"/>
        <v>6.6232115318704595E-3</v>
      </c>
      <c r="O14" s="610">
        <f t="shared" si="2"/>
        <v>6.6232115318704595E-3</v>
      </c>
      <c r="P14" s="595"/>
    </row>
    <row r="15" spans="3:16">
      <c r="C15" s="589" t="s">
        <v>624</v>
      </c>
      <c r="D15" s="594"/>
      <c r="E15" s="3"/>
      <c r="F15" s="3"/>
      <c r="G15" s="3"/>
      <c r="H15" s="3"/>
      <c r="I15" s="3"/>
      <c r="J15" s="3"/>
      <c r="K15" s="577"/>
      <c r="L15" s="876">
        <v>507.54382000000004</v>
      </c>
      <c r="M15" s="597">
        <v>1</v>
      </c>
      <c r="N15" s="598">
        <f t="shared" si="0"/>
        <v>1.075395878049734E-2</v>
      </c>
      <c r="O15" s="610">
        <f t="shared" si="2"/>
        <v>1.075395878049734E-2</v>
      </c>
      <c r="P15" s="595"/>
    </row>
    <row r="16" spans="3:16">
      <c r="C16" s="585" t="s">
        <v>76</v>
      </c>
      <c r="D16" s="594"/>
      <c r="E16" s="3"/>
      <c r="F16" s="3"/>
      <c r="G16" s="3"/>
      <c r="H16" s="3"/>
      <c r="I16" s="3"/>
      <c r="J16" s="3">
        <v>115.38666666666671</v>
      </c>
      <c r="K16" s="3"/>
      <c r="L16" s="877"/>
      <c r="M16" s="597" t="s">
        <v>443</v>
      </c>
      <c r="N16" s="598">
        <f t="shared" si="0"/>
        <v>0</v>
      </c>
      <c r="O16" s="610">
        <f t="shared" si="2"/>
        <v>0</v>
      </c>
      <c r="P16" s="595"/>
    </row>
    <row r="17" spans="3:16" ht="13.5" thickBot="1">
      <c r="C17" s="585" t="s">
        <v>53</v>
      </c>
      <c r="D17" s="594"/>
      <c r="E17" s="3">
        <v>2588.0564999999992</v>
      </c>
      <c r="F17" s="3">
        <v>2982.1256000000012</v>
      </c>
      <c r="G17" s="3">
        <v>1069.7606837900003</v>
      </c>
      <c r="H17" s="3">
        <v>2971.9029</v>
      </c>
      <c r="I17" s="3">
        <v>4057.6247241568631</v>
      </c>
      <c r="J17" s="3">
        <v>1623.7351221117196</v>
      </c>
      <c r="K17" s="578">
        <v>1281.6725959999999</v>
      </c>
      <c r="L17" s="878"/>
      <c r="M17" s="599" t="s">
        <v>443</v>
      </c>
      <c r="N17" s="600">
        <f t="shared" si="0"/>
        <v>0</v>
      </c>
      <c r="O17" s="611">
        <f t="shared" si="2"/>
        <v>0</v>
      </c>
      <c r="P17" s="596"/>
    </row>
    <row r="18" spans="3:16" ht="13.5" thickBot="1">
      <c r="C18" s="590" t="s">
        <v>54</v>
      </c>
      <c r="D18" s="591" t="s">
        <v>54</v>
      </c>
      <c r="E18" s="574">
        <v>45583.999599999857</v>
      </c>
      <c r="F18" s="574">
        <v>46796.008900000117</v>
      </c>
      <c r="G18" s="574">
        <v>46092.999998783271</v>
      </c>
      <c r="H18" s="574">
        <v>42997.254700000252</v>
      </c>
      <c r="I18" s="574">
        <v>45224.999999999709</v>
      </c>
      <c r="J18" s="574">
        <v>55042.86274996835</v>
      </c>
      <c r="K18" s="574">
        <f>SUM(K5:K17)</f>
        <v>52282.999924999989</v>
      </c>
      <c r="L18" s="879">
        <v>47195.998269999654</v>
      </c>
      <c r="M18" s="601">
        <f t="shared" si="1"/>
        <v>-9.7297432478963386E-2</v>
      </c>
      <c r="N18" s="602">
        <f t="shared" si="0"/>
        <v>1</v>
      </c>
      <c r="O18" s="603">
        <f>K18/$K$18</f>
        <v>1</v>
      </c>
      <c r="P18" s="604">
        <f>O18</f>
        <v>1</v>
      </c>
    </row>
    <row r="19" spans="3:16">
      <c r="C19" s="605" t="s">
        <v>445</v>
      </c>
      <c r="D19" s="2"/>
    </row>
    <row r="20" spans="3:16">
      <c r="C20" s="2"/>
      <c r="D20" s="2"/>
    </row>
    <row r="21" spans="3:16">
      <c r="C21" s="606" t="s">
        <v>618</v>
      </c>
      <c r="D21" s="607"/>
      <c r="E21" s="41"/>
      <c r="F21" s="41"/>
      <c r="G21" s="41"/>
      <c r="H21" s="41"/>
      <c r="I21" s="41"/>
      <c r="J21" s="41"/>
      <c r="K21" s="41"/>
    </row>
    <row r="22" spans="3:16">
      <c r="C22" s="3780" t="s">
        <v>623</v>
      </c>
      <c r="D22" s="3780"/>
      <c r="E22" s="3780"/>
      <c r="F22" s="3780"/>
      <c r="G22" s="3780"/>
      <c r="H22" s="3780"/>
      <c r="I22" s="3780"/>
      <c r="J22" s="3780"/>
      <c r="K22" s="3780"/>
    </row>
  </sheetData>
  <sortState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0"/>
  <sheetViews>
    <sheetView showGridLines="0" workbookViewId="0">
      <selection sqref="A1:L1"/>
    </sheetView>
  </sheetViews>
  <sheetFormatPr baseColWidth="10" defaultRowHeight="15"/>
  <cols>
    <col min="1" max="1" width="2" bestFit="1" customWidth="1"/>
    <col min="2" max="2" width="2.42578125" customWidth="1"/>
    <col min="3" max="3" width="23.5703125" style="2" customWidth="1"/>
    <col min="4" max="8" width="11.5703125" bestFit="1" customWidth="1"/>
    <col min="9" max="9" width="12.7109375" bestFit="1" customWidth="1"/>
    <col min="10" max="10" width="12.7109375" customWidth="1"/>
    <col min="11" max="11" width="12.7109375" style="65" customWidth="1"/>
    <col min="12" max="12" width="12.7109375" customWidth="1"/>
  </cols>
  <sheetData>
    <row r="1" spans="1:12" ht="34.5" customHeight="1">
      <c r="A1" s="3985" t="s">
        <v>1086</v>
      </c>
      <c r="B1" s="3985"/>
      <c r="C1" s="3985"/>
      <c r="D1" s="3985"/>
      <c r="E1" s="3985"/>
      <c r="F1" s="3985"/>
      <c r="G1" s="3985"/>
      <c r="H1" s="3985"/>
      <c r="I1" s="3985"/>
      <c r="J1" s="3985"/>
      <c r="K1" s="3985"/>
      <c r="L1" s="3985"/>
    </row>
    <row r="3" spans="1:12">
      <c r="C3" s="2" t="s">
        <v>101</v>
      </c>
    </row>
    <row r="5" spans="1:12" ht="24.75">
      <c r="A5">
        <v>7</v>
      </c>
      <c r="C5" s="2" t="s">
        <v>102</v>
      </c>
      <c r="D5" s="854">
        <v>2008</v>
      </c>
      <c r="E5" s="854">
        <v>2009</v>
      </c>
      <c r="F5" s="854">
        <v>2010</v>
      </c>
      <c r="G5" s="854">
        <v>2011</v>
      </c>
      <c r="H5" s="854">
        <v>2012</v>
      </c>
      <c r="I5" s="854">
        <v>2013</v>
      </c>
      <c r="J5" s="854">
        <v>2014</v>
      </c>
      <c r="K5" s="867">
        <v>2015</v>
      </c>
      <c r="L5" s="47" t="s">
        <v>447</v>
      </c>
    </row>
    <row r="6" spans="1:12">
      <c r="D6" s="854" t="s">
        <v>0</v>
      </c>
      <c r="E6" s="854" t="s">
        <v>1</v>
      </c>
      <c r="F6" s="854" t="s">
        <v>2</v>
      </c>
      <c r="G6" s="854" t="s">
        <v>3</v>
      </c>
      <c r="H6" s="854" t="s">
        <v>35</v>
      </c>
      <c r="I6" s="854" t="s">
        <v>36</v>
      </c>
      <c r="J6" s="854" t="s">
        <v>364</v>
      </c>
      <c r="K6" s="867" t="s">
        <v>444</v>
      </c>
    </row>
    <row r="7" spans="1:12" ht="17.25">
      <c r="C7" s="2" t="s">
        <v>103</v>
      </c>
      <c r="D7" s="44">
        <v>10160.102100000009</v>
      </c>
      <c r="E7" s="44">
        <v>9809.1309999999939</v>
      </c>
      <c r="F7" s="44">
        <v>9044.4428706999734</v>
      </c>
      <c r="G7" s="44">
        <v>9533.4457999999904</v>
      </c>
      <c r="H7" s="44">
        <v>11287.702425944528</v>
      </c>
      <c r="I7" s="44">
        <v>7467.0033703230229</v>
      </c>
      <c r="J7" s="254">
        <v>7095.6254519999993</v>
      </c>
      <c r="K7" s="868">
        <v>5906.2793199999969</v>
      </c>
      <c r="L7" s="4">
        <f>K7/$K$10</f>
        <v>0.12514364642127582</v>
      </c>
    </row>
    <row r="8" spans="1:12" ht="17.25">
      <c r="C8" s="2" t="s">
        <v>104</v>
      </c>
      <c r="D8" s="44">
        <v>35423.897499999992</v>
      </c>
      <c r="E8" s="44">
        <v>36986.877899999767</v>
      </c>
      <c r="F8" s="44">
        <v>37048.557128082663</v>
      </c>
      <c r="G8" s="44">
        <v>33463.808899999982</v>
      </c>
      <c r="H8" s="44">
        <v>33937.297574055359</v>
      </c>
      <c r="I8" s="44">
        <v>47358.842842848804</v>
      </c>
      <c r="J8" s="254">
        <v>45187.374472999829</v>
      </c>
      <c r="K8" s="869">
        <v>41289.718949999784</v>
      </c>
      <c r="L8" s="4">
        <f>K8/$K$10</f>
        <v>0.87485635357872427</v>
      </c>
    </row>
    <row r="9" spans="1:12">
      <c r="C9" s="2" t="s">
        <v>76</v>
      </c>
      <c r="D9" s="44"/>
      <c r="E9" s="44"/>
      <c r="F9" s="44"/>
      <c r="G9" s="44"/>
      <c r="H9" s="44"/>
      <c r="I9" s="44">
        <v>217.01653679653688</v>
      </c>
      <c r="J9" s="44">
        <v>0</v>
      </c>
      <c r="K9" s="870"/>
      <c r="L9" s="4">
        <f>K9/$K$10</f>
        <v>0</v>
      </c>
    </row>
    <row r="10" spans="1:12">
      <c r="C10" s="2" t="s">
        <v>54</v>
      </c>
      <c r="D10" s="44">
        <v>45583.999599999857</v>
      </c>
      <c r="E10" s="44">
        <v>46796.008900000117</v>
      </c>
      <c r="F10" s="44">
        <v>46092.999998782681</v>
      </c>
      <c r="G10" s="44">
        <v>42997.254700000252</v>
      </c>
      <c r="H10" s="44">
        <v>45224.999999999607</v>
      </c>
      <c r="I10" s="44">
        <v>55042.86274996835</v>
      </c>
      <c r="J10" s="44">
        <f>SUM(J7:J9)</f>
        <v>52282.999924999829</v>
      </c>
      <c r="K10" s="870">
        <f>SUM(K7:K9)</f>
        <v>47195.998269999778</v>
      </c>
      <c r="L10" s="4">
        <f>K10/$K$10</f>
        <v>1</v>
      </c>
    </row>
  </sheetData>
  <mergeCells count="1">
    <mergeCell ref="A1:L1"/>
  </mergeCells>
  <pageMargins left="0.7" right="0.7"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O35"/>
  <sheetViews>
    <sheetView showGridLines="0" topLeftCell="J18" workbookViewId="0">
      <selection activeCell="K18" sqref="K1:K1048576"/>
    </sheetView>
  </sheetViews>
  <sheetFormatPr baseColWidth="10" defaultRowHeight="15"/>
  <cols>
    <col min="1" max="1" width="2" bestFit="1" customWidth="1"/>
    <col min="2" max="2" width="1.85546875" customWidth="1"/>
    <col min="3" max="3" width="23" customWidth="1"/>
    <col min="4" max="9" width="12.42578125" bestFit="1" customWidth="1"/>
    <col min="10" max="10" width="12.42578125" customWidth="1"/>
    <col min="11" max="11" width="12.42578125" style="65" customWidth="1"/>
  </cols>
  <sheetData>
    <row r="1" spans="1:15" hidden="1">
      <c r="A1" s="9">
        <v>6</v>
      </c>
      <c r="B1" s="10"/>
      <c r="C1" s="9" t="s">
        <v>105</v>
      </c>
      <c r="D1" s="9"/>
      <c r="E1" s="9"/>
      <c r="F1" s="9"/>
      <c r="G1" s="9"/>
      <c r="H1" s="9"/>
      <c r="I1" s="9"/>
      <c r="J1" s="9"/>
      <c r="K1" s="899"/>
      <c r="L1" s="9"/>
      <c r="M1" s="9"/>
      <c r="N1" s="9"/>
    </row>
    <row r="2" spans="1:15" hidden="1">
      <c r="A2" s="11"/>
      <c r="B2" s="11"/>
      <c r="C2" s="11"/>
      <c r="D2" s="11"/>
      <c r="E2" s="11"/>
      <c r="F2" s="11"/>
      <c r="G2" s="11"/>
      <c r="H2" s="11"/>
      <c r="I2" s="11"/>
      <c r="J2" s="11"/>
      <c r="K2" s="900"/>
      <c r="L2" s="11"/>
      <c r="M2" s="11"/>
      <c r="N2" s="11"/>
    </row>
    <row r="3" spans="1:15" ht="36" hidden="1">
      <c r="A3" s="11"/>
      <c r="B3" s="11"/>
      <c r="C3" s="12" t="s">
        <v>106</v>
      </c>
      <c r="D3" s="13" t="s">
        <v>80</v>
      </c>
      <c r="E3" s="14" t="s">
        <v>81</v>
      </c>
      <c r="F3" s="14" t="s">
        <v>82</v>
      </c>
      <c r="G3" s="14" t="s">
        <v>83</v>
      </c>
      <c r="H3" s="14" t="s">
        <v>84</v>
      </c>
      <c r="I3" s="14" t="s">
        <v>85</v>
      </c>
      <c r="J3" s="14"/>
      <c r="K3" s="901"/>
      <c r="L3" s="14" t="s">
        <v>86</v>
      </c>
      <c r="M3" s="15" t="s">
        <v>53</v>
      </c>
      <c r="N3" s="15" t="s">
        <v>87</v>
      </c>
      <c r="O3" s="48" t="s">
        <v>170</v>
      </c>
    </row>
    <row r="4" spans="1:15" hidden="1">
      <c r="A4" s="11"/>
      <c r="B4" s="11"/>
      <c r="C4" s="16"/>
      <c r="D4" s="17"/>
      <c r="E4" s="18"/>
      <c r="F4" s="24"/>
      <c r="G4" s="24"/>
      <c r="H4" s="24"/>
      <c r="I4" s="24"/>
      <c r="J4" s="24"/>
      <c r="K4" s="902"/>
      <c r="L4" s="24"/>
      <c r="M4" s="18"/>
      <c r="N4" s="18"/>
    </row>
    <row r="5" spans="1:15" hidden="1">
      <c r="A5" s="11"/>
      <c r="B5" s="11"/>
      <c r="C5" s="19" t="s">
        <v>107</v>
      </c>
      <c r="D5" s="25">
        <v>10941.030343302691</v>
      </c>
      <c r="E5" s="26">
        <v>4807.0085114129624</v>
      </c>
      <c r="F5" s="26">
        <v>5704.5177102921916</v>
      </c>
      <c r="G5" s="26">
        <v>2455.5630891757201</v>
      </c>
      <c r="H5" s="26">
        <v>1180.7335092196688</v>
      </c>
      <c r="I5" s="26">
        <v>970.63708631628117</v>
      </c>
      <c r="J5" s="26"/>
      <c r="K5" s="903"/>
      <c r="L5" s="26">
        <v>99.682117882117893</v>
      </c>
      <c r="M5" s="26">
        <v>1072.0131126062963</v>
      </c>
      <c r="N5" s="26">
        <v>27303.945480207931</v>
      </c>
      <c r="O5" s="4">
        <f t="shared" ref="O5:O15" si="0">N5/$N$15</f>
        <v>0.46750125655194202</v>
      </c>
    </row>
    <row r="6" spans="1:15" hidden="1">
      <c r="A6" s="11"/>
      <c r="B6" s="11"/>
      <c r="C6" s="19" t="s">
        <v>111</v>
      </c>
      <c r="D6" s="25">
        <v>3193.381450694033</v>
      </c>
      <c r="E6" s="26">
        <v>12164.500714857999</v>
      </c>
      <c r="F6" s="26">
        <v>639.04736487703121</v>
      </c>
      <c r="G6" s="26">
        <v>276.90402742803371</v>
      </c>
      <c r="H6" s="26">
        <v>287.84288681718971</v>
      </c>
      <c r="I6" s="26">
        <v>45.668686868686905</v>
      </c>
      <c r="J6" s="26"/>
      <c r="K6" s="903"/>
      <c r="L6" s="26">
        <v>0</v>
      </c>
      <c r="M6" s="26">
        <v>1051.9462282510597</v>
      </c>
      <c r="N6" s="26">
        <v>17659.291359794035</v>
      </c>
      <c r="O6" s="4">
        <f t="shared" si="0"/>
        <v>0.3023643929594344</v>
      </c>
    </row>
    <row r="7" spans="1:15" hidden="1">
      <c r="A7" s="11"/>
      <c r="B7" s="11"/>
      <c r="C7" s="19" t="s">
        <v>112</v>
      </c>
      <c r="D7" s="25">
        <v>1360.1425704145179</v>
      </c>
      <c r="E7" s="26">
        <v>3416.2398345655374</v>
      </c>
      <c r="F7" s="26">
        <v>720.99675140997454</v>
      </c>
      <c r="G7" s="26">
        <v>772.70203650576423</v>
      </c>
      <c r="H7" s="26">
        <v>158.72992759703908</v>
      </c>
      <c r="I7" s="28">
        <v>109.35000000000001</v>
      </c>
      <c r="J7" s="28"/>
      <c r="K7" s="904"/>
      <c r="L7" s="26">
        <v>102.84421715184889</v>
      </c>
      <c r="M7" s="26">
        <v>611.37744101399448</v>
      </c>
      <c r="N7" s="26">
        <v>7252.3827786586771</v>
      </c>
      <c r="O7" s="4">
        <f t="shared" si="0"/>
        <v>0.12417612188964773</v>
      </c>
    </row>
    <row r="8" spans="1:15" hidden="1">
      <c r="A8" s="11"/>
      <c r="B8" s="11"/>
      <c r="C8" s="19" t="s">
        <v>108</v>
      </c>
      <c r="D8" s="25">
        <v>321.73693854482332</v>
      </c>
      <c r="E8" s="26">
        <v>795.39001240589926</v>
      </c>
      <c r="F8" s="26">
        <v>91.343408327394911</v>
      </c>
      <c r="G8" s="26">
        <v>174.7277167091996</v>
      </c>
      <c r="H8" s="26">
        <v>180.4982956701742</v>
      </c>
      <c r="I8" s="26">
        <v>109.35000000000001</v>
      </c>
      <c r="J8" s="26"/>
      <c r="K8" s="903"/>
      <c r="L8" s="26">
        <v>38.85</v>
      </c>
      <c r="M8" s="26">
        <v>24.710526315789501</v>
      </c>
      <c r="N8" s="26">
        <v>1736.6068979732806</v>
      </c>
      <c r="O8" s="4">
        <f t="shared" si="0"/>
        <v>2.973438060546172E-2</v>
      </c>
    </row>
    <row r="9" spans="1:15" hidden="1">
      <c r="A9" s="11"/>
      <c r="B9" s="11"/>
      <c r="C9" s="19" t="s">
        <v>109</v>
      </c>
      <c r="D9" s="25">
        <v>420.29333118387729</v>
      </c>
      <c r="E9" s="26">
        <v>209.94570460704608</v>
      </c>
      <c r="F9" s="26">
        <v>116.74213836477981</v>
      </c>
      <c r="G9" s="26">
        <v>0</v>
      </c>
      <c r="H9" s="26">
        <v>0</v>
      </c>
      <c r="I9" s="26">
        <v>72.760000000000005</v>
      </c>
      <c r="J9" s="26"/>
      <c r="K9" s="903"/>
      <c r="L9" s="26">
        <v>0</v>
      </c>
      <c r="M9" s="26">
        <v>0</v>
      </c>
      <c r="N9" s="26">
        <v>819.74117415570322</v>
      </c>
      <c r="O9" s="4">
        <f t="shared" si="0"/>
        <v>1.4035701515846901E-2</v>
      </c>
    </row>
    <row r="10" spans="1:15" hidden="1">
      <c r="A10" s="11"/>
      <c r="B10" s="11"/>
      <c r="C10" s="19" t="s">
        <v>110</v>
      </c>
      <c r="D10" s="27">
        <v>69.333047455688998</v>
      </c>
      <c r="E10" s="26">
        <v>106.3353535353536</v>
      </c>
      <c r="F10" s="26">
        <v>110.7627257292792</v>
      </c>
      <c r="G10" s="26">
        <v>191.6209039548026</v>
      </c>
      <c r="H10" s="26">
        <v>103.1696969696969</v>
      </c>
      <c r="I10" s="26">
        <v>0</v>
      </c>
      <c r="J10" s="26"/>
      <c r="K10" s="903"/>
      <c r="L10" s="26">
        <v>0</v>
      </c>
      <c r="M10" s="26">
        <v>36.4166666666667</v>
      </c>
      <c r="N10" s="26">
        <v>617.63839431148801</v>
      </c>
      <c r="O10" s="4">
        <f t="shared" si="0"/>
        <v>1.0575274758171892E-2</v>
      </c>
    </row>
    <row r="11" spans="1:15" hidden="1">
      <c r="A11" s="11"/>
      <c r="B11" s="11"/>
      <c r="C11" s="19" t="s">
        <v>113</v>
      </c>
      <c r="D11" s="25">
        <v>49.714285714285701</v>
      </c>
      <c r="E11" s="28">
        <v>65.358333333333306</v>
      </c>
      <c r="F11" s="26">
        <v>155.22582820435198</v>
      </c>
      <c r="G11" s="26">
        <v>250.3903395229419</v>
      </c>
      <c r="H11" s="26">
        <v>0</v>
      </c>
      <c r="I11" s="26">
        <v>23.7777777777778</v>
      </c>
      <c r="J11" s="26"/>
      <c r="K11" s="903"/>
      <c r="L11" s="28">
        <v>0</v>
      </c>
      <c r="M11" s="26">
        <v>0</v>
      </c>
      <c r="N11" s="26">
        <v>544.46656455269067</v>
      </c>
      <c r="O11" s="4">
        <f t="shared" si="0"/>
        <v>9.3224183758868068E-3</v>
      </c>
    </row>
    <row r="12" spans="1:15" hidden="1">
      <c r="A12" s="11"/>
      <c r="B12" s="11"/>
      <c r="C12" s="19" t="s">
        <v>114</v>
      </c>
      <c r="D12" s="25">
        <v>0</v>
      </c>
      <c r="E12" s="26">
        <v>36.772727272727302</v>
      </c>
      <c r="F12" s="26">
        <v>0</v>
      </c>
      <c r="G12" s="28">
        <v>0</v>
      </c>
      <c r="H12" s="26">
        <v>0</v>
      </c>
      <c r="I12" s="28">
        <v>194.25</v>
      </c>
      <c r="J12" s="28"/>
      <c r="K12" s="904"/>
      <c r="L12" s="28">
        <v>0</v>
      </c>
      <c r="M12" s="26">
        <v>0</v>
      </c>
      <c r="N12" s="26">
        <v>231.02272727272731</v>
      </c>
      <c r="O12" s="4">
        <f t="shared" si="0"/>
        <v>3.955597383182078E-3</v>
      </c>
    </row>
    <row r="13" spans="1:15" hidden="1">
      <c r="A13" s="11"/>
      <c r="B13" s="11"/>
      <c r="C13" s="19" t="s">
        <v>53</v>
      </c>
      <c r="D13" s="25">
        <v>0</v>
      </c>
      <c r="E13" s="26">
        <v>39.391666666666701</v>
      </c>
      <c r="F13" s="26">
        <v>373.66550007212805</v>
      </c>
      <c r="G13" s="26">
        <v>40.4444444444444</v>
      </c>
      <c r="H13" s="26">
        <v>62.511111111111099</v>
      </c>
      <c r="I13" s="26">
        <v>0</v>
      </c>
      <c r="J13" s="26"/>
      <c r="K13" s="903"/>
      <c r="L13" s="26">
        <v>0</v>
      </c>
      <c r="M13" s="26">
        <v>263.54870402134549</v>
      </c>
      <c r="N13" s="26">
        <v>779.56142631569583</v>
      </c>
      <c r="O13" s="4">
        <f t="shared" si="0"/>
        <v>1.3347739308452376E-2</v>
      </c>
    </row>
    <row r="14" spans="1:15" hidden="1">
      <c r="A14" s="11"/>
      <c r="B14" s="11"/>
      <c r="C14" s="19" t="s">
        <v>76</v>
      </c>
      <c r="D14" s="25">
        <v>329.28906000049176</v>
      </c>
      <c r="E14" s="26">
        <v>200.79768331084119</v>
      </c>
      <c r="F14" s="26">
        <v>64.016883116883093</v>
      </c>
      <c r="G14" s="26">
        <v>46.150943396226403</v>
      </c>
      <c r="H14" s="26">
        <v>90.887921090825813</v>
      </c>
      <c r="I14" s="26">
        <v>0</v>
      </c>
      <c r="J14" s="26"/>
      <c r="K14" s="903"/>
      <c r="L14" s="26">
        <v>0</v>
      </c>
      <c r="M14" s="26">
        <v>73.578515202963402</v>
      </c>
      <c r="N14" s="26">
        <v>1459.3476727848984</v>
      </c>
      <c r="O14" s="4">
        <f t="shared" si="0"/>
        <v>2.4987116651973944E-2</v>
      </c>
    </row>
    <row r="15" spans="1:15" hidden="1">
      <c r="A15" s="11"/>
      <c r="B15" s="11"/>
      <c r="C15" s="20" t="s">
        <v>92</v>
      </c>
      <c r="D15" s="29">
        <v>16684.921027310436</v>
      </c>
      <c r="E15" s="30">
        <v>21841.740541968356</v>
      </c>
      <c r="F15" s="30">
        <v>7976.318310394011</v>
      </c>
      <c r="G15" s="30">
        <v>4208.5035011371347</v>
      </c>
      <c r="H15" s="30">
        <v>2064.3733484757058</v>
      </c>
      <c r="I15" s="30">
        <v>1525.7935509627462</v>
      </c>
      <c r="J15" s="30"/>
      <c r="K15" s="905"/>
      <c r="L15" s="30">
        <v>241.3763350339668</v>
      </c>
      <c r="M15" s="30">
        <v>3133.5911940781161</v>
      </c>
      <c r="N15" s="30">
        <v>58404.004476027134</v>
      </c>
      <c r="O15" s="4">
        <f t="shared" si="0"/>
        <v>1</v>
      </c>
    </row>
    <row r="16" spans="1:15" hidden="1"/>
    <row r="17" spans="3:13" hidden="1"/>
    <row r="18" spans="3:13" ht="15.75" thickBot="1"/>
    <row r="19" spans="3:13" ht="26.25">
      <c r="C19" s="2" t="s">
        <v>178</v>
      </c>
      <c r="D19" s="625" t="s">
        <v>0</v>
      </c>
      <c r="E19" s="626" t="s">
        <v>1</v>
      </c>
      <c r="F19" s="626" t="s">
        <v>2</v>
      </c>
      <c r="G19" s="626" t="s">
        <v>3</v>
      </c>
      <c r="H19" s="626">
        <v>2012</v>
      </c>
      <c r="I19" s="626">
        <v>2013</v>
      </c>
      <c r="J19" s="626">
        <v>2014</v>
      </c>
      <c r="K19" s="906">
        <v>2015</v>
      </c>
      <c r="L19" s="627" t="s">
        <v>629</v>
      </c>
      <c r="M19" s="614" t="s">
        <v>630</v>
      </c>
    </row>
    <row r="20" spans="3:13" ht="15.75" thickBot="1">
      <c r="C20" s="2"/>
      <c r="D20" s="623" t="s">
        <v>0</v>
      </c>
      <c r="E20" s="624" t="s">
        <v>1</v>
      </c>
      <c r="F20" s="624" t="s">
        <v>2</v>
      </c>
      <c r="G20" s="624" t="s">
        <v>3</v>
      </c>
      <c r="H20" s="624" t="s">
        <v>35</v>
      </c>
      <c r="I20" s="624" t="s">
        <v>36</v>
      </c>
      <c r="J20" s="624" t="s">
        <v>364</v>
      </c>
      <c r="K20" s="907" t="s">
        <v>444</v>
      </c>
      <c r="L20" s="628"/>
      <c r="M20" s="629"/>
    </row>
    <row r="21" spans="3:13">
      <c r="C21" s="236" t="s">
        <v>107</v>
      </c>
      <c r="D21" s="617">
        <v>13239.745999999983</v>
      </c>
      <c r="E21" s="617">
        <v>12495.322199999995</v>
      </c>
      <c r="F21" s="617">
        <v>8894.5076744019807</v>
      </c>
      <c r="G21" s="617">
        <v>18672.984000000026</v>
      </c>
      <c r="H21" s="617">
        <v>13736.451855140673</v>
      </c>
      <c r="I21" s="617">
        <v>26373.792086318426</v>
      </c>
      <c r="J21" s="617">
        <v>19501.883845000051</v>
      </c>
      <c r="K21" s="908">
        <v>17497.714020000003</v>
      </c>
      <c r="L21" s="615">
        <f>K21/J21-1</f>
        <v>-0.1027680115895</v>
      </c>
      <c r="M21" s="616">
        <f>K21/$K$31</f>
        <v>0.37074571280172297</v>
      </c>
    </row>
    <row r="22" spans="3:13">
      <c r="C22" s="618" t="s">
        <v>108</v>
      </c>
      <c r="D22" s="619">
        <v>1857.3096</v>
      </c>
      <c r="E22" s="619">
        <v>2819.8559</v>
      </c>
      <c r="F22" s="619">
        <v>1844.9585313860007</v>
      </c>
      <c r="G22" s="619">
        <v>1672.0225000000007</v>
      </c>
      <c r="H22" s="619">
        <v>4216.5609551567995</v>
      </c>
      <c r="I22" s="619">
        <v>1674.3568979732815</v>
      </c>
      <c r="J22" s="619">
        <v>2471.3890039999997</v>
      </c>
      <c r="K22" s="909">
        <v>1562.1116799999998</v>
      </c>
      <c r="L22" s="615">
        <f t="shared" ref="L22:L31" si="1">K22/J22-1</f>
        <v>-0.36792157063429265</v>
      </c>
      <c r="M22" s="616">
        <f t="shared" ref="M22:M31" si="2">K22/$K$31</f>
        <v>3.309839260234388E-2</v>
      </c>
    </row>
    <row r="23" spans="3:13">
      <c r="C23" s="618" t="s">
        <v>179</v>
      </c>
      <c r="D23" s="619">
        <v>1995.6791999999996</v>
      </c>
      <c r="E23" s="619">
        <v>4713.5298999999959</v>
      </c>
      <c r="F23" s="619">
        <v>1302.9254169859998</v>
      </c>
      <c r="G23" s="619">
        <v>763.69920000000013</v>
      </c>
      <c r="H23" s="619">
        <v>2595.3003655614798</v>
      </c>
      <c r="I23" s="619">
        <v>772.41570245758987</v>
      </c>
      <c r="J23" s="619">
        <v>2295.2096409999999</v>
      </c>
      <c r="K23" s="909">
        <v>1524.1222899999996</v>
      </c>
      <c r="L23" s="615">
        <f t="shared" si="1"/>
        <v>-0.33595508542045216</v>
      </c>
      <c r="M23" s="616">
        <f t="shared" si="2"/>
        <v>3.2293464400959739E-2</v>
      </c>
    </row>
    <row r="24" spans="3:13">
      <c r="C24" s="618" t="s">
        <v>422</v>
      </c>
      <c r="D24" s="619">
        <v>1475.6405</v>
      </c>
      <c r="E24" s="619">
        <v>2760.4021000000016</v>
      </c>
      <c r="F24" s="619">
        <v>1983.8425336830003</v>
      </c>
      <c r="G24" s="619">
        <v>1081.6529999999998</v>
      </c>
      <c r="H24" s="619">
        <v>1446.4001103799312</v>
      </c>
      <c r="I24" s="619">
        <v>617.63839431148779</v>
      </c>
      <c r="J24" s="619">
        <v>597.55937699999993</v>
      </c>
      <c r="K24" s="909">
        <v>1519.82437</v>
      </c>
      <c r="L24" s="615">
        <f t="shared" si="1"/>
        <v>1.543386362088667</v>
      </c>
      <c r="M24" s="616">
        <f t="shared" si="2"/>
        <v>3.2202399053100961E-2</v>
      </c>
    </row>
    <row r="25" spans="3:13">
      <c r="C25" s="618" t="s">
        <v>180</v>
      </c>
      <c r="D25" s="619">
        <v>8995.7961000000232</v>
      </c>
      <c r="E25" s="619">
        <v>2803.8976000000011</v>
      </c>
      <c r="F25" s="619">
        <v>310.79395873999999</v>
      </c>
      <c r="G25" s="619">
        <v>12013.107300000016</v>
      </c>
      <c r="H25" s="619">
        <v>15467.708675310212</v>
      </c>
      <c r="I25" s="619">
        <v>16558.521435705166</v>
      </c>
      <c r="J25" s="619">
        <v>14784.496913999968</v>
      </c>
      <c r="K25" s="909">
        <v>19371.083789999917</v>
      </c>
      <c r="L25" s="615">
        <f t="shared" si="1"/>
        <v>0.31022948583774568</v>
      </c>
      <c r="M25" s="616">
        <f t="shared" si="2"/>
        <v>0.41043911560428048</v>
      </c>
    </row>
    <row r="26" spans="3:13">
      <c r="C26" s="618" t="s">
        <v>112</v>
      </c>
      <c r="D26" s="619">
        <v>824.88669999999991</v>
      </c>
      <c r="E26" s="619">
        <v>13831.536599999999</v>
      </c>
      <c r="F26" s="619">
        <v>22495.085757627156</v>
      </c>
      <c r="G26" s="619">
        <v>4203.7756999999956</v>
      </c>
      <c r="H26" s="619">
        <v>2396.846306384286</v>
      </c>
      <c r="I26" s="619">
        <v>6864.7551119544241</v>
      </c>
      <c r="J26" s="619">
        <v>10234.717647999996</v>
      </c>
      <c r="K26" s="909">
        <v>4317.7779699999955</v>
      </c>
      <c r="L26" s="615">
        <f t="shared" si="1"/>
        <v>-0.57812436859518557</v>
      </c>
      <c r="M26" s="616">
        <f t="shared" si="2"/>
        <v>9.148610323482842E-2</v>
      </c>
    </row>
    <row r="27" spans="3:13">
      <c r="C27" s="618" t="s">
        <v>113</v>
      </c>
      <c r="D27" s="619">
        <v>689.54480000000001</v>
      </c>
      <c r="E27" s="619">
        <v>192.96079999999998</v>
      </c>
      <c r="F27" s="619">
        <v>172.13574422699998</v>
      </c>
      <c r="G27" s="619">
        <v>168.03309999999999</v>
      </c>
      <c r="H27" s="619">
        <v>487.17015839028539</v>
      </c>
      <c r="I27" s="619">
        <v>471.70656455269062</v>
      </c>
      <c r="J27" s="619">
        <v>696.993922</v>
      </c>
      <c r="K27" s="909">
        <v>156.20711</v>
      </c>
      <c r="L27" s="615">
        <f t="shared" si="1"/>
        <v>-0.77588454494442494</v>
      </c>
      <c r="M27" s="616">
        <f t="shared" si="2"/>
        <v>3.3097532783683669E-3</v>
      </c>
    </row>
    <row r="28" spans="3:13">
      <c r="C28" s="618" t="s">
        <v>114</v>
      </c>
      <c r="D28" s="619">
        <v>1299.0959999999993</v>
      </c>
      <c r="E28" s="619">
        <v>619.43680000000006</v>
      </c>
      <c r="F28" s="619">
        <v>194.91344108999999</v>
      </c>
      <c r="G28" s="619">
        <v>180.0899</v>
      </c>
      <c r="H28" s="619">
        <v>344.25384841049652</v>
      </c>
      <c r="I28" s="619">
        <v>231.02272727272731</v>
      </c>
      <c r="J28" s="619">
        <v>387.14857900000004</v>
      </c>
      <c r="K28" s="909">
        <v>388.22586000000001</v>
      </c>
      <c r="L28" s="615">
        <f t="shared" si="1"/>
        <v>2.7826035233877722E-3</v>
      </c>
      <c r="M28" s="616">
        <f t="shared" si="2"/>
        <v>8.2258215575614878E-3</v>
      </c>
    </row>
    <row r="29" spans="3:13">
      <c r="C29" s="618" t="s">
        <v>53</v>
      </c>
      <c r="D29" s="619">
        <v>15206.300700000002</v>
      </c>
      <c r="E29" s="619">
        <v>269.32</v>
      </c>
      <c r="F29" s="619">
        <v>8893.8369406409802</v>
      </c>
      <c r="G29" s="619">
        <v>1256.2766000000001</v>
      </c>
      <c r="H29" s="619">
        <v>4534.307725265855</v>
      </c>
      <c r="I29" s="619">
        <v>717.05031520458465</v>
      </c>
      <c r="J29" s="619">
        <v>1313.6009950000005</v>
      </c>
      <c r="K29" s="909">
        <v>858.93117999999981</v>
      </c>
      <c r="L29" s="615">
        <f t="shared" si="1"/>
        <v>-0.34612474924320569</v>
      </c>
      <c r="M29" s="616">
        <f t="shared" si="2"/>
        <v>1.8199237466833676E-2</v>
      </c>
    </row>
    <row r="30" spans="3:13" ht="15.75" thickBot="1">
      <c r="C30" s="618" t="s">
        <v>76</v>
      </c>
      <c r="D30" s="619">
        <v>-1.4915713109076023E-10</v>
      </c>
      <c r="E30" s="619">
        <v>6289.7469999999967</v>
      </c>
      <c r="F30" s="619"/>
      <c r="G30" s="619">
        <v>2986.5</v>
      </c>
      <c r="H30" s="619"/>
      <c r="I30" s="619">
        <v>761.60351421809833</v>
      </c>
      <c r="J30" s="619"/>
      <c r="K30" s="909"/>
      <c r="L30" s="615" t="s">
        <v>443</v>
      </c>
      <c r="M30" s="616">
        <f t="shared" si="2"/>
        <v>0</v>
      </c>
    </row>
    <row r="31" spans="3:13" ht="15.75" thickBot="1">
      <c r="C31" s="620" t="s">
        <v>54</v>
      </c>
      <c r="D31" s="621">
        <f t="shared" ref="D31:I31" si="3">SUM(D21:D30)</f>
        <v>45583.99959999985</v>
      </c>
      <c r="E31" s="621">
        <f t="shared" si="3"/>
        <v>46796.008899999993</v>
      </c>
      <c r="F31" s="621">
        <f t="shared" si="3"/>
        <v>46092.999998782121</v>
      </c>
      <c r="G31" s="621">
        <f t="shared" si="3"/>
        <v>42998.141300000032</v>
      </c>
      <c r="H31" s="621">
        <f t="shared" si="3"/>
        <v>45225.000000000015</v>
      </c>
      <c r="I31" s="621">
        <f t="shared" si="3"/>
        <v>55042.862749968481</v>
      </c>
      <c r="J31" s="621">
        <f>SUM(J21:J30)</f>
        <v>52282.999925000026</v>
      </c>
      <c r="K31" s="910">
        <f>SUM(K21:K30)</f>
        <v>47195.998269999916</v>
      </c>
      <c r="L31" s="622">
        <f t="shared" si="1"/>
        <v>-9.7297432478959056E-2</v>
      </c>
      <c r="M31" s="271">
        <f t="shared" si="2"/>
        <v>1</v>
      </c>
    </row>
    <row r="32" spans="3:13" s="23" customFormat="1" ht="12">
      <c r="C32" s="68" t="s">
        <v>445</v>
      </c>
      <c r="K32" s="911"/>
    </row>
    <row r="33" spans="3:11" s="23" customFormat="1" ht="12">
      <c r="K33" s="911"/>
    </row>
    <row r="34" spans="3:11" s="23" customFormat="1" ht="12">
      <c r="C34" s="612" t="s">
        <v>618</v>
      </c>
      <c r="D34" s="613"/>
      <c r="E34" s="47"/>
      <c r="F34" s="47"/>
      <c r="G34" s="47"/>
      <c r="H34" s="47"/>
      <c r="I34" s="47"/>
      <c r="J34" s="47"/>
      <c r="K34" s="912"/>
    </row>
    <row r="35" spans="3:11" s="23" customFormat="1" ht="12">
      <c r="C35" s="3986" t="s">
        <v>623</v>
      </c>
      <c r="D35" s="3986"/>
      <c r="E35" s="3986"/>
      <c r="F35" s="3986"/>
      <c r="G35" s="3986"/>
      <c r="H35" s="3986"/>
      <c r="I35" s="3986"/>
      <c r="J35" s="3986"/>
      <c r="K35" s="3986"/>
    </row>
  </sheetData>
  <sortState ref="C5:P14">
    <sortCondition descending="1" ref="N5:N14"/>
  </sortState>
  <mergeCells count="1">
    <mergeCell ref="C35:K35"/>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7"/>
  <sheetViews>
    <sheetView showGridLines="0" workbookViewId="0">
      <selection activeCell="K1" sqref="K1:K1048576"/>
    </sheetView>
  </sheetViews>
  <sheetFormatPr baseColWidth="10" defaultRowHeight="15"/>
  <cols>
    <col min="1" max="1" width="2" bestFit="1" customWidth="1"/>
    <col min="2" max="2" width="2" customWidth="1"/>
    <col min="3" max="3" width="19.140625" customWidth="1"/>
    <col min="4" max="9" width="13.5703125" bestFit="1" customWidth="1"/>
    <col min="10" max="10" width="13.5703125" customWidth="1"/>
    <col min="11" max="11" width="13.5703125" style="65" customWidth="1"/>
  </cols>
  <sheetData>
    <row r="2" spans="3:12" s="61" customFormat="1" ht="25.5">
      <c r="C2" s="61" t="s">
        <v>115</v>
      </c>
      <c r="D2" s="61" t="s">
        <v>0</v>
      </c>
      <c r="E2" s="61" t="s">
        <v>1</v>
      </c>
      <c r="F2" s="61" t="s">
        <v>2</v>
      </c>
      <c r="G2" s="61" t="s">
        <v>3</v>
      </c>
      <c r="H2" s="61" t="s">
        <v>427</v>
      </c>
      <c r="I2" s="61" t="s">
        <v>36</v>
      </c>
      <c r="J2" s="61" t="s">
        <v>428</v>
      </c>
      <c r="K2" s="880" t="s">
        <v>686</v>
      </c>
      <c r="L2" s="255" t="s">
        <v>630</v>
      </c>
    </row>
    <row r="3" spans="3:12">
      <c r="C3" t="s">
        <v>116</v>
      </c>
      <c r="D3" s="44">
        <v>7834.6702000000196</v>
      </c>
      <c r="E3" s="44">
        <v>10453.356300000009</v>
      </c>
      <c r="F3" s="44">
        <v>10797.263907121964</v>
      </c>
      <c r="G3" s="44">
        <v>12090.68770000002</v>
      </c>
      <c r="H3" s="44">
        <v>16510.36204755463</v>
      </c>
      <c r="I3" s="44">
        <v>22535.858875717491</v>
      </c>
      <c r="J3" s="44">
        <v>21243.647722000023</v>
      </c>
      <c r="K3" s="870">
        <v>27078.028509999971</v>
      </c>
      <c r="L3" s="256">
        <f>K3/$K$7</f>
        <v>0.57373568740068503</v>
      </c>
    </row>
    <row r="4" spans="3:12">
      <c r="C4" t="s">
        <v>424</v>
      </c>
      <c r="D4" s="44">
        <v>3816.4852999999989</v>
      </c>
      <c r="E4" s="44">
        <v>8076.5639999999958</v>
      </c>
      <c r="F4" s="44">
        <v>7912.4562185029954</v>
      </c>
      <c r="G4" s="44">
        <v>7082.5749999999798</v>
      </c>
      <c r="H4" s="44">
        <v>7583.753029592639</v>
      </c>
      <c r="I4" s="44">
        <v>14832.094800228568</v>
      </c>
      <c r="J4" s="44">
        <v>18287.635821000014</v>
      </c>
      <c r="K4" s="870">
        <v>11126.278839999995</v>
      </c>
      <c r="L4" s="256">
        <f>K4/$K$7</f>
        <v>0.23574623374525358</v>
      </c>
    </row>
    <row r="5" spans="3:12">
      <c r="C5" t="s">
        <v>425</v>
      </c>
      <c r="D5" s="44">
        <v>2010.8206999999995</v>
      </c>
      <c r="E5" s="44">
        <v>6798.6598999999969</v>
      </c>
      <c r="F5" s="44">
        <v>4866.9628868059917</v>
      </c>
      <c r="G5" s="44">
        <v>2894.5822999999987</v>
      </c>
      <c r="H5" s="44">
        <v>2170.4850952769793</v>
      </c>
      <c r="I5" s="44">
        <v>2128.7798255194152</v>
      </c>
      <c r="J5" s="44">
        <v>5586.8732200000013</v>
      </c>
      <c r="K5" s="870">
        <v>8991.6909199999973</v>
      </c>
      <c r="L5" s="256">
        <f>K5/$K$7</f>
        <v>0.19051807885406136</v>
      </c>
    </row>
    <row r="6" spans="3:12">
      <c r="C6" s="1" t="s">
        <v>426</v>
      </c>
      <c r="D6" s="44">
        <v>31922.023399999838</v>
      </c>
      <c r="E6" s="44">
        <v>21467.428699999953</v>
      </c>
      <c r="F6" s="44">
        <v>22516.31698635115</v>
      </c>
      <c r="G6" s="44">
        <v>20929.409700000033</v>
      </c>
      <c r="H6" s="44">
        <v>18960.399827575795</v>
      </c>
      <c r="I6" s="44">
        <v>15546.129248502992</v>
      </c>
      <c r="J6" s="44">
        <v>7164.843162000001</v>
      </c>
      <c r="K6" s="870"/>
      <c r="L6" s="256">
        <f>K6/$K$7</f>
        <v>0</v>
      </c>
    </row>
    <row r="7" spans="3:12">
      <c r="C7" t="s">
        <v>54</v>
      </c>
      <c r="D7" s="44">
        <f>SUM(D3:D6)</f>
        <v>45583.999599999857</v>
      </c>
      <c r="E7" s="44">
        <f t="shared" ref="E7:K7" si="0">SUM(E3:E6)</f>
        <v>46796.008899999957</v>
      </c>
      <c r="F7" s="44">
        <f t="shared" si="0"/>
        <v>46092.999998782107</v>
      </c>
      <c r="G7" s="44">
        <f t="shared" si="0"/>
        <v>42997.254700000034</v>
      </c>
      <c r="H7" s="44">
        <f t="shared" si="0"/>
        <v>45225.000000000044</v>
      </c>
      <c r="I7" s="44">
        <f t="shared" si="0"/>
        <v>55042.862749968466</v>
      </c>
      <c r="J7" s="44">
        <f t="shared" si="0"/>
        <v>52282.99992500004</v>
      </c>
      <c r="K7" s="870">
        <f t="shared" si="0"/>
        <v>47195.998269999967</v>
      </c>
      <c r="L7" s="256">
        <f>K7/$K$7</f>
        <v>1</v>
      </c>
    </row>
  </sheetData>
  <sortState ref="C5:O8">
    <sortCondition descending="1" ref="O5:O8"/>
  </sortState>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10"/>
  <sheetViews>
    <sheetView showGridLines="0" workbookViewId="0">
      <selection activeCell="K1" sqref="K1:K1048576"/>
    </sheetView>
  </sheetViews>
  <sheetFormatPr baseColWidth="10" defaultRowHeight="15"/>
  <cols>
    <col min="1" max="1" width="3" bestFit="1" customWidth="1"/>
    <col min="2" max="2" width="2.42578125" customWidth="1"/>
    <col min="3" max="3" width="21.5703125" customWidth="1"/>
    <col min="4" max="5" width="12.5703125" bestFit="1" customWidth="1"/>
    <col min="6" max="10" width="11.5703125" bestFit="1" customWidth="1"/>
    <col min="11" max="11" width="11.5703125" style="65" customWidth="1"/>
    <col min="12" max="13" width="11.5703125" bestFit="1" customWidth="1"/>
    <col min="14" max="14" width="12.5703125" bestFit="1" customWidth="1"/>
  </cols>
  <sheetData>
    <row r="2" spans="3:12" ht="25.5">
      <c r="C2" t="s">
        <v>117</v>
      </c>
      <c r="D2" t="s">
        <v>0</v>
      </c>
      <c r="E2" t="s">
        <v>1</v>
      </c>
      <c r="F2" t="s">
        <v>2</v>
      </c>
      <c r="G2" t="s">
        <v>3</v>
      </c>
      <c r="H2" t="s">
        <v>427</v>
      </c>
      <c r="I2" t="s">
        <v>36</v>
      </c>
      <c r="J2" t="s">
        <v>364</v>
      </c>
      <c r="K2" s="65" t="s">
        <v>444</v>
      </c>
      <c r="L2" s="255" t="s">
        <v>630</v>
      </c>
    </row>
    <row r="3" spans="3:12">
      <c r="C3" t="s">
        <v>181</v>
      </c>
      <c r="D3" s="44">
        <v>22965.739300000023</v>
      </c>
      <c r="E3" s="44">
        <v>12776.6731</v>
      </c>
      <c r="F3" s="44">
        <v>25446.952943271273</v>
      </c>
      <c r="G3" s="44">
        <v>2613.2542000000012</v>
      </c>
      <c r="H3" s="44">
        <v>7093.2484835722307</v>
      </c>
      <c r="I3" s="44">
        <v>2846.951480911725</v>
      </c>
      <c r="J3" s="44">
        <v>1648.0234559999999</v>
      </c>
      <c r="K3" s="913">
        <v>3623.3387499999963</v>
      </c>
      <c r="L3" s="256">
        <f>K3/$K$6</f>
        <v>7.6772160412235266E-2</v>
      </c>
    </row>
    <row r="4" spans="3:12">
      <c r="C4" t="s">
        <v>182</v>
      </c>
      <c r="D4" s="44">
        <v>22618.260300000005</v>
      </c>
      <c r="E4" s="44">
        <v>34019.335800000001</v>
      </c>
      <c r="F4" s="44">
        <v>20646.047055511059</v>
      </c>
      <c r="G4" s="44">
        <v>40384.000500000177</v>
      </c>
      <c r="H4" s="44">
        <v>38131.751516427583</v>
      </c>
      <c r="I4" s="44">
        <v>51432.006486718761</v>
      </c>
      <c r="J4" s="44">
        <v>50634.976468999746</v>
      </c>
      <c r="K4" s="913">
        <v>43572.659519999717</v>
      </c>
      <c r="L4" s="256">
        <f>K4/$K$6</f>
        <v>0.92322783958776478</v>
      </c>
    </row>
    <row r="5" spans="3:12">
      <c r="C5" t="s">
        <v>76</v>
      </c>
      <c r="D5" s="44"/>
      <c r="E5" s="44"/>
      <c r="F5" s="44"/>
      <c r="G5" s="44"/>
      <c r="H5" s="44"/>
      <c r="I5" s="44">
        <v>763.90478233789759</v>
      </c>
      <c r="J5" s="44"/>
      <c r="L5" s="256">
        <f>K5/$K$6</f>
        <v>0</v>
      </c>
    </row>
    <row r="6" spans="3:12">
      <c r="C6" t="s">
        <v>54</v>
      </c>
      <c r="D6" s="44">
        <v>45583.999599999857</v>
      </c>
      <c r="E6" s="44">
        <v>46796.008900000001</v>
      </c>
      <c r="F6" s="44">
        <v>46092.999998782929</v>
      </c>
      <c r="G6" s="44">
        <v>42997.254700000252</v>
      </c>
      <c r="H6" s="44">
        <v>45224.999999999607</v>
      </c>
      <c r="I6" s="44">
        <f>SUM(I3:I5)</f>
        <v>55042.862749968386</v>
      </c>
      <c r="J6" s="44">
        <f>SUM(J3:J5)</f>
        <v>52282.999924999749</v>
      </c>
      <c r="K6" s="870">
        <f>SUM(K3:K5)</f>
        <v>47195.998269999713</v>
      </c>
      <c r="L6" s="256">
        <f>J6/$J$6</f>
        <v>1</v>
      </c>
    </row>
    <row r="7" spans="3:12">
      <c r="C7" s="68" t="s">
        <v>445</v>
      </c>
      <c r="D7" s="23"/>
      <c r="E7" s="23"/>
      <c r="F7" s="23"/>
      <c r="G7" s="23"/>
      <c r="H7" s="23"/>
      <c r="I7" s="23"/>
      <c r="J7" s="23"/>
      <c r="K7" s="911"/>
    </row>
    <row r="8" spans="3:12">
      <c r="C8" s="23"/>
      <c r="D8" s="23"/>
      <c r="E8" s="23"/>
      <c r="F8" s="23"/>
      <c r="G8" s="23"/>
      <c r="H8" s="23"/>
      <c r="I8" s="23"/>
      <c r="J8" s="23"/>
      <c r="K8" s="911"/>
    </row>
    <row r="9" spans="3:12">
      <c r="C9" s="612" t="s">
        <v>618</v>
      </c>
      <c r="D9" s="613"/>
      <c r="E9" s="47"/>
      <c r="F9" s="47"/>
      <c r="G9" s="47"/>
      <c r="H9" s="47"/>
      <c r="I9" s="47"/>
      <c r="J9" s="47"/>
      <c r="K9" s="912"/>
    </row>
    <row r="10" spans="3:12">
      <c r="C10" s="3986" t="s">
        <v>623</v>
      </c>
      <c r="D10" s="3986"/>
      <c r="E10" s="3986"/>
      <c r="F10" s="3986"/>
      <c r="G10" s="3986"/>
      <c r="H10" s="3986"/>
      <c r="I10" s="3986"/>
      <c r="J10" s="3986"/>
      <c r="K10" s="3986"/>
    </row>
  </sheetData>
  <mergeCells count="1">
    <mergeCell ref="C10:K10"/>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M15"/>
  <sheetViews>
    <sheetView showGridLines="0" topLeftCell="A6" workbookViewId="0">
      <selection activeCell="P15" sqref="P15"/>
    </sheetView>
  </sheetViews>
  <sheetFormatPr baseColWidth="10" defaultRowHeight="15"/>
  <cols>
    <col min="1" max="1" width="3" bestFit="1" customWidth="1"/>
    <col min="2" max="2" width="1.85546875" customWidth="1"/>
    <col min="3" max="3" width="27.42578125" customWidth="1"/>
    <col min="4" max="10" width="10.42578125" customWidth="1"/>
    <col min="11" max="11" width="10.42578125" style="65" customWidth="1"/>
    <col min="12" max="12" width="12.42578125" bestFit="1" customWidth="1"/>
  </cols>
  <sheetData>
    <row r="1" spans="3:13" ht="15.75" thickBot="1"/>
    <row r="2" spans="3:13" s="62" customFormat="1" ht="30.75" thickBot="1">
      <c r="C2" s="634" t="s">
        <v>138</v>
      </c>
      <c r="D2" s="635" t="s">
        <v>0</v>
      </c>
      <c r="E2" s="635" t="s">
        <v>1</v>
      </c>
      <c r="F2" s="635" t="s">
        <v>2</v>
      </c>
      <c r="G2" s="635" t="s">
        <v>3</v>
      </c>
      <c r="H2" s="635" t="s">
        <v>35</v>
      </c>
      <c r="I2" s="635" t="s">
        <v>36</v>
      </c>
      <c r="J2" s="635" t="s">
        <v>364</v>
      </c>
      <c r="K2" s="914" t="s">
        <v>444</v>
      </c>
      <c r="L2" s="636" t="s">
        <v>447</v>
      </c>
      <c r="M2" s="637" t="s">
        <v>629</v>
      </c>
    </row>
    <row r="3" spans="3:13">
      <c r="C3" s="53" t="s">
        <v>139</v>
      </c>
      <c r="D3" s="630">
        <v>32336.530099999949</v>
      </c>
      <c r="E3" s="630">
        <v>24679.946899999872</v>
      </c>
      <c r="F3" s="630">
        <v>21256.093858909182</v>
      </c>
      <c r="G3" s="630">
        <v>15890.603300000024</v>
      </c>
      <c r="H3" s="630">
        <v>20020.935308979562</v>
      </c>
      <c r="I3" s="630">
        <v>21611.028855261193</v>
      </c>
      <c r="J3" s="630">
        <v>21981</v>
      </c>
      <c r="K3" s="915">
        <v>18313.512170000002</v>
      </c>
      <c r="L3" s="638">
        <f>K3/$K$11</f>
        <v>0.38803103740346051</v>
      </c>
      <c r="M3" s="639">
        <f>K3/J3-1</f>
        <v>-0.16684808834902864</v>
      </c>
    </row>
    <row r="4" spans="3:13">
      <c r="C4" s="53" t="s">
        <v>183</v>
      </c>
      <c r="D4" s="630"/>
      <c r="E4" s="630">
        <v>7791.2270999999964</v>
      </c>
      <c r="F4" s="630">
        <v>6662.9557266029915</v>
      </c>
      <c r="G4" s="630">
        <v>6176.1990999999962</v>
      </c>
      <c r="H4" s="630">
        <v>6339.38923286318</v>
      </c>
      <c r="I4" s="630">
        <v>7090.5157668870879</v>
      </c>
      <c r="J4" s="630">
        <v>8038</v>
      </c>
      <c r="K4" s="915">
        <v>5808.6560599999975</v>
      </c>
      <c r="L4" s="638">
        <f t="shared" ref="L4:L11" si="0">K4/$K$11</f>
        <v>0.12307518164505615</v>
      </c>
      <c r="M4" s="639">
        <f t="shared" ref="M4:M11" si="1">K4/J4-1</f>
        <v>-0.2773505772580247</v>
      </c>
    </row>
    <row r="5" spans="3:13">
      <c r="C5" s="53" t="s">
        <v>141</v>
      </c>
      <c r="D5" s="630">
        <v>10003.477300000019</v>
      </c>
      <c r="E5" s="630">
        <v>9877.881900000004</v>
      </c>
      <c r="F5" s="630">
        <v>12450.116446999938</v>
      </c>
      <c r="G5" s="630">
        <v>15578.369500000048</v>
      </c>
      <c r="H5" s="630">
        <v>14616.853959121179</v>
      </c>
      <c r="I5" s="630">
        <v>22982.330246394082</v>
      </c>
      <c r="J5" s="630">
        <v>18487</v>
      </c>
      <c r="K5" s="915">
        <v>18056.897009999931</v>
      </c>
      <c r="L5" s="638">
        <f t="shared" si="0"/>
        <v>0.38259381455816716</v>
      </c>
      <c r="M5" s="639">
        <f t="shared" si="1"/>
        <v>-2.3265158760213622E-2</v>
      </c>
    </row>
    <row r="6" spans="3:13">
      <c r="C6" s="53" t="s">
        <v>142</v>
      </c>
      <c r="D6" s="630">
        <v>491.54840000000013</v>
      </c>
      <c r="E6" s="630">
        <v>1673.8544999999995</v>
      </c>
      <c r="F6" s="630">
        <v>2514.7855960369998</v>
      </c>
      <c r="G6" s="630">
        <v>624.9807000000003</v>
      </c>
      <c r="H6" s="630">
        <v>1008.9489428592115</v>
      </c>
      <c r="I6" s="630">
        <v>1173.549686607</v>
      </c>
      <c r="J6" s="630">
        <v>884</v>
      </c>
      <c r="K6" s="915">
        <v>847.27788999999984</v>
      </c>
      <c r="L6" s="638">
        <f t="shared" si="0"/>
        <v>1.795232479569292E-2</v>
      </c>
      <c r="M6" s="639">
        <f t="shared" si="1"/>
        <v>-4.15408484162898E-2</v>
      </c>
    </row>
    <row r="7" spans="3:13">
      <c r="C7" s="53" t="s">
        <v>429</v>
      </c>
      <c r="D7" s="630"/>
      <c r="E7" s="630"/>
      <c r="F7" s="630"/>
      <c r="G7" s="630"/>
      <c r="H7" s="630"/>
      <c r="I7" s="630"/>
      <c r="J7" s="630">
        <v>455</v>
      </c>
      <c r="K7" s="915">
        <v>787.64012000000002</v>
      </c>
      <c r="L7" s="638">
        <f t="shared" si="0"/>
        <v>1.6688705586733237E-2</v>
      </c>
      <c r="M7" s="639">
        <f t="shared" si="1"/>
        <v>0.7310771868131869</v>
      </c>
    </row>
    <row r="8" spans="3:13">
      <c r="C8" s="53" t="s">
        <v>140</v>
      </c>
      <c r="D8" s="630"/>
      <c r="E8" s="630">
        <v>1932.4162000000001</v>
      </c>
      <c r="F8" s="630">
        <v>1282.1565052030003</v>
      </c>
      <c r="G8" s="630">
        <v>841.26389999999992</v>
      </c>
      <c r="H8" s="630">
        <v>964.87732881407953</v>
      </c>
      <c r="I8" s="630">
        <v>1397.4109497542097</v>
      </c>
      <c r="J8" s="630">
        <v>1223</v>
      </c>
      <c r="K8" s="916"/>
      <c r="L8" s="638">
        <f t="shared" si="0"/>
        <v>0</v>
      </c>
      <c r="M8" s="639">
        <f>K8/J8-1</f>
        <v>-1</v>
      </c>
    </row>
    <row r="9" spans="3:13">
      <c r="C9" s="631" t="s">
        <v>631</v>
      </c>
      <c r="D9" s="630"/>
      <c r="E9" s="630"/>
      <c r="F9" s="630"/>
      <c r="G9" s="630"/>
      <c r="H9" s="630"/>
      <c r="I9" s="630"/>
      <c r="J9" s="630"/>
      <c r="K9" s="915">
        <v>699.72868000000005</v>
      </c>
      <c r="L9" s="638">
        <f t="shared" si="0"/>
        <v>1.4826017155034553E-2</v>
      </c>
      <c r="M9" s="639"/>
    </row>
    <row r="10" spans="3:13" ht="15.75" thickBot="1">
      <c r="C10" s="53" t="s">
        <v>143</v>
      </c>
      <c r="D10" s="630">
        <v>2752.4437999999996</v>
      </c>
      <c r="E10" s="630">
        <v>840.68230000000017</v>
      </c>
      <c r="F10" s="630">
        <v>1926.8918650299997</v>
      </c>
      <c r="G10" s="630">
        <v>3885.8381999999951</v>
      </c>
      <c r="H10" s="630">
        <v>2273.9952273627796</v>
      </c>
      <c r="I10" s="630">
        <v>788.02724506486732</v>
      </c>
      <c r="J10" s="630">
        <v>1216</v>
      </c>
      <c r="K10" s="915">
        <v>2682.2863399999992</v>
      </c>
      <c r="L10" s="638">
        <f t="shared" si="0"/>
        <v>5.6832918855855424E-2</v>
      </c>
      <c r="M10" s="639">
        <f t="shared" si="1"/>
        <v>1.2058275822368416</v>
      </c>
    </row>
    <row r="11" spans="3:13" ht="15.75" thickBot="1">
      <c r="C11" s="632" t="s">
        <v>54</v>
      </c>
      <c r="D11" s="633">
        <v>45583.999599999857</v>
      </c>
      <c r="E11" s="633">
        <v>46796.008900000117</v>
      </c>
      <c r="F11" s="633">
        <v>46092.999998782681</v>
      </c>
      <c r="G11" s="633">
        <v>42997.254700000252</v>
      </c>
      <c r="H11" s="633">
        <v>45224.999999999607</v>
      </c>
      <c r="I11" s="633">
        <v>55042.86274996835</v>
      </c>
      <c r="J11" s="633">
        <v>52283</v>
      </c>
      <c r="K11" s="917">
        <f>SUM(K3:K10)</f>
        <v>47195.998269999931</v>
      </c>
      <c r="L11" s="640">
        <f t="shared" si="0"/>
        <v>1</v>
      </c>
      <c r="M11" s="641">
        <f t="shared" si="1"/>
        <v>-9.7297433773885778E-2</v>
      </c>
    </row>
    <row r="12" spans="3:13">
      <c r="C12" s="68" t="s">
        <v>445</v>
      </c>
      <c r="D12" s="23"/>
      <c r="E12" s="23"/>
      <c r="F12" s="23"/>
      <c r="G12" s="23"/>
      <c r="H12" s="23"/>
      <c r="I12" s="23"/>
      <c r="J12" s="23"/>
      <c r="K12" s="911"/>
    </row>
    <row r="13" spans="3:13">
      <c r="C13" s="23"/>
      <c r="D13" s="23"/>
      <c r="E13" s="23"/>
      <c r="F13" s="23"/>
      <c r="G13" s="23"/>
      <c r="H13" s="23"/>
      <c r="I13" s="23"/>
      <c r="J13" s="23"/>
      <c r="K13" s="911"/>
    </row>
    <row r="14" spans="3:13">
      <c r="C14" s="612" t="s">
        <v>618</v>
      </c>
      <c r="D14" s="613"/>
      <c r="E14" s="47"/>
      <c r="F14" s="47"/>
      <c r="G14" s="47"/>
      <c r="H14" s="47"/>
      <c r="I14" s="47"/>
      <c r="J14" s="47"/>
      <c r="K14" s="912"/>
    </row>
    <row r="15" spans="3:13">
      <c r="C15" s="3986" t="s">
        <v>623</v>
      </c>
      <c r="D15" s="3986"/>
      <c r="E15" s="3986"/>
      <c r="F15" s="3986"/>
      <c r="G15" s="3986"/>
      <c r="H15" s="3986"/>
      <c r="I15" s="3986"/>
      <c r="J15" s="3986"/>
      <c r="K15" s="3986"/>
    </row>
  </sheetData>
  <mergeCells count="1">
    <mergeCell ref="C15:K15"/>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63"/>
  <sheetViews>
    <sheetView workbookViewId="0">
      <selection activeCell="B21" sqref="B21"/>
    </sheetView>
  </sheetViews>
  <sheetFormatPr baseColWidth="10" defaultRowHeight="15"/>
  <cols>
    <col min="1" max="1" width="138.85546875" bestFit="1" customWidth="1"/>
  </cols>
  <sheetData>
    <row r="1" spans="1:1" ht="18.75">
      <c r="A1" s="2775" t="s">
        <v>1224</v>
      </c>
    </row>
    <row r="2" spans="1:1" ht="15.75">
      <c r="A2" s="2776"/>
    </row>
    <row r="3" spans="1:1" ht="15.75">
      <c r="A3" s="2776" t="s">
        <v>1225</v>
      </c>
    </row>
    <row r="4" spans="1:1" ht="15.75">
      <c r="A4" s="2776" t="s">
        <v>1226</v>
      </c>
    </row>
    <row r="5" spans="1:1" ht="15.75">
      <c r="A5" s="2776" t="s">
        <v>1227</v>
      </c>
    </row>
    <row r="6" spans="1:1" ht="15.75">
      <c r="A6" s="2776" t="s">
        <v>1228</v>
      </c>
    </row>
    <row r="7" spans="1:1" ht="15.75">
      <c r="A7" s="2776" t="s">
        <v>1229</v>
      </c>
    </row>
    <row r="8" spans="1:1">
      <c r="A8" s="2778" t="s">
        <v>1230</v>
      </c>
    </row>
    <row r="9" spans="1:1" ht="15.75">
      <c r="A9" s="2776" t="s">
        <v>1231</v>
      </c>
    </row>
    <row r="10" spans="1:1" ht="15.75">
      <c r="A10" s="2776" t="s">
        <v>1232</v>
      </c>
    </row>
    <row r="11" spans="1:1" ht="15.75">
      <c r="A11" s="2776" t="s">
        <v>1233</v>
      </c>
    </row>
    <row r="12" spans="1:1" ht="15.75">
      <c r="A12" s="2776" t="s">
        <v>1234</v>
      </c>
    </row>
    <row r="13" spans="1:1" ht="15.75">
      <c r="A13" s="2780" t="s">
        <v>1235</v>
      </c>
    </row>
    <row r="14" spans="1:1" ht="15.75">
      <c r="A14" s="2776" t="s">
        <v>1236</v>
      </c>
    </row>
    <row r="15" spans="1:1" ht="15.75">
      <c r="A15" s="2776" t="s">
        <v>1237</v>
      </c>
    </row>
    <row r="16" spans="1:1" ht="15.75">
      <c r="A16" s="2776" t="s">
        <v>1238</v>
      </c>
    </row>
    <row r="17" spans="1:1" ht="15.75">
      <c r="A17" s="2776" t="s">
        <v>1239</v>
      </c>
    </row>
    <row r="18" spans="1:1" ht="15.75">
      <c r="A18" s="2776" t="s">
        <v>1240</v>
      </c>
    </row>
    <row r="19" spans="1:1" ht="15.75">
      <c r="A19" s="2776" t="s">
        <v>1241</v>
      </c>
    </row>
    <row r="20" spans="1:1" ht="15.75">
      <c r="A20" s="2776" t="s">
        <v>1242</v>
      </c>
    </row>
    <row r="21" spans="1:1" ht="15.75">
      <c r="A21" s="2776" t="s">
        <v>1243</v>
      </c>
    </row>
    <row r="22" spans="1:1" ht="15.75">
      <c r="A22" s="2776" t="s">
        <v>1244</v>
      </c>
    </row>
    <row r="23" spans="1:1" ht="15.75">
      <c r="A23" s="2776" t="s">
        <v>1245</v>
      </c>
    </row>
    <row r="24" spans="1:1" ht="15.75">
      <c r="A24" s="2776" t="s">
        <v>1246</v>
      </c>
    </row>
    <row r="25" spans="1:1" ht="15.75">
      <c r="A25" s="2776" t="s">
        <v>1247</v>
      </c>
    </row>
    <row r="26" spans="1:1" ht="15.75">
      <c r="A26" s="2780" t="s">
        <v>1248</v>
      </c>
    </row>
    <row r="27" spans="1:1" ht="15.75">
      <c r="A27" s="2776" t="s">
        <v>1249</v>
      </c>
    </row>
    <row r="28" spans="1:1" ht="15.75">
      <c r="A28" s="2776" t="s">
        <v>1250</v>
      </c>
    </row>
    <row r="29" spans="1:1" ht="15.75">
      <c r="A29" s="2776" t="s">
        <v>1251</v>
      </c>
    </row>
    <row r="30" spans="1:1" ht="15.75">
      <c r="A30" s="2776" t="s">
        <v>1252</v>
      </c>
    </row>
    <row r="31" spans="1:1" ht="15.75">
      <c r="A31" s="2776" t="s">
        <v>1253</v>
      </c>
    </row>
    <row r="32" spans="1:1" ht="15.75">
      <c r="A32" s="2776" t="s">
        <v>1254</v>
      </c>
    </row>
    <row r="33" spans="1:1" ht="15.75">
      <c r="A33" s="2776" t="s">
        <v>1255</v>
      </c>
    </row>
    <row r="34" spans="1:1" ht="15.75">
      <c r="A34" s="2776" t="s">
        <v>1256</v>
      </c>
    </row>
    <row r="35" spans="1:1" ht="15.75">
      <c r="A35" s="2776" t="s">
        <v>1257</v>
      </c>
    </row>
    <row r="36" spans="1:1" ht="15.75">
      <c r="A36" s="2776" t="s">
        <v>1258</v>
      </c>
    </row>
    <row r="37" spans="1:1" ht="15.75">
      <c r="A37" s="2776" t="s">
        <v>1259</v>
      </c>
    </row>
    <row r="38" spans="1:1" ht="15.75">
      <c r="A38" s="2776" t="s">
        <v>1260</v>
      </c>
    </row>
    <row r="39" spans="1:1" ht="15.75">
      <c r="A39" s="2776" t="s">
        <v>1261</v>
      </c>
    </row>
    <row r="40" spans="1:1" ht="15.75">
      <c r="A40" s="2776" t="s">
        <v>1262</v>
      </c>
    </row>
    <row r="41" spans="1:1">
      <c r="A41" s="2778" t="s">
        <v>1263</v>
      </c>
    </row>
    <row r="42" spans="1:1">
      <c r="A42" s="2778" t="s">
        <v>1264</v>
      </c>
    </row>
    <row r="43" spans="1:1">
      <c r="A43" s="2778" t="s">
        <v>1265</v>
      </c>
    </row>
    <row r="44" spans="1:1" ht="15.75">
      <c r="A44" s="2776" t="s">
        <v>1266</v>
      </c>
    </row>
    <row r="45" spans="1:1" ht="15.75">
      <c r="A45" s="2776" t="s">
        <v>1267</v>
      </c>
    </row>
    <row r="46" spans="1:1" ht="15.75">
      <c r="A46" s="2776" t="s">
        <v>1268</v>
      </c>
    </row>
    <row r="47" spans="1:1" ht="15.75">
      <c r="A47" s="2776" t="s">
        <v>1269</v>
      </c>
    </row>
    <row r="48" spans="1:1" ht="15.75">
      <c r="A48" s="2776" t="s">
        <v>1270</v>
      </c>
    </row>
    <row r="49" spans="1:1" ht="15.75">
      <c r="A49" s="2776" t="s">
        <v>1271</v>
      </c>
    </row>
    <row r="50" spans="1:1" ht="15.75">
      <c r="A50" s="2776" t="s">
        <v>1272</v>
      </c>
    </row>
    <row r="51" spans="1:1" ht="15.75">
      <c r="A51" s="2776" t="s">
        <v>1273</v>
      </c>
    </row>
    <row r="52" spans="1:1" ht="15.75">
      <c r="A52" s="2776" t="s">
        <v>1274</v>
      </c>
    </row>
    <row r="53" spans="1:1" ht="15.75">
      <c r="A53" s="2776" t="s">
        <v>1275</v>
      </c>
    </row>
    <row r="54" spans="1:1" ht="15.75">
      <c r="A54" s="2776" t="s">
        <v>1276</v>
      </c>
    </row>
    <row r="55" spans="1:1" ht="15.75">
      <c r="A55" s="2776" t="s">
        <v>1277</v>
      </c>
    </row>
    <row r="56" spans="1:1" ht="15.75">
      <c r="A56" s="2776" t="s">
        <v>1278</v>
      </c>
    </row>
    <row r="57" spans="1:1" ht="15.75">
      <c r="A57" s="2776" t="s">
        <v>1279</v>
      </c>
    </row>
    <row r="58" spans="1:1" ht="15.75">
      <c r="A58" s="2777" t="s">
        <v>1280</v>
      </c>
    </row>
    <row r="59" spans="1:1" ht="15.75">
      <c r="A59" s="2779"/>
    </row>
    <row r="60" spans="1:1" ht="15.75">
      <c r="A60" s="2779" t="s">
        <v>1281</v>
      </c>
    </row>
    <row r="61" spans="1:1" ht="15.75">
      <c r="A61" s="2779"/>
    </row>
    <row r="62" spans="1:1" ht="15.75">
      <c r="A62" s="2779" t="s">
        <v>1282</v>
      </c>
    </row>
    <row r="63" spans="1:1" ht="15.75">
      <c r="A63" s="2779"/>
    </row>
  </sheetData>
  <hyperlinks>
    <hyperlink ref="A8" r:id="rId1" tooltip="Parque Nacional de Saraguro" display="http://www.ambiente.gob.ec/?q=node/66"/>
    <hyperlink ref="A41" r:id="rId2" tooltip="Parque Binacional El COndor" display="http://www.ambiente.gob.ec/?q=node/73"/>
    <hyperlink ref="A42" r:id="rId3" tooltip="Refugio de Vida Silvestre El Zarza" display="http://www.ambiente.gob.ec/?q=node/95"/>
    <hyperlink ref="A43" r:id="rId4" tooltip="Reserva Biológica El Quimi" display="http://www.ambiente.gob.ec/?q=node/71"/>
  </hyperlinks>
  <pageMargins left="0.7" right="0.7" top="0.75" bottom="0.75" header="0.3" footer="0.3"/>
  <drawing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15"/>
  <sheetViews>
    <sheetView showGridLines="0" topLeftCell="J1" workbookViewId="0">
      <selection activeCell="M3" sqref="M3"/>
    </sheetView>
  </sheetViews>
  <sheetFormatPr baseColWidth="10" defaultColWidth="11.42578125" defaultRowHeight="15"/>
  <cols>
    <col min="1" max="1" width="2" style="22" bestFit="1" customWidth="1"/>
    <col min="2" max="2" width="2.7109375" style="22" customWidth="1"/>
    <col min="3" max="3" width="35.140625" style="22" customWidth="1"/>
    <col min="4" max="13" width="11.42578125" style="22"/>
    <col min="14" max="14" width="11.5703125" style="22" bestFit="1" customWidth="1"/>
    <col min="15" max="16384" width="11.42578125" style="22"/>
  </cols>
  <sheetData>
    <row r="1" spans="1:14" s="31" customFormat="1">
      <c r="A1" s="31">
        <v>8</v>
      </c>
      <c r="C1" s="31" t="s">
        <v>118</v>
      </c>
    </row>
    <row r="3" spans="1:14" ht="60">
      <c r="C3" s="22" t="s">
        <v>119</v>
      </c>
      <c r="D3" s="22" t="s">
        <v>80</v>
      </c>
      <c r="E3" s="22" t="s">
        <v>81</v>
      </c>
      <c r="F3" s="22" t="s">
        <v>82</v>
      </c>
      <c r="G3" s="22" t="s">
        <v>83</v>
      </c>
      <c r="H3" s="22" t="s">
        <v>84</v>
      </c>
      <c r="I3" s="22" t="s">
        <v>85</v>
      </c>
      <c r="J3" s="22" t="s">
        <v>86</v>
      </c>
      <c r="K3" s="22" t="s">
        <v>53</v>
      </c>
      <c r="L3" s="22" t="s">
        <v>76</v>
      </c>
      <c r="M3" s="22" t="s">
        <v>87</v>
      </c>
    </row>
    <row r="4" spans="1:14">
      <c r="C4" s="22" t="s">
        <v>120</v>
      </c>
      <c r="D4" s="32">
        <v>5245.9813573168813</v>
      </c>
      <c r="E4" s="32">
        <v>9138.8559136389777</v>
      </c>
      <c r="F4" s="32">
        <v>1893.0949630069642</v>
      </c>
      <c r="G4" s="32">
        <v>729.30944205786341</v>
      </c>
      <c r="H4" s="32">
        <v>396.47663719927857</v>
      </c>
      <c r="I4" s="32">
        <v>212.48466772993092</v>
      </c>
      <c r="J4" s="32">
        <v>113.87557603686631</v>
      </c>
      <c r="K4" s="32">
        <v>762.8819686896212</v>
      </c>
      <c r="L4" s="32">
        <v>0</v>
      </c>
      <c r="M4" s="32">
        <v>18492.96052567635</v>
      </c>
      <c r="N4" s="33">
        <f>M4/$M$15</f>
        <v>0.31663857113200389</v>
      </c>
    </row>
    <row r="5" spans="1:14" ht="30">
      <c r="C5" s="22" t="s">
        <v>121</v>
      </c>
      <c r="D5" s="32">
        <v>6101.9354724727154</v>
      </c>
      <c r="E5" s="32">
        <v>5319.1409574318877</v>
      </c>
      <c r="F5" s="32">
        <v>312.79888927974406</v>
      </c>
      <c r="G5" s="32">
        <v>525.92378853608534</v>
      </c>
      <c r="H5" s="32">
        <v>94.65</v>
      </c>
      <c r="I5" s="32">
        <v>339.56684587813629</v>
      </c>
      <c r="J5" s="32"/>
      <c r="K5" s="32">
        <v>764.33504208317186</v>
      </c>
      <c r="L5" s="32">
        <v>72.760000000000005</v>
      </c>
      <c r="M5" s="32">
        <v>13531.110995681755</v>
      </c>
      <c r="N5" s="33">
        <f t="shared" ref="N5:N15" si="0">M5/$M$15</f>
        <v>0.23168121975670089</v>
      </c>
    </row>
    <row r="6" spans="1:14">
      <c r="C6" s="22" t="s">
        <v>122</v>
      </c>
      <c r="D6" s="32">
        <v>814.30924242424237</v>
      </c>
      <c r="E6" s="32">
        <v>800.43130947693362</v>
      </c>
      <c r="F6" s="32">
        <v>2765.6056003408471</v>
      </c>
      <c r="G6" s="32">
        <v>965.04648661422459</v>
      </c>
      <c r="H6" s="32">
        <v>802.45428292460417</v>
      </c>
      <c r="I6" s="32">
        <v>36.450000000000003</v>
      </c>
      <c r="J6" s="32">
        <v>43.1019230769231</v>
      </c>
      <c r="K6" s="32">
        <v>252.59225133988309</v>
      </c>
      <c r="L6" s="32">
        <v>22.066666666666698</v>
      </c>
      <c r="M6" s="32">
        <v>6502.0577628643177</v>
      </c>
      <c r="N6" s="33">
        <f t="shared" si="0"/>
        <v>0.11132897172373184</v>
      </c>
    </row>
    <row r="7" spans="1:14">
      <c r="C7" s="22" t="s">
        <v>123</v>
      </c>
      <c r="D7" s="32">
        <v>406.06161369795524</v>
      </c>
      <c r="E7" s="32">
        <v>1516.0307188919317</v>
      </c>
      <c r="F7" s="32">
        <v>1129.9110283884954</v>
      </c>
      <c r="G7" s="32">
        <v>70.917685563997694</v>
      </c>
      <c r="H7" s="32">
        <v>185.27184340018991</v>
      </c>
      <c r="I7" s="32">
        <v>36.450000000000003</v>
      </c>
      <c r="J7" s="32"/>
      <c r="K7" s="32">
        <v>813.89266015854628</v>
      </c>
      <c r="L7" s="32"/>
      <c r="M7" s="32">
        <v>4158.5355501011172</v>
      </c>
      <c r="N7" s="33">
        <f t="shared" si="0"/>
        <v>7.1202918145930633E-2</v>
      </c>
    </row>
    <row r="8" spans="1:14">
      <c r="C8" s="22" t="s">
        <v>124</v>
      </c>
      <c r="D8" s="32">
        <v>291.96153641679962</v>
      </c>
      <c r="E8" s="32">
        <v>435.23309658582633</v>
      </c>
      <c r="F8" s="32">
        <v>30.945454545454499</v>
      </c>
      <c r="G8" s="32">
        <v>630.44102795169761</v>
      </c>
      <c r="H8" s="32">
        <v>153.75999907800119</v>
      </c>
      <c r="I8" s="32">
        <v>586.45000000000005</v>
      </c>
      <c r="J8" s="32"/>
      <c r="K8" s="32">
        <v>76.817271183824602</v>
      </c>
      <c r="L8" s="32"/>
      <c r="M8" s="32">
        <v>2205.6083857616049</v>
      </c>
      <c r="N8" s="33">
        <f t="shared" si="0"/>
        <v>3.776467736329514E-2</v>
      </c>
    </row>
    <row r="9" spans="1:14">
      <c r="C9" s="22" t="s">
        <v>125</v>
      </c>
      <c r="D9" s="32">
        <v>342.60981191222572</v>
      </c>
      <c r="E9" s="32">
        <v>254.91045543254509</v>
      </c>
      <c r="F9" s="32">
        <v>626.4875929102343</v>
      </c>
      <c r="G9" s="32">
        <v>412.11005391818821</v>
      </c>
      <c r="H9" s="32">
        <v>64.6944444444444</v>
      </c>
      <c r="I9" s="32">
        <v>0</v>
      </c>
      <c r="J9" s="32"/>
      <c r="K9" s="32">
        <v>0</v>
      </c>
      <c r="L9" s="32"/>
      <c r="M9" s="32">
        <v>1700.812358617638</v>
      </c>
      <c r="N9" s="33">
        <f t="shared" si="0"/>
        <v>2.9121502435946283E-2</v>
      </c>
    </row>
    <row r="10" spans="1:14" ht="30">
      <c r="C10" s="22" t="s">
        <v>126</v>
      </c>
      <c r="D10" s="32">
        <v>768.70089549036379</v>
      </c>
      <c r="E10" s="32">
        <v>440.25331282283264</v>
      </c>
      <c r="F10" s="32">
        <v>79.020454545454498</v>
      </c>
      <c r="G10" s="32">
        <v>94.139446289764805</v>
      </c>
      <c r="H10" s="32">
        <v>29.1875</v>
      </c>
      <c r="I10" s="32">
        <v>53.620926243567702</v>
      </c>
      <c r="J10" s="32"/>
      <c r="K10" s="32">
        <v>0</v>
      </c>
      <c r="L10" s="32"/>
      <c r="M10" s="32">
        <v>1464.9225353919842</v>
      </c>
      <c r="N10" s="33">
        <f t="shared" si="0"/>
        <v>2.5082570082900543E-2</v>
      </c>
    </row>
    <row r="11" spans="1:14" ht="45">
      <c r="C11" s="22" t="s">
        <v>127</v>
      </c>
      <c r="D11" s="32">
        <v>439.85360776123946</v>
      </c>
      <c r="E11" s="32">
        <v>565.77867700161346</v>
      </c>
      <c r="F11" s="32"/>
      <c r="G11" s="32"/>
      <c r="H11" s="32"/>
      <c r="I11" s="32"/>
      <c r="J11" s="32"/>
      <c r="K11" s="32"/>
      <c r="L11" s="32"/>
      <c r="M11" s="32">
        <v>1005.6322847628529</v>
      </c>
      <c r="N11" s="33">
        <f t="shared" si="0"/>
        <v>1.7218550231014266E-2</v>
      </c>
    </row>
    <row r="12" spans="1:14" ht="30">
      <c r="C12" s="22" t="s">
        <v>128</v>
      </c>
      <c r="D12" s="32">
        <v>122.94368686868691</v>
      </c>
      <c r="E12" s="32">
        <v>235.03092624356771</v>
      </c>
      <c r="F12" s="32">
        <v>177.54170546434699</v>
      </c>
      <c r="G12" s="32">
        <v>194.87773049645389</v>
      </c>
      <c r="H12" s="32">
        <v>156.9923444976076</v>
      </c>
      <c r="I12" s="32"/>
      <c r="J12" s="32"/>
      <c r="K12" s="32">
        <v>21.890909090909101</v>
      </c>
      <c r="L12" s="32"/>
      <c r="M12" s="32">
        <v>909.27730266157209</v>
      </c>
      <c r="N12" s="33">
        <f t="shared" si="0"/>
        <v>1.5568749280450482E-2</v>
      </c>
    </row>
    <row r="13" spans="1:14">
      <c r="C13" s="22" t="s">
        <v>129</v>
      </c>
      <c r="D13" s="32">
        <v>1627.194857714853</v>
      </c>
      <c r="E13" s="32">
        <v>1289.2594322586403</v>
      </c>
      <c r="F13" s="32">
        <v>305.66087896224371</v>
      </c>
      <c r="G13" s="32">
        <v>259.4136468367401</v>
      </c>
      <c r="H13" s="32">
        <v>96.48427672955971</v>
      </c>
      <c r="I13" s="32">
        <v>260.77111111111111</v>
      </c>
      <c r="J13" s="32">
        <v>45.715909090909101</v>
      </c>
      <c r="K13" s="32">
        <v>94.012299465240602</v>
      </c>
      <c r="L13" s="32">
        <v>20.56</v>
      </c>
      <c r="M13" s="32">
        <v>3999.0724121692974</v>
      </c>
      <c r="N13" s="33">
        <f t="shared" si="0"/>
        <v>6.8472572181429617E-2</v>
      </c>
    </row>
    <row r="14" spans="1:14">
      <c r="C14" s="22" t="s">
        <v>130</v>
      </c>
      <c r="D14" s="32">
        <v>523.36894523445017</v>
      </c>
      <c r="E14" s="32">
        <v>1846.8157421836013</v>
      </c>
      <c r="F14" s="32">
        <v>655.25174295023032</v>
      </c>
      <c r="G14" s="32">
        <v>326.32419287211729</v>
      </c>
      <c r="H14" s="32">
        <v>84.402020202020196</v>
      </c>
      <c r="I14" s="32">
        <v>0</v>
      </c>
      <c r="J14" s="32">
        <v>38.682926829268297</v>
      </c>
      <c r="K14" s="32">
        <v>347.16879206691874</v>
      </c>
      <c r="L14" s="32">
        <v>612</v>
      </c>
      <c r="M14" s="32">
        <v>4434.0143623386066</v>
      </c>
      <c r="N14" s="33">
        <f t="shared" si="0"/>
        <v>7.5919697666598007E-2</v>
      </c>
    </row>
    <row r="15" spans="1:14">
      <c r="C15" s="22" t="s">
        <v>33</v>
      </c>
      <c r="D15" s="32">
        <v>16684.921027310433</v>
      </c>
      <c r="E15" s="32">
        <v>21841.740541968331</v>
      </c>
      <c r="F15" s="32">
        <v>7976.31831039401</v>
      </c>
      <c r="G15" s="32">
        <v>4208.5035011371338</v>
      </c>
      <c r="H15" s="32">
        <v>2064.3733484757054</v>
      </c>
      <c r="I15" s="32">
        <v>1525.7935509627462</v>
      </c>
      <c r="J15" s="32">
        <v>241.3763350339668</v>
      </c>
      <c r="K15" s="32">
        <v>3133.5911940781175</v>
      </c>
      <c r="L15" s="32">
        <v>727.38666666666666</v>
      </c>
      <c r="M15" s="32">
        <v>58404.004476027003</v>
      </c>
      <c r="N15" s="33">
        <f t="shared" si="0"/>
        <v>1</v>
      </c>
    </row>
  </sheetData>
  <sortState ref="C4:M12">
    <sortCondition descending="1" ref="M4:M12"/>
  </sortState>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C2:K6"/>
  <sheetViews>
    <sheetView showGridLines="0" workbookViewId="0">
      <selection activeCell="M25" sqref="M25"/>
    </sheetView>
  </sheetViews>
  <sheetFormatPr baseColWidth="10" defaultRowHeight="15"/>
  <cols>
    <col min="1" max="1" width="3" bestFit="1" customWidth="1"/>
    <col min="2" max="2" width="1.7109375" customWidth="1"/>
  </cols>
  <sheetData>
    <row r="2" spans="3:11" ht="25.5">
      <c r="C2" t="s">
        <v>132</v>
      </c>
      <c r="D2" t="s">
        <v>0</v>
      </c>
      <c r="E2" t="s">
        <v>1</v>
      </c>
      <c r="F2" t="s">
        <v>2</v>
      </c>
      <c r="G2" t="s">
        <v>3</v>
      </c>
      <c r="H2" t="s">
        <v>35</v>
      </c>
      <c r="I2" t="s">
        <v>36</v>
      </c>
      <c r="J2" t="s">
        <v>364</v>
      </c>
      <c r="K2" s="255" t="s">
        <v>423</v>
      </c>
    </row>
    <row r="3" spans="3:11">
      <c r="C3" t="s">
        <v>133</v>
      </c>
      <c r="D3" s="44">
        <v>39459.945499999943</v>
      </c>
      <c r="E3" s="44">
        <v>42452.4974</v>
      </c>
      <c r="F3" s="44">
        <v>43040.652599188084</v>
      </c>
      <c r="G3" s="44">
        <v>40694.294900000168</v>
      </c>
      <c r="H3" s="44">
        <v>41080.409253947648</v>
      </c>
      <c r="I3" s="257">
        <v>53646.022309004395</v>
      </c>
      <c r="J3" s="44">
        <v>51048.714592999757</v>
      </c>
      <c r="K3" s="256">
        <f>J3/$J$6</f>
        <v>0.97639222436029705</v>
      </c>
    </row>
    <row r="4" spans="3:11">
      <c r="C4" t="s">
        <v>134</v>
      </c>
      <c r="D4" s="44">
        <v>4033.2381999999948</v>
      </c>
      <c r="E4" s="44">
        <v>3704.4558999999999</v>
      </c>
      <c r="F4" s="44">
        <v>2787.6035210849996</v>
      </c>
      <c r="G4" s="44">
        <v>1844.0104000000003</v>
      </c>
      <c r="H4" s="44">
        <v>2985.0066982400763</v>
      </c>
      <c r="I4" s="257">
        <v>872.77709239035903</v>
      </c>
      <c r="J4" s="44">
        <v>995.23330599999986</v>
      </c>
      <c r="K4" s="256">
        <f>J4/$J$6</f>
        <v>1.9035504990678947E-2</v>
      </c>
    </row>
    <row r="5" spans="3:11">
      <c r="C5" t="s">
        <v>76</v>
      </c>
      <c r="D5" s="44">
        <v>2090.8158999999996</v>
      </c>
      <c r="E5" s="44">
        <v>639.05560000000003</v>
      </c>
      <c r="F5" s="44">
        <v>264.74387851</v>
      </c>
      <c r="G5" s="44">
        <v>458.94940000000003</v>
      </c>
      <c r="H5" s="44">
        <v>1159.584047812067</v>
      </c>
      <c r="I5" s="257">
        <v>524.06334857361185</v>
      </c>
      <c r="J5" s="44">
        <v>239.05202600000007</v>
      </c>
      <c r="K5" s="256">
        <f>J5/$J$6</f>
        <v>4.5722706490239941E-3</v>
      </c>
    </row>
    <row r="6" spans="3:11">
      <c r="C6" t="s">
        <v>54</v>
      </c>
      <c r="D6" s="44">
        <v>45583.999599999857</v>
      </c>
      <c r="E6" s="44">
        <v>46796.008900000001</v>
      </c>
      <c r="F6" s="44">
        <v>46092.999998783103</v>
      </c>
      <c r="G6" s="44">
        <v>42997.254700000252</v>
      </c>
      <c r="H6" s="44">
        <v>45224.999999999607</v>
      </c>
      <c r="I6" s="44">
        <f>SUM(I3:I5)</f>
        <v>55042.862749968364</v>
      </c>
      <c r="J6" s="44">
        <f>SUM(J3:J5)</f>
        <v>52282.999924999756</v>
      </c>
      <c r="K6" s="256">
        <f>J6/$J$6</f>
        <v>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election activeCell="J12" sqref="J12"/>
    </sheetView>
  </sheetViews>
  <sheetFormatPr baseColWidth="10" defaultColWidth="18.5703125" defaultRowHeight="12.75"/>
  <cols>
    <col min="1" max="1" width="4.42578125" style="2" customWidth="1"/>
    <col min="2" max="2" width="21" style="2" customWidth="1"/>
    <col min="3" max="5" width="18.5703125" style="2"/>
    <col min="6" max="6" width="5.85546875" style="2" customWidth="1"/>
    <col min="7" max="16384" width="18.5703125" style="2"/>
  </cols>
  <sheetData>
    <row r="1" spans="1:8" s="252" customFormat="1" ht="15.75">
      <c r="A1" s="252" t="s">
        <v>766</v>
      </c>
    </row>
    <row r="3" spans="1:8">
      <c r="A3" s="3780" t="s">
        <v>789</v>
      </c>
      <c r="B3" s="3780"/>
      <c r="C3" s="3780"/>
      <c r="F3" s="3780" t="s">
        <v>790</v>
      </c>
      <c r="G3" s="3780"/>
      <c r="H3" s="3780"/>
    </row>
    <row r="4" spans="1:8">
      <c r="A4" s="3780"/>
      <c r="B4" s="3780"/>
      <c r="C4" s="3780"/>
      <c r="F4" s="3780"/>
      <c r="G4" s="3780"/>
      <c r="H4" s="3780"/>
    </row>
    <row r="5" spans="1:8" ht="13.5" thickBot="1">
      <c r="A5" s="3781"/>
      <c r="B5" s="3781"/>
      <c r="C5" s="3781"/>
      <c r="F5" s="3781"/>
      <c r="G5" s="3781"/>
      <c r="H5" s="3781"/>
    </row>
    <row r="6" spans="1:8" s="6" customFormat="1" ht="13.5" thickBot="1">
      <c r="A6" s="1370" t="s">
        <v>781</v>
      </c>
      <c r="B6" s="1371" t="s">
        <v>767</v>
      </c>
      <c r="C6" s="1371" t="s">
        <v>768</v>
      </c>
      <c r="F6" s="1372" t="s">
        <v>781</v>
      </c>
      <c r="G6" s="1373" t="s">
        <v>767</v>
      </c>
      <c r="H6" s="1374" t="s">
        <v>768</v>
      </c>
    </row>
    <row r="7" spans="1:8">
      <c r="A7" s="1367">
        <v>1</v>
      </c>
      <c r="B7" s="1368" t="s">
        <v>769</v>
      </c>
      <c r="C7" s="1369">
        <v>103</v>
      </c>
      <c r="F7" s="1367">
        <v>1</v>
      </c>
      <c r="G7" s="1368" t="s">
        <v>769</v>
      </c>
      <c r="H7" s="1369">
        <v>103</v>
      </c>
    </row>
    <row r="8" spans="1:8">
      <c r="A8" s="1360">
        <v>2</v>
      </c>
      <c r="B8" s="1358" t="s">
        <v>770</v>
      </c>
      <c r="C8" s="1361">
        <v>76</v>
      </c>
      <c r="F8" s="1360">
        <v>2</v>
      </c>
      <c r="G8" s="1358" t="s">
        <v>770</v>
      </c>
      <c r="H8" s="1361">
        <v>76</v>
      </c>
    </row>
    <row r="9" spans="1:8">
      <c r="A9" s="1360">
        <v>3</v>
      </c>
      <c r="B9" s="1358" t="s">
        <v>771</v>
      </c>
      <c r="C9" s="1361">
        <v>64</v>
      </c>
      <c r="F9" s="1360">
        <v>3</v>
      </c>
      <c r="G9" s="1358" t="s">
        <v>771</v>
      </c>
      <c r="H9" s="1361">
        <v>64</v>
      </c>
    </row>
    <row r="10" spans="1:8">
      <c r="A10" s="1360">
        <v>4</v>
      </c>
      <c r="B10" s="1358" t="s">
        <v>772</v>
      </c>
      <c r="C10" s="1361">
        <v>63</v>
      </c>
      <c r="F10" s="1360">
        <v>4</v>
      </c>
      <c r="G10" s="1358" t="s">
        <v>778</v>
      </c>
      <c r="H10" s="1361">
        <v>64</v>
      </c>
    </row>
    <row r="11" spans="1:8">
      <c r="A11" s="1360">
        <v>5</v>
      </c>
      <c r="B11" s="1358" t="s">
        <v>773</v>
      </c>
      <c r="C11" s="1361">
        <v>48</v>
      </c>
      <c r="F11" s="1360">
        <v>5</v>
      </c>
      <c r="G11" s="1358" t="s">
        <v>772</v>
      </c>
      <c r="H11" s="1361">
        <v>63</v>
      </c>
    </row>
    <row r="12" spans="1:8">
      <c r="A12" s="1360">
        <v>6</v>
      </c>
      <c r="B12" s="1358" t="s">
        <v>774</v>
      </c>
      <c r="C12" s="1361">
        <v>46</v>
      </c>
      <c r="F12" s="1360">
        <v>6</v>
      </c>
      <c r="G12" s="1358" t="s">
        <v>773</v>
      </c>
      <c r="H12" s="1361">
        <v>48</v>
      </c>
    </row>
    <row r="13" spans="1:8">
      <c r="A13" s="1360">
        <v>7</v>
      </c>
      <c r="B13" s="1358" t="s">
        <v>775</v>
      </c>
      <c r="C13" s="1361">
        <v>45</v>
      </c>
      <c r="F13" s="1360">
        <v>7</v>
      </c>
      <c r="G13" s="1358" t="s">
        <v>774</v>
      </c>
      <c r="H13" s="1361">
        <v>46</v>
      </c>
    </row>
    <row r="14" spans="1:8">
      <c r="A14" s="1360">
        <v>8</v>
      </c>
      <c r="B14" s="1358" t="s">
        <v>776</v>
      </c>
      <c r="C14" s="1361">
        <v>42</v>
      </c>
      <c r="F14" s="1360">
        <v>8</v>
      </c>
      <c r="G14" s="1358" t="s">
        <v>775</v>
      </c>
      <c r="H14" s="1361">
        <v>45</v>
      </c>
    </row>
    <row r="15" spans="1:8">
      <c r="A15" s="1360">
        <v>9</v>
      </c>
      <c r="B15" s="1358" t="s">
        <v>777</v>
      </c>
      <c r="C15" s="1361">
        <v>32</v>
      </c>
      <c r="F15" s="1360">
        <v>9</v>
      </c>
      <c r="G15" s="1358" t="s">
        <v>13</v>
      </c>
      <c r="H15" s="1361">
        <v>44</v>
      </c>
    </row>
    <row r="16" spans="1:8">
      <c r="A16" s="1362">
        <v>10</v>
      </c>
      <c r="B16" s="1359" t="s">
        <v>227</v>
      </c>
      <c r="C16" s="1363">
        <v>24</v>
      </c>
      <c r="F16" s="1360">
        <v>10</v>
      </c>
      <c r="G16" s="1358" t="s">
        <v>779</v>
      </c>
      <c r="H16" s="1361">
        <v>42</v>
      </c>
    </row>
    <row r="17" spans="1:8" ht="13.5" thickBot="1">
      <c r="A17" s="1364">
        <v>24</v>
      </c>
      <c r="B17" s="1365" t="s">
        <v>396</v>
      </c>
      <c r="C17" s="1366"/>
      <c r="F17" s="1360">
        <v>11</v>
      </c>
      <c r="G17" s="1358" t="s">
        <v>780</v>
      </c>
      <c r="H17" s="1361">
        <v>38</v>
      </c>
    </row>
    <row r="18" spans="1:8">
      <c r="F18" s="1360">
        <v>12</v>
      </c>
      <c r="G18" s="1358" t="s">
        <v>777</v>
      </c>
      <c r="H18" s="1361">
        <v>32</v>
      </c>
    </row>
    <row r="19" spans="1:8">
      <c r="F19" s="1362">
        <v>13</v>
      </c>
      <c r="G19" s="1359" t="s">
        <v>227</v>
      </c>
      <c r="H19" s="1363">
        <v>24</v>
      </c>
    </row>
    <row r="20" spans="1:8" ht="13.5" thickBot="1">
      <c r="A20" s="3780" t="s">
        <v>782</v>
      </c>
      <c r="B20" s="3780"/>
      <c r="C20" s="3780"/>
      <c r="F20" s="1364">
        <v>37</v>
      </c>
      <c r="G20" s="1365" t="s">
        <v>396</v>
      </c>
      <c r="H20" s="1366"/>
    </row>
    <row r="21" spans="1:8">
      <c r="A21" s="3780"/>
      <c r="B21" s="3780"/>
      <c r="C21" s="3780"/>
    </row>
    <row r="22" spans="1:8" ht="13.5" thickBot="1">
      <c r="A22" s="3780"/>
      <c r="B22" s="3780"/>
      <c r="C22" s="3780"/>
    </row>
    <row r="23" spans="1:8" ht="13.5" thickBot="1">
      <c r="A23" s="1370" t="s">
        <v>781</v>
      </c>
      <c r="B23" s="1371" t="s">
        <v>783</v>
      </c>
    </row>
    <row r="24" spans="1:8">
      <c r="A24" s="1375">
        <v>1</v>
      </c>
      <c r="B24" s="1376" t="s">
        <v>16</v>
      </c>
    </row>
    <row r="25" spans="1:8">
      <c r="A25" s="1375">
        <v>2</v>
      </c>
      <c r="B25" s="1376" t="s">
        <v>784</v>
      </c>
    </row>
    <row r="26" spans="1:8">
      <c r="A26" s="1375">
        <v>3</v>
      </c>
      <c r="B26" s="1376" t="s">
        <v>6</v>
      </c>
    </row>
    <row r="27" spans="1:8">
      <c r="A27" s="1375">
        <v>4</v>
      </c>
      <c r="B27" s="1376" t="s">
        <v>10</v>
      </c>
    </row>
    <row r="28" spans="1:8">
      <c r="A28" s="1375">
        <v>5</v>
      </c>
      <c r="B28" s="1376" t="s">
        <v>785</v>
      </c>
    </row>
    <row r="29" spans="1:8">
      <c r="A29" s="1375">
        <v>6</v>
      </c>
      <c r="B29" s="1376" t="s">
        <v>11</v>
      </c>
    </row>
    <row r="30" spans="1:8">
      <c r="A30" s="1375">
        <v>7</v>
      </c>
      <c r="B30" s="1376" t="s">
        <v>25</v>
      </c>
    </row>
    <row r="31" spans="1:8">
      <c r="A31" s="1375">
        <v>8</v>
      </c>
      <c r="B31" s="1376" t="s">
        <v>786</v>
      </c>
    </row>
    <row r="32" spans="1:8">
      <c r="A32" s="1375">
        <v>9</v>
      </c>
      <c r="B32" s="1376" t="s">
        <v>787</v>
      </c>
    </row>
    <row r="33" spans="1:2">
      <c r="A33" s="1375">
        <v>10</v>
      </c>
      <c r="B33" s="1376" t="s">
        <v>788</v>
      </c>
    </row>
    <row r="34" spans="1:2" ht="13.5" thickBot="1">
      <c r="A34" s="1377">
        <v>11</v>
      </c>
      <c r="B34" s="1378" t="s">
        <v>9</v>
      </c>
    </row>
  </sheetData>
  <mergeCells count="3">
    <mergeCell ref="A3:C5"/>
    <mergeCell ref="F3:H5"/>
    <mergeCell ref="A20:C2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K17" sqref="K17"/>
    </sheetView>
  </sheetViews>
  <sheetFormatPr baseColWidth="10" defaultColWidth="11.42578125" defaultRowHeight="12.75"/>
  <cols>
    <col min="1" max="16384" width="11.42578125" style="2"/>
  </cols>
  <sheetData>
    <row r="1" spans="1:14" s="781" customFormat="1" ht="32.25" customHeight="1">
      <c r="A1" s="2147" t="s">
        <v>753</v>
      </c>
    </row>
    <row r="2" spans="1:14" s="781" customFormat="1" ht="13.5" thickBot="1">
      <c r="A2" s="2"/>
    </row>
    <row r="3" spans="1:14" s="2137" customFormat="1" ht="13.5" thickBot="1">
      <c r="A3" s="2140" t="s">
        <v>136</v>
      </c>
      <c r="B3" s="2141" t="s">
        <v>37</v>
      </c>
      <c r="C3" s="2138" t="s">
        <v>38</v>
      </c>
      <c r="D3" s="2138" t="s">
        <v>39</v>
      </c>
      <c r="E3" s="2138" t="s">
        <v>40</v>
      </c>
      <c r="F3" s="2138" t="s">
        <v>41</v>
      </c>
      <c r="G3" s="2138" t="s">
        <v>42</v>
      </c>
      <c r="H3" s="2138" t="s">
        <v>43</v>
      </c>
      <c r="I3" s="2138" t="s">
        <v>44</v>
      </c>
      <c r="J3" s="2138" t="s">
        <v>45</v>
      </c>
      <c r="K3" s="2138" t="s">
        <v>46</v>
      </c>
      <c r="L3" s="2138" t="s">
        <v>47</v>
      </c>
      <c r="M3" s="2139" t="s">
        <v>48</v>
      </c>
      <c r="N3" s="2137" t="s">
        <v>33</v>
      </c>
    </row>
    <row r="4" spans="1:14" s="781" customFormat="1">
      <c r="A4" s="2143">
        <v>2017</v>
      </c>
      <c r="B4" s="2144">
        <f>'Llegadas '!L4</f>
        <v>50621</v>
      </c>
      <c r="C4" s="2145">
        <f>'Llegadas '!L5</f>
        <v>47440</v>
      </c>
      <c r="D4" s="2145">
        <f>'Llegadas '!L6</f>
        <v>53030</v>
      </c>
      <c r="E4" s="2145">
        <f>'Llegadas '!L7</f>
        <v>50212</v>
      </c>
      <c r="F4" s="2145">
        <f>'Llegadas '!L8</f>
        <v>47035</v>
      </c>
      <c r="G4" s="2145">
        <f>'Llegadas '!L9</f>
        <v>65878</v>
      </c>
      <c r="H4" s="2145">
        <f>'Llegadas '!L10</f>
        <v>70150</v>
      </c>
      <c r="I4" s="2145">
        <f>'Llegadas '!L11</f>
        <v>51198</v>
      </c>
      <c r="J4" s="2165">
        <f>'Llegadas '!L12</f>
        <v>45357</v>
      </c>
      <c r="K4" s="2165">
        <f>'Llegadas '!L13</f>
        <v>49733</v>
      </c>
      <c r="L4" s="2165">
        <f>'Llegadas '!L14</f>
        <v>52215</v>
      </c>
      <c r="M4" s="2146">
        <f>'Llegadas '!L15</f>
        <v>70062</v>
      </c>
      <c r="N4" s="2142">
        <f>SUM(B4:M4)</f>
        <v>652931</v>
      </c>
    </row>
    <row r="5" spans="1:14" s="809" customFormat="1" ht="12">
      <c r="A5" s="2148" t="s">
        <v>1111</v>
      </c>
      <c r="B5" s="2149">
        <v>23304</v>
      </c>
      <c r="C5" s="2150">
        <v>21616</v>
      </c>
      <c r="D5" s="2150">
        <v>24397</v>
      </c>
      <c r="E5" s="2150">
        <v>23606</v>
      </c>
      <c r="F5" s="2150">
        <v>21781</v>
      </c>
      <c r="G5" s="2150">
        <v>32337</v>
      </c>
      <c r="H5" s="2150">
        <v>34696</v>
      </c>
      <c r="I5" s="2150">
        <v>23940</v>
      </c>
      <c r="J5" s="2150">
        <v>19921</v>
      </c>
      <c r="K5" s="2150">
        <v>22519</v>
      </c>
      <c r="L5" s="2150">
        <v>23562</v>
      </c>
      <c r="M5" s="2151">
        <v>33678</v>
      </c>
      <c r="N5" s="804">
        <f t="shared" ref="N5:N11" si="0">SUM(B5:M5)</f>
        <v>305357</v>
      </c>
    </row>
    <row r="6" spans="1:14" s="809" customFormat="1" ht="12">
      <c r="A6" s="2148" t="s">
        <v>1112</v>
      </c>
      <c r="B6" s="2149">
        <v>7</v>
      </c>
      <c r="C6" s="2150">
        <v>6</v>
      </c>
      <c r="D6" s="2150">
        <v>6</v>
      </c>
      <c r="E6" s="2150">
        <v>10</v>
      </c>
      <c r="F6" s="2150">
        <v>12</v>
      </c>
      <c r="G6" s="2150">
        <v>6</v>
      </c>
      <c r="H6" s="2150">
        <v>6</v>
      </c>
      <c r="I6" s="2150">
        <v>6</v>
      </c>
      <c r="J6" s="2163">
        <v>6</v>
      </c>
      <c r="K6" s="2163">
        <v>4</v>
      </c>
      <c r="L6" s="2163">
        <v>10</v>
      </c>
      <c r="M6" s="2151">
        <v>7</v>
      </c>
      <c r="N6" s="804">
        <f t="shared" si="0"/>
        <v>86</v>
      </c>
    </row>
    <row r="7" spans="1:14" s="809" customFormat="1" thickBot="1">
      <c r="A7" s="2152" t="s">
        <v>1113</v>
      </c>
      <c r="B7" s="2153">
        <v>27310</v>
      </c>
      <c r="C7" s="2154">
        <v>25818</v>
      </c>
      <c r="D7" s="2154">
        <v>28627</v>
      </c>
      <c r="E7" s="2154">
        <v>26596</v>
      </c>
      <c r="F7" s="2154">
        <v>25242</v>
      </c>
      <c r="G7" s="2154">
        <v>33535</v>
      </c>
      <c r="H7" s="2154">
        <v>35448</v>
      </c>
      <c r="I7" s="2154">
        <v>27252</v>
      </c>
      <c r="J7" s="2154">
        <v>25430</v>
      </c>
      <c r="K7" s="2154">
        <v>27210</v>
      </c>
      <c r="L7" s="2154">
        <v>28643</v>
      </c>
      <c r="M7" s="2155">
        <v>36377</v>
      </c>
      <c r="N7" s="804">
        <f t="shared" si="0"/>
        <v>347488</v>
      </c>
    </row>
    <row r="8" spans="1:14" s="781" customFormat="1">
      <c r="A8" s="2143" t="s">
        <v>976</v>
      </c>
      <c r="B8" s="2144">
        <f>'Llegadas '!M4</f>
        <v>53007</v>
      </c>
      <c r="C8" s="2145">
        <f>'Llegadas '!M5</f>
        <v>52567</v>
      </c>
      <c r="D8" s="2145">
        <f>'Llegadas '!M6</f>
        <v>58154</v>
      </c>
      <c r="E8" s="2145">
        <f>'Llegadas '!M7</f>
        <v>47644</v>
      </c>
      <c r="F8" s="2145">
        <f>'Llegadas '!M8</f>
        <v>53921</v>
      </c>
      <c r="G8" s="2145">
        <f>'Llegadas '!M9</f>
        <v>70620</v>
      </c>
      <c r="H8" s="2145">
        <f>'Llegadas '!M10</f>
        <v>72893</v>
      </c>
      <c r="I8" s="2145">
        <f>'Llegadas '!M11</f>
        <v>54375</v>
      </c>
      <c r="J8" s="2145">
        <f>'Llegadas '!M12</f>
        <v>50018</v>
      </c>
      <c r="K8" s="2145">
        <f>'Llegadas '!M13</f>
        <v>53057</v>
      </c>
      <c r="L8" s="2145">
        <f>'Llegadas '!M14</f>
        <v>54720</v>
      </c>
      <c r="M8" s="2146">
        <f>'Llegadas '!M15</f>
        <v>71516</v>
      </c>
      <c r="N8" s="2142">
        <f t="shared" si="0"/>
        <v>692492</v>
      </c>
    </row>
    <row r="9" spans="1:14" s="809" customFormat="1" ht="12">
      <c r="A9" s="2148" t="s">
        <v>1111</v>
      </c>
      <c r="B9" s="2149">
        <v>24777</v>
      </c>
      <c r="C9" s="2150">
        <v>24141</v>
      </c>
      <c r="D9" s="2150">
        <v>28057</v>
      </c>
      <c r="E9" s="2150">
        <v>21207</v>
      </c>
      <c r="F9" s="2150">
        <v>25210</v>
      </c>
      <c r="G9" s="2150">
        <v>34915</v>
      </c>
      <c r="H9" s="2150">
        <v>35923</v>
      </c>
      <c r="I9" s="2150">
        <v>26014</v>
      </c>
      <c r="J9" s="2150">
        <v>22672</v>
      </c>
      <c r="K9" s="2156"/>
      <c r="L9" s="2156"/>
      <c r="M9" s="2157"/>
      <c r="N9" s="804">
        <f t="shared" si="0"/>
        <v>242916</v>
      </c>
    </row>
    <row r="10" spans="1:14" s="809" customFormat="1" ht="12">
      <c r="A10" s="2148" t="s">
        <v>1112</v>
      </c>
      <c r="B10" s="2149">
        <v>3</v>
      </c>
      <c r="C10" s="2150">
        <v>4</v>
      </c>
      <c r="D10" s="2150">
        <v>5</v>
      </c>
      <c r="E10" s="2150">
        <v>4</v>
      </c>
      <c r="F10" s="2150">
        <v>9</v>
      </c>
      <c r="G10" s="2150">
        <v>4</v>
      </c>
      <c r="H10" s="2150">
        <v>7</v>
      </c>
      <c r="I10" s="2150">
        <v>7</v>
      </c>
      <c r="J10" s="2150">
        <v>8</v>
      </c>
      <c r="K10" s="2156"/>
      <c r="L10" s="2156"/>
      <c r="M10" s="2157"/>
      <c r="N10" s="804">
        <f t="shared" si="0"/>
        <v>51</v>
      </c>
    </row>
    <row r="11" spans="1:14" s="809" customFormat="1" thickBot="1">
      <c r="A11" s="2158" t="s">
        <v>1113</v>
      </c>
      <c r="B11" s="2159">
        <v>28227</v>
      </c>
      <c r="C11" s="2160">
        <v>28422</v>
      </c>
      <c r="D11" s="2160">
        <v>30092</v>
      </c>
      <c r="E11" s="2160">
        <v>26433</v>
      </c>
      <c r="F11" s="2160">
        <v>28702</v>
      </c>
      <c r="G11" s="2160">
        <v>35701</v>
      </c>
      <c r="H11" s="2160">
        <v>36963</v>
      </c>
      <c r="I11" s="2160">
        <v>28354</v>
      </c>
      <c r="J11" s="2160">
        <v>27338</v>
      </c>
      <c r="K11" s="2161"/>
      <c r="L11" s="2161"/>
      <c r="M11" s="2162"/>
      <c r="N11" s="804">
        <f t="shared" si="0"/>
        <v>270232</v>
      </c>
    </row>
    <row r="12" spans="1:14">
      <c r="E12" s="2166" t="s">
        <v>914</v>
      </c>
    </row>
    <row r="13" spans="1:14">
      <c r="K13" s="2167" t="s">
        <v>1114</v>
      </c>
      <c r="M13" s="1336" t="s">
        <v>1110</v>
      </c>
    </row>
  </sheetData>
  <pageMargins left="0.7" right="0.7" top="0.75" bottom="0.75" header="0.3" footer="0.3"/>
  <pageSetup paperSize="9" orientation="portrait" verticalDpi="597"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HF93"/>
  <sheetViews>
    <sheetView showGridLines="0" tabSelected="1" zoomScale="70" zoomScaleNormal="70" workbookViewId="0">
      <pane xSplit="1" ySplit="3" topLeftCell="B4" activePane="bottomRight" state="frozen"/>
      <selection activeCell="HF95" sqref="HF95:HQ95"/>
      <selection pane="topRight" activeCell="HF95" sqref="HF95:HQ95"/>
      <selection pane="bottomLeft" activeCell="HF95" sqref="HF95:HQ95"/>
      <selection pane="bottomRight" activeCell="N4" sqref="N4"/>
    </sheetView>
  </sheetViews>
  <sheetFormatPr baseColWidth="10" defaultColWidth="11.42578125" defaultRowHeight="15"/>
  <cols>
    <col min="1" max="9" width="18.140625" customWidth="1"/>
    <col min="10" max="14" width="16.5703125" customWidth="1"/>
    <col min="15" max="20" width="16.5703125" hidden="1" customWidth="1"/>
    <col min="21" max="21" width="4.28515625" style="52" hidden="1" customWidth="1"/>
    <col min="22" max="23" width="16.5703125" hidden="1" customWidth="1"/>
    <col min="24" max="24" width="11.140625" style="1347" hidden="1" customWidth="1"/>
    <col min="25" max="25" width="8.140625" style="1347" hidden="1" customWidth="1"/>
    <col min="26" max="27" width="8.140625" style="1910" hidden="1" customWidth="1"/>
    <col min="28" max="28" width="15.28515625" style="1298" hidden="1" customWidth="1"/>
    <col min="29" max="29" width="12.85546875" style="1298" customWidth="1"/>
    <col min="30" max="30" width="11.28515625" style="1298" customWidth="1"/>
    <col min="31" max="31" width="10.28515625" style="1298" customWidth="1"/>
    <col min="32" max="32" width="25.42578125" style="1298" customWidth="1"/>
    <col min="33" max="33" width="4" style="2524" customWidth="1"/>
    <col min="34" max="34" width="14.28515625" style="23" hidden="1" customWidth="1"/>
    <col min="35" max="37" width="12.28515625" style="23" hidden="1" customWidth="1"/>
    <col min="38" max="39" width="14.5703125" style="779" hidden="1" customWidth="1"/>
    <col min="40" max="43" width="14.5703125" style="779" customWidth="1"/>
    <col min="44" max="16384" width="11.42578125" style="779"/>
  </cols>
  <sheetData>
    <row r="1" spans="1:43" s="857" customFormat="1" ht="32.25" customHeight="1">
      <c r="A1" s="3790" t="s">
        <v>753</v>
      </c>
      <c r="B1" s="3790"/>
      <c r="C1" s="3790"/>
      <c r="D1" s="3790"/>
      <c r="E1" s="3790"/>
      <c r="F1" s="3790"/>
      <c r="G1" s="3790"/>
      <c r="H1" s="3790"/>
      <c r="I1" s="3790"/>
      <c r="J1" s="3790"/>
      <c r="K1" s="3790"/>
      <c r="L1" s="3790"/>
      <c r="M1" s="1596"/>
      <c r="N1" s="1885"/>
      <c r="O1" s="1885"/>
      <c r="P1" s="1885"/>
      <c r="Q1" s="1885"/>
      <c r="R1" s="1885"/>
      <c r="S1" s="1885"/>
      <c r="T1" s="1885"/>
      <c r="U1" s="2475"/>
      <c r="V1" s="1755"/>
      <c r="W1" s="1755"/>
      <c r="X1" s="1347"/>
      <c r="Y1" s="1347"/>
      <c r="Z1" s="1910"/>
      <c r="AA1" s="1910"/>
      <c r="AB1" s="1292"/>
      <c r="AC1" s="1292"/>
      <c r="AD1" s="1292"/>
      <c r="AE1" s="1292"/>
      <c r="AF1" s="1292"/>
      <c r="AG1" s="2518"/>
      <c r="AH1" s="938"/>
      <c r="AI1" s="23"/>
      <c r="AJ1" s="23"/>
      <c r="AK1" s="23"/>
    </row>
    <row r="2" spans="1:43" s="857" customFormat="1" ht="16.5" thickBot="1">
      <c r="A2" s="856"/>
      <c r="B2" s="856"/>
      <c r="C2" s="856"/>
      <c r="D2" s="856"/>
      <c r="E2" s="856"/>
      <c r="F2" s="856"/>
      <c r="G2" s="856"/>
      <c r="H2" s="856"/>
      <c r="I2" s="858"/>
      <c r="J2" s="859"/>
      <c r="K2" s="859"/>
      <c r="L2" s="859"/>
      <c r="M2" s="859"/>
      <c r="N2" s="860">
        <v>0.04</v>
      </c>
      <c r="O2" s="860">
        <v>0.04</v>
      </c>
      <c r="P2" s="860">
        <v>0.04</v>
      </c>
      <c r="Q2" s="860">
        <v>0.04</v>
      </c>
      <c r="R2" s="860">
        <v>0.04</v>
      </c>
      <c r="S2" s="860">
        <v>0.04</v>
      </c>
      <c r="T2" s="860">
        <v>0.04</v>
      </c>
      <c r="U2" s="2476"/>
      <c r="V2" s="860"/>
      <c r="W2" s="860"/>
      <c r="X2" s="1348"/>
      <c r="Y2" s="1348"/>
      <c r="Z2" s="1911"/>
      <c r="AA2" s="1911"/>
      <c r="AB2" s="1293"/>
      <c r="AC2" s="1293"/>
      <c r="AD2" s="1293"/>
      <c r="AE2" s="1293"/>
      <c r="AF2" s="1293"/>
      <c r="AG2" s="1295"/>
      <c r="AH2" s="939"/>
      <c r="AI2" s="23"/>
      <c r="AJ2" s="23"/>
      <c r="AK2" s="23"/>
    </row>
    <row r="3" spans="1:43" s="863" customFormat="1" ht="39" thickBot="1">
      <c r="A3" s="861" t="s">
        <v>136</v>
      </c>
      <c r="B3" s="862">
        <v>2007</v>
      </c>
      <c r="C3" s="862">
        <v>2008</v>
      </c>
      <c r="D3" s="862">
        <v>2009</v>
      </c>
      <c r="E3" s="862">
        <v>2010</v>
      </c>
      <c r="F3" s="862">
        <v>2011</v>
      </c>
      <c r="G3" s="862">
        <v>2012</v>
      </c>
      <c r="H3" s="862">
        <v>2013</v>
      </c>
      <c r="I3" s="862">
        <v>2014</v>
      </c>
      <c r="J3" s="862">
        <v>2015</v>
      </c>
      <c r="K3" s="862">
        <v>2016</v>
      </c>
      <c r="L3" s="1941">
        <v>2017</v>
      </c>
      <c r="M3" s="3087">
        <v>2018</v>
      </c>
      <c r="N3" s="980" t="s">
        <v>1040</v>
      </c>
      <c r="O3" s="980" t="s">
        <v>1041</v>
      </c>
      <c r="P3" s="980" t="s">
        <v>1042</v>
      </c>
      <c r="Q3" s="980" t="s">
        <v>1043</v>
      </c>
      <c r="R3" s="980" t="s">
        <v>1044</v>
      </c>
      <c r="S3" s="980" t="s">
        <v>1045</v>
      </c>
      <c r="T3" s="980" t="s">
        <v>1046</v>
      </c>
      <c r="U3" s="2477"/>
      <c r="V3" s="3798" t="s">
        <v>1028</v>
      </c>
      <c r="W3" s="3799"/>
      <c r="X3" s="3796" t="s">
        <v>977</v>
      </c>
      <c r="Y3" s="3797"/>
      <c r="Z3" s="3786" t="s">
        <v>1009</v>
      </c>
      <c r="AA3" s="3787"/>
      <c r="AB3" s="2503" t="s">
        <v>741</v>
      </c>
      <c r="AC3" s="2536" t="s">
        <v>1140</v>
      </c>
      <c r="AD3" s="3800" t="s">
        <v>1009</v>
      </c>
      <c r="AE3" s="3800"/>
      <c r="AF3" s="2537" t="s">
        <v>1141</v>
      </c>
      <c r="AG3" s="2519"/>
      <c r="AH3" s="940" t="s">
        <v>691</v>
      </c>
      <c r="AI3" s="940" t="s">
        <v>692</v>
      </c>
      <c r="AJ3" s="940" t="s">
        <v>978</v>
      </c>
      <c r="AK3" s="2553" t="s">
        <v>1163</v>
      </c>
      <c r="AL3" s="2555" t="s">
        <v>1081</v>
      </c>
      <c r="AM3" s="2556" t="s">
        <v>1082</v>
      </c>
      <c r="AN3" s="2557" t="s">
        <v>1026</v>
      </c>
      <c r="AO3" s="2558" t="s">
        <v>1151</v>
      </c>
      <c r="AP3" s="2559" t="s">
        <v>1152</v>
      </c>
      <c r="AQ3" s="2560" t="s">
        <v>1153</v>
      </c>
    </row>
    <row r="4" spans="1:43" s="857" customFormat="1" ht="15.75">
      <c r="A4" s="864" t="s">
        <v>37</v>
      </c>
      <c r="B4" s="865">
        <v>29447</v>
      </c>
      <c r="C4" s="865">
        <v>34991</v>
      </c>
      <c r="D4" s="865">
        <v>35904</v>
      </c>
      <c r="E4" s="865">
        <v>38603</v>
      </c>
      <c r="F4" s="865">
        <v>37463</v>
      </c>
      <c r="G4" s="865">
        <v>37773</v>
      </c>
      <c r="H4" s="865">
        <v>46137</v>
      </c>
      <c r="I4" s="865">
        <v>51688</v>
      </c>
      <c r="J4" s="865">
        <v>58224</v>
      </c>
      <c r="K4" s="865">
        <v>52833</v>
      </c>
      <c r="L4" s="865">
        <v>50621</v>
      </c>
      <c r="M4" s="865">
        <v>53007</v>
      </c>
      <c r="N4" s="3088">
        <v>52976</v>
      </c>
      <c r="O4" s="1603">
        <f>(N4*$O$2)+N4</f>
        <v>55095.040000000001</v>
      </c>
      <c r="P4" s="1603">
        <f>(O4*$P$2)+O4</f>
        <v>57298.8416</v>
      </c>
      <c r="Q4" s="1603">
        <f>(P4*$Q$2)+P4</f>
        <v>59590.795264</v>
      </c>
      <c r="R4" s="1603">
        <f>(Q4*$R$2)+Q4</f>
        <v>61974.427074560001</v>
      </c>
      <c r="S4" s="1603">
        <f>(R4*$S$2)+R4</f>
        <v>64453.404157542398</v>
      </c>
      <c r="T4" s="1603">
        <f>(S4*$T$2)+S4</f>
        <v>67031.540323844092</v>
      </c>
      <c r="U4" s="2478"/>
      <c r="V4" s="1760">
        <v>50614</v>
      </c>
      <c r="W4" s="1919"/>
      <c r="X4" s="2504">
        <v>52139.63</v>
      </c>
      <c r="Y4" s="2505">
        <v>1518.63</v>
      </c>
      <c r="Z4" s="2506">
        <f>M4-L4</f>
        <v>2386</v>
      </c>
      <c r="AA4" s="2507">
        <v>2386</v>
      </c>
      <c r="AB4" s="2525" t="s">
        <v>1022</v>
      </c>
      <c r="AC4" s="2538">
        <v>2120.2799999999988</v>
      </c>
      <c r="AD4" s="2539">
        <f>N4-M4</f>
        <v>-31</v>
      </c>
      <c r="AE4" s="3675">
        <f>AC4+AD4</f>
        <v>2089.2799999999988</v>
      </c>
      <c r="AF4" s="2540" t="s">
        <v>1407</v>
      </c>
      <c r="AG4" s="2520"/>
      <c r="AH4" s="941">
        <f>K4/$K$16</f>
        <v>8.4179113038656786E-2</v>
      </c>
      <c r="AI4" s="941">
        <f>L4/$L$16</f>
        <v>7.7528865990433904E-2</v>
      </c>
      <c r="AJ4" s="941">
        <f t="shared" ref="AJ4:AJ15" si="0">M4/$M$16</f>
        <v>7.6545288609832313E-2</v>
      </c>
      <c r="AK4" s="941">
        <f>N4/$N$16</f>
        <v>7.4315878958938014E-2</v>
      </c>
      <c r="AL4" s="2465">
        <f>M4-L4</f>
        <v>2386</v>
      </c>
      <c r="AM4" s="2466">
        <f>M4/L4-1</f>
        <v>4.7134588411923861E-2</v>
      </c>
      <c r="AN4" s="2467"/>
      <c r="AO4" s="2460">
        <f>N4-M4</f>
        <v>-31</v>
      </c>
      <c r="AP4" s="2463">
        <f>N4/M4-1</f>
        <v>-5.8482841888807258E-4</v>
      </c>
      <c r="AQ4" s="2461"/>
    </row>
    <row r="5" spans="1:43" s="857" customFormat="1" ht="15.75">
      <c r="A5" s="864" t="s">
        <v>38</v>
      </c>
      <c r="B5" s="865">
        <v>29249</v>
      </c>
      <c r="C5" s="865">
        <v>46490</v>
      </c>
      <c r="D5" s="865">
        <v>32995</v>
      </c>
      <c r="E5" s="865">
        <v>39843</v>
      </c>
      <c r="F5" s="865">
        <v>35978</v>
      </c>
      <c r="G5" s="865">
        <v>35654</v>
      </c>
      <c r="H5" s="865">
        <v>43174</v>
      </c>
      <c r="I5" s="865">
        <v>53622</v>
      </c>
      <c r="J5" s="865">
        <v>53321</v>
      </c>
      <c r="K5" s="865">
        <v>51438</v>
      </c>
      <c r="L5" s="865">
        <v>47440</v>
      </c>
      <c r="M5" s="865">
        <v>52567</v>
      </c>
      <c r="N5" s="1603">
        <f t="shared" ref="N5:N14" si="1">(M5*$N$2)+M5</f>
        <v>54669.68</v>
      </c>
      <c r="O5" s="1603">
        <f t="shared" ref="O5:O15" si="2">(N5*$O$2)+N5</f>
        <v>56856.467199999999</v>
      </c>
      <c r="P5" s="1603">
        <f t="shared" ref="P5:P15" si="3">(O5*$P$2)+O5</f>
        <v>59130.725888000001</v>
      </c>
      <c r="Q5" s="1603">
        <f t="shared" ref="Q5:Q15" si="4">(P5*$Q$2)+P5</f>
        <v>61495.954923520003</v>
      </c>
      <c r="R5" s="1603">
        <f t="shared" ref="R5:R15" si="5">(Q5*$R$2)+Q5</f>
        <v>63955.793120460803</v>
      </c>
      <c r="S5" s="1603">
        <f t="shared" ref="S5:S15" si="6">(R5*$S$2)+R5</f>
        <v>66514.024845279229</v>
      </c>
      <c r="T5" s="1603">
        <f t="shared" ref="T5:T15" si="7">(S5*$T$2)+S5</f>
        <v>69174.585839090403</v>
      </c>
      <c r="U5" s="2478"/>
      <c r="V5" s="1760">
        <v>47432</v>
      </c>
      <c r="W5" s="1919"/>
      <c r="X5" s="2504">
        <v>48863.199999999997</v>
      </c>
      <c r="Y5" s="2505">
        <v>1423.1999999999971</v>
      </c>
      <c r="Z5" s="2506">
        <f t="shared" ref="Z5:Z16" si="8">M5-L5</f>
        <v>5127</v>
      </c>
      <c r="AA5" s="2507">
        <v>5127</v>
      </c>
      <c r="AB5" s="2525" t="s">
        <v>1025</v>
      </c>
      <c r="AC5" s="2529">
        <v>2102.6800000000003</v>
      </c>
      <c r="AD5" s="2527">
        <f t="shared" ref="AD5:AD15" si="9">N5-M5</f>
        <v>2102.6800000000003</v>
      </c>
      <c r="AE5" s="2528"/>
      <c r="AF5" s="2530"/>
      <c r="AG5" s="2520"/>
      <c r="AH5" s="941">
        <f t="shared" ref="AH5:AH15" si="10">K5/$K$16</f>
        <v>8.1956451772233777E-2</v>
      </c>
      <c r="AI5" s="941">
        <f t="shared" ref="AI5:AI15" si="11">L5/$L$16</f>
        <v>7.2656988257564739E-2</v>
      </c>
      <c r="AJ5" s="941">
        <f t="shared" si="0"/>
        <v>7.5909902208256552E-2</v>
      </c>
      <c r="AK5" s="3093">
        <f t="shared" ref="AK5:AK15" si="12">N5/$N$16</f>
        <v>7.6691809906445821E-2</v>
      </c>
      <c r="AL5" s="2465">
        <f t="shared" ref="AL5:AL16" si="13">M5-L5</f>
        <v>5127</v>
      </c>
      <c r="AM5" s="2466">
        <f t="shared" ref="AM5:AM16" si="14">M5/L5-1</f>
        <v>0.10807335581787525</v>
      </c>
      <c r="AN5" s="2467">
        <f>(SUM(M4:M5)/(SUM(L4:L5)))-1</f>
        <v>7.6615576019008591E-2</v>
      </c>
      <c r="AO5" s="3090">
        <f t="shared" ref="AO5:AO16" si="15">N5-M5</f>
        <v>2102.6800000000003</v>
      </c>
      <c r="AP5" s="3091">
        <f t="shared" ref="AP5:AP16" si="16">N5/M5-1</f>
        <v>4.0000000000000036E-2</v>
      </c>
      <c r="AQ5" s="3092">
        <f>(SUM(N4:N5)/(SUM(M4:M5)))-1</f>
        <v>1.9623013241896636E-2</v>
      </c>
    </row>
    <row r="6" spans="1:43" s="857" customFormat="1" ht="15.75">
      <c r="A6" s="864" t="s">
        <v>39</v>
      </c>
      <c r="B6" s="986">
        <v>32536</v>
      </c>
      <c r="C6" s="986">
        <v>36805</v>
      </c>
      <c r="D6" s="986">
        <v>34242</v>
      </c>
      <c r="E6" s="986">
        <v>38029</v>
      </c>
      <c r="F6" s="986">
        <v>39415</v>
      </c>
      <c r="G6" s="986">
        <v>40663</v>
      </c>
      <c r="H6" s="986">
        <v>49027</v>
      </c>
      <c r="I6" s="986">
        <v>51748</v>
      </c>
      <c r="J6" s="986">
        <v>59393</v>
      </c>
      <c r="K6" s="986">
        <v>54420</v>
      </c>
      <c r="L6" s="986">
        <v>53030</v>
      </c>
      <c r="M6" s="986">
        <v>58154</v>
      </c>
      <c r="N6" s="1603">
        <f t="shared" si="1"/>
        <v>60480.160000000003</v>
      </c>
      <c r="O6" s="1603">
        <f t="shared" si="2"/>
        <v>62899.366400000006</v>
      </c>
      <c r="P6" s="1603">
        <f t="shared" si="3"/>
        <v>65415.341056000005</v>
      </c>
      <c r="Q6" s="1603">
        <f t="shared" si="4"/>
        <v>68031.954698240006</v>
      </c>
      <c r="R6" s="1603">
        <f t="shared" si="5"/>
        <v>70753.232886169601</v>
      </c>
      <c r="S6" s="1603">
        <f t="shared" si="6"/>
        <v>73583.362201616386</v>
      </c>
      <c r="T6" s="1603">
        <f t="shared" si="7"/>
        <v>76526.696689681048</v>
      </c>
      <c r="U6" s="2478"/>
      <c r="V6" s="1760">
        <v>53030</v>
      </c>
      <c r="W6" s="1919"/>
      <c r="X6" s="2504">
        <v>54620.9</v>
      </c>
      <c r="Y6" s="2505">
        <v>1590.9000000000015</v>
      </c>
      <c r="Z6" s="2506">
        <f t="shared" si="8"/>
        <v>5124</v>
      </c>
      <c r="AA6" s="2507">
        <v>5124</v>
      </c>
      <c r="AB6" s="2525" t="s">
        <v>1029</v>
      </c>
      <c r="AC6" s="2529">
        <v>2326.1600000000035</v>
      </c>
      <c r="AD6" s="2527">
        <f t="shared" si="9"/>
        <v>2326.1600000000035</v>
      </c>
      <c r="AE6" s="2528"/>
      <c r="AF6" s="2530"/>
      <c r="AG6" s="2520"/>
      <c r="AH6" s="941">
        <f t="shared" si="10"/>
        <v>8.6707688974006811E-2</v>
      </c>
      <c r="AI6" s="941">
        <f t="shared" si="11"/>
        <v>8.1218382953175752E-2</v>
      </c>
      <c r="AJ6" s="941">
        <f t="shared" si="0"/>
        <v>8.3977865448265104E-2</v>
      </c>
      <c r="AK6" s="3093">
        <f t="shared" si="12"/>
        <v>8.484287696272283E-2</v>
      </c>
      <c r="AL6" s="2465">
        <f t="shared" si="13"/>
        <v>5124</v>
      </c>
      <c r="AM6" s="2466">
        <f t="shared" si="14"/>
        <v>9.662455214029797E-2</v>
      </c>
      <c r="AN6" s="2467">
        <f>(SUM(M4:M6)/(SUM(L4:L6)))-1</f>
        <v>8.3638337161048737E-2</v>
      </c>
      <c r="AO6" s="3090">
        <f t="shared" si="15"/>
        <v>2326.1600000000035</v>
      </c>
      <c r="AP6" s="3091">
        <f t="shared" si="16"/>
        <v>4.0000000000000036E-2</v>
      </c>
      <c r="AQ6" s="3092">
        <f>(SUM(N4:N6)/(SUM(M4:M6)))-1</f>
        <v>2.6860646926609943E-2</v>
      </c>
    </row>
    <row r="7" spans="1:43" s="857" customFormat="1" ht="15.75">
      <c r="A7" s="864" t="s">
        <v>40</v>
      </c>
      <c r="B7" s="986">
        <v>26929</v>
      </c>
      <c r="C7" s="986">
        <v>31105</v>
      </c>
      <c r="D7" s="986">
        <v>33161</v>
      </c>
      <c r="E7" s="986">
        <v>31598</v>
      </c>
      <c r="F7" s="986">
        <v>35949</v>
      </c>
      <c r="G7" s="986">
        <v>36524</v>
      </c>
      <c r="H7" s="986">
        <v>41634</v>
      </c>
      <c r="I7" s="986">
        <v>49570</v>
      </c>
      <c r="J7" s="986">
        <v>53854</v>
      </c>
      <c r="K7" s="986">
        <v>40983</v>
      </c>
      <c r="L7" s="986">
        <v>50212</v>
      </c>
      <c r="M7" s="986">
        <v>47644</v>
      </c>
      <c r="N7" s="2339">
        <v>47644</v>
      </c>
      <c r="O7" s="1603">
        <f t="shared" si="2"/>
        <v>49549.760000000002</v>
      </c>
      <c r="P7" s="1603">
        <f t="shared" si="3"/>
        <v>51531.750400000004</v>
      </c>
      <c r="Q7" s="1603">
        <f t="shared" si="4"/>
        <v>53593.020416000007</v>
      </c>
      <c r="R7" s="1603">
        <f t="shared" si="5"/>
        <v>55736.741232640008</v>
      </c>
      <c r="S7" s="1603">
        <f t="shared" si="6"/>
        <v>57966.210881945612</v>
      </c>
      <c r="T7" s="1603">
        <f t="shared" si="7"/>
        <v>60284.85931722344</v>
      </c>
      <c r="U7" s="2478"/>
      <c r="V7" s="1760"/>
      <c r="W7" s="1919"/>
      <c r="X7" s="2504">
        <v>51718.36</v>
      </c>
      <c r="Y7" s="2505">
        <v>1506.3600000000006</v>
      </c>
      <c r="Z7" s="2506">
        <f t="shared" si="8"/>
        <v>-2568</v>
      </c>
      <c r="AA7" s="2507">
        <v>1788</v>
      </c>
      <c r="AB7" s="2525" t="s">
        <v>1047</v>
      </c>
      <c r="AC7" s="2531">
        <v>567</v>
      </c>
      <c r="AD7" s="2527">
        <f t="shared" si="9"/>
        <v>0</v>
      </c>
      <c r="AE7" s="2528"/>
      <c r="AF7" s="2530"/>
      <c r="AG7" s="2520"/>
      <c r="AH7" s="941">
        <f t="shared" si="10"/>
        <v>6.5298442065816267E-2</v>
      </c>
      <c r="AI7" s="941">
        <f t="shared" si="11"/>
        <v>7.6902459831130698E-2</v>
      </c>
      <c r="AJ7" s="941">
        <f t="shared" si="0"/>
        <v>6.8800794810625968E-2</v>
      </c>
      <c r="AK7" s="3093">
        <f t="shared" si="12"/>
        <v>6.6836033998785155E-2</v>
      </c>
      <c r="AL7" s="2465">
        <f t="shared" si="13"/>
        <v>-2568</v>
      </c>
      <c r="AM7" s="2466">
        <f t="shared" si="14"/>
        <v>-5.1143153031147914E-2</v>
      </c>
      <c r="AN7" s="2467">
        <f>(SUM(M4:M7)/(SUM(L4:L7)))-1</f>
        <v>5.0019125398031772E-2</v>
      </c>
      <c r="AO7" s="3090">
        <f t="shared" si="15"/>
        <v>0</v>
      </c>
      <c r="AP7" s="3091">
        <f t="shared" si="16"/>
        <v>0</v>
      </c>
      <c r="AQ7" s="3092">
        <f>(SUM(N4:N7)/(SUM(M4:M7)))-1</f>
        <v>2.0806161648657229E-2</v>
      </c>
    </row>
    <row r="8" spans="1:43" s="857" customFormat="1" ht="15.75">
      <c r="A8" s="864" t="s">
        <v>41</v>
      </c>
      <c r="B8" s="986">
        <v>28526</v>
      </c>
      <c r="C8" s="986">
        <v>35598</v>
      </c>
      <c r="D8" s="986">
        <v>32773</v>
      </c>
      <c r="E8" s="986">
        <v>37116</v>
      </c>
      <c r="F8" s="986">
        <v>38023</v>
      </c>
      <c r="G8" s="986">
        <v>40720</v>
      </c>
      <c r="H8" s="986">
        <v>48103</v>
      </c>
      <c r="I8" s="986">
        <v>52174</v>
      </c>
      <c r="J8" s="986">
        <v>56638</v>
      </c>
      <c r="K8" s="986">
        <v>46162</v>
      </c>
      <c r="L8" s="986">
        <v>47035</v>
      </c>
      <c r="M8" s="986">
        <v>53921</v>
      </c>
      <c r="N8" s="1603">
        <f t="shared" si="1"/>
        <v>56077.84</v>
      </c>
      <c r="O8" s="1603">
        <f t="shared" si="2"/>
        <v>58320.953599999993</v>
      </c>
      <c r="P8" s="1603">
        <f t="shared" si="3"/>
        <v>60653.791743999995</v>
      </c>
      <c r="Q8" s="1603">
        <f t="shared" si="4"/>
        <v>63079.943413759996</v>
      </c>
      <c r="R8" s="1603">
        <f t="shared" si="5"/>
        <v>65603.141150310403</v>
      </c>
      <c r="S8" s="1603">
        <f t="shared" si="6"/>
        <v>68227.266796322816</v>
      </c>
      <c r="T8" s="1603">
        <f t="shared" si="7"/>
        <v>70956.357468175731</v>
      </c>
      <c r="U8" s="2478"/>
      <c r="V8" s="1760"/>
      <c r="W8" s="1919"/>
      <c r="X8" s="2504">
        <v>48446.05</v>
      </c>
      <c r="Y8" s="2505">
        <v>1411.0500000000029</v>
      </c>
      <c r="Z8" s="2506">
        <f t="shared" si="8"/>
        <v>6886</v>
      </c>
      <c r="AA8" s="2507">
        <v>2530</v>
      </c>
      <c r="AB8" s="2525" t="s">
        <v>1071</v>
      </c>
      <c r="AC8" s="2529">
        <v>2156.8399999999965</v>
      </c>
      <c r="AD8" s="2527">
        <f t="shared" si="9"/>
        <v>2156.8399999999965</v>
      </c>
      <c r="AE8" s="2528"/>
      <c r="AF8" s="2530"/>
      <c r="AG8" s="2520"/>
      <c r="AH8" s="941">
        <f t="shared" si="10"/>
        <v>7.3550171599009603E-2</v>
      </c>
      <c r="AI8" s="941">
        <f t="shared" si="11"/>
        <v>7.2036708319868414E-2</v>
      </c>
      <c r="AJ8" s="941">
        <f t="shared" si="0"/>
        <v>7.7865159453105598E-2</v>
      </c>
      <c r="AK8" s="3093">
        <f t="shared" si="12"/>
        <v>7.8667207220603511E-2</v>
      </c>
      <c r="AL8" s="2465">
        <f t="shared" si="13"/>
        <v>6886</v>
      </c>
      <c r="AM8" s="2466">
        <f t="shared" si="14"/>
        <v>0.14640161581800792</v>
      </c>
      <c r="AN8" s="2467">
        <f>(SUM(M4:M8)/(SUM(L4:L8)))-1</f>
        <v>6.8273884786057781E-2</v>
      </c>
      <c r="AO8" s="3090">
        <f t="shared" si="15"/>
        <v>2156.8399999999965</v>
      </c>
      <c r="AP8" s="3091">
        <f t="shared" si="16"/>
        <v>4.0000000000000036E-2</v>
      </c>
      <c r="AQ8" s="3092">
        <f>(SUM(M4:M8)/(SUM(L4:L8)))-1</f>
        <v>6.8273884786057781E-2</v>
      </c>
    </row>
    <row r="9" spans="1:43" s="857" customFormat="1" ht="15.75">
      <c r="A9" s="864" t="s">
        <v>42</v>
      </c>
      <c r="B9" s="986">
        <v>41105</v>
      </c>
      <c r="C9" s="986">
        <v>45584</v>
      </c>
      <c r="D9" s="986">
        <v>46796</v>
      </c>
      <c r="E9" s="986">
        <v>46093</v>
      </c>
      <c r="F9" s="986">
        <v>47844</v>
      </c>
      <c r="G9" s="986">
        <v>54166</v>
      </c>
      <c r="H9" s="986">
        <v>61054</v>
      </c>
      <c r="I9" s="986">
        <v>58795</v>
      </c>
      <c r="J9" s="986">
        <v>67138</v>
      </c>
      <c r="K9" s="986">
        <v>61277</v>
      </c>
      <c r="L9" s="986">
        <v>65878</v>
      </c>
      <c r="M9" s="986">
        <v>70620</v>
      </c>
      <c r="N9" s="1603">
        <f t="shared" si="1"/>
        <v>73444.800000000003</v>
      </c>
      <c r="O9" s="1603">
        <f t="shared" si="2"/>
        <v>76382.592000000004</v>
      </c>
      <c r="P9" s="1603">
        <f t="shared" si="3"/>
        <v>79437.895680000001</v>
      </c>
      <c r="Q9" s="1603">
        <f t="shared" si="4"/>
        <v>82615.411507199999</v>
      </c>
      <c r="R9" s="1603">
        <f t="shared" si="5"/>
        <v>85920.027967488</v>
      </c>
      <c r="S9" s="1603">
        <f t="shared" si="6"/>
        <v>89356.829086187514</v>
      </c>
      <c r="T9" s="1603">
        <f t="shared" si="7"/>
        <v>92931.10224963502</v>
      </c>
      <c r="U9" s="2478"/>
      <c r="V9" s="1760">
        <v>163125</v>
      </c>
      <c r="W9" s="1919"/>
      <c r="X9" s="2504">
        <v>67854.34</v>
      </c>
      <c r="Y9" s="2505">
        <v>1976.3399999999965</v>
      </c>
      <c r="Z9" s="2506">
        <f>M9-L9</f>
        <v>4742</v>
      </c>
      <c r="AA9" s="2508">
        <v>1976</v>
      </c>
      <c r="AB9" s="2525" t="s">
        <v>1077</v>
      </c>
      <c r="AC9" s="2529">
        <v>2824.8000000000029</v>
      </c>
      <c r="AD9" s="2527">
        <f t="shared" si="9"/>
        <v>2824.8000000000029</v>
      </c>
      <c r="AE9" s="2528"/>
      <c r="AF9" s="2530"/>
      <c r="AG9" s="2520"/>
      <c r="AH9" s="1418">
        <f t="shared" si="10"/>
        <v>9.7632985249177059E-2</v>
      </c>
      <c r="AI9" s="1418">
        <f t="shared" si="11"/>
        <v>0.10089580675446563</v>
      </c>
      <c r="AJ9" s="941">
        <f t="shared" si="0"/>
        <v>0.1019795174529092</v>
      </c>
      <c r="AK9" s="3093">
        <f t="shared" si="12"/>
        <v>0.1030299544503815</v>
      </c>
      <c r="AL9" s="2465">
        <f t="shared" si="13"/>
        <v>4742</v>
      </c>
      <c r="AM9" s="2466">
        <f t="shared" si="14"/>
        <v>7.1981541637572422E-2</v>
      </c>
      <c r="AN9" s="2467">
        <f>(SUM(M4:M9)/(SUM(L4:L9)))-1</f>
        <v>6.9051225908292491E-2</v>
      </c>
      <c r="AO9" s="3090">
        <f t="shared" si="15"/>
        <v>2824.8000000000029</v>
      </c>
      <c r="AP9" s="3091">
        <f t="shared" si="16"/>
        <v>4.0000000000000036E-2</v>
      </c>
      <c r="AQ9" s="3092">
        <f>(SUM(N4:N9)/(SUM(M4:M9)))-1</f>
        <v>2.7922348941541442E-2</v>
      </c>
    </row>
    <row r="10" spans="1:43" s="857" customFormat="1" ht="15.75">
      <c r="A10" s="864" t="s">
        <v>43</v>
      </c>
      <c r="B10" s="986">
        <v>49933</v>
      </c>
      <c r="C10" s="986">
        <v>50484</v>
      </c>
      <c r="D10" s="986">
        <v>50069</v>
      </c>
      <c r="E10" s="986">
        <v>49766</v>
      </c>
      <c r="F10" s="986">
        <v>51152</v>
      </c>
      <c r="G10" s="986">
        <v>56168</v>
      </c>
      <c r="H10" s="986">
        <v>64119</v>
      </c>
      <c r="I10" s="986">
        <v>71099</v>
      </c>
      <c r="J10" s="986">
        <v>73006</v>
      </c>
      <c r="K10" s="986">
        <v>66352</v>
      </c>
      <c r="L10" s="986">
        <v>70150</v>
      </c>
      <c r="M10" s="986">
        <v>72893</v>
      </c>
      <c r="N10" s="1603">
        <f t="shared" si="1"/>
        <v>75808.72</v>
      </c>
      <c r="O10" s="1603">
        <f t="shared" si="2"/>
        <v>78841.068800000008</v>
      </c>
      <c r="P10" s="1603">
        <f t="shared" si="3"/>
        <v>81994.711552000008</v>
      </c>
      <c r="Q10" s="1603">
        <f t="shared" si="4"/>
        <v>85274.500014080011</v>
      </c>
      <c r="R10" s="1603">
        <f t="shared" si="5"/>
        <v>88685.48001464321</v>
      </c>
      <c r="S10" s="1603">
        <f t="shared" si="6"/>
        <v>92232.899215228943</v>
      </c>
      <c r="T10" s="1603">
        <f t="shared" si="7"/>
        <v>95922.215183838096</v>
      </c>
      <c r="U10" s="2478"/>
      <c r="V10" s="1760"/>
      <c r="W10" s="1919"/>
      <c r="X10" s="2504">
        <v>72254.5</v>
      </c>
      <c r="Y10" s="2505">
        <v>2104.5</v>
      </c>
      <c r="Z10" s="2506">
        <f t="shared" si="8"/>
        <v>2743</v>
      </c>
      <c r="AA10" s="2509">
        <v>0</v>
      </c>
      <c r="AB10" s="2525" t="s">
        <v>1078</v>
      </c>
      <c r="AC10" s="2529">
        <v>2915.7200000000012</v>
      </c>
      <c r="AD10" s="2527">
        <f t="shared" si="9"/>
        <v>2915.7200000000012</v>
      </c>
      <c r="AE10" s="2528"/>
      <c r="AF10" s="2530"/>
      <c r="AG10" s="2520"/>
      <c r="AH10" s="1418">
        <f t="shared" si="10"/>
        <v>0.10571901100336825</v>
      </c>
      <c r="AI10" s="1418">
        <f t="shared" si="11"/>
        <v>0.10743861143061058</v>
      </c>
      <c r="AJ10" s="941">
        <f t="shared" si="0"/>
        <v>0.10526186584104942</v>
      </c>
      <c r="AK10" s="3093">
        <f t="shared" si="12"/>
        <v>0.10634611257082496</v>
      </c>
      <c r="AL10" s="2465">
        <f t="shared" si="13"/>
        <v>2743</v>
      </c>
      <c r="AM10" s="2466">
        <f t="shared" si="14"/>
        <v>3.9101924447612291E-2</v>
      </c>
      <c r="AN10" s="2467">
        <f>(SUM(M4:M10)/(SUM(L4:L10)))-1</f>
        <v>6.3585228662264681E-2</v>
      </c>
      <c r="AO10" s="3090">
        <f t="shared" si="15"/>
        <v>2915.7200000000012</v>
      </c>
      <c r="AP10" s="3091">
        <f t="shared" si="16"/>
        <v>4.0000000000000036E-2</v>
      </c>
      <c r="AQ10" s="3092">
        <f>(SUM(N4:N10)/(SUM(M4:M10)))-1</f>
        <v>3.0075879512531545E-2</v>
      </c>
    </row>
    <row r="11" spans="1:43" s="857" customFormat="1" ht="15.75">
      <c r="A11" s="864" t="s">
        <v>44</v>
      </c>
      <c r="B11" s="986">
        <v>42244</v>
      </c>
      <c r="C11" s="986">
        <v>43576</v>
      </c>
      <c r="D11" s="986">
        <v>44378</v>
      </c>
      <c r="E11" s="986">
        <v>42481</v>
      </c>
      <c r="F11" s="986">
        <v>43036</v>
      </c>
      <c r="G11" s="986">
        <v>46212</v>
      </c>
      <c r="H11" s="986">
        <v>52709</v>
      </c>
      <c r="I11" s="986">
        <v>57790</v>
      </c>
      <c r="J11" s="986">
        <v>52994</v>
      </c>
      <c r="K11" s="986">
        <v>47805</v>
      </c>
      <c r="L11" s="986">
        <v>51198</v>
      </c>
      <c r="M11" s="986">
        <v>54375</v>
      </c>
      <c r="N11" s="1603">
        <f t="shared" si="1"/>
        <v>56550</v>
      </c>
      <c r="O11" s="1603">
        <f t="shared" si="2"/>
        <v>58812</v>
      </c>
      <c r="P11" s="1603">
        <f t="shared" si="3"/>
        <v>61164.480000000003</v>
      </c>
      <c r="Q11" s="1603">
        <f t="shared" si="4"/>
        <v>63611.059200000003</v>
      </c>
      <c r="R11" s="1603">
        <f t="shared" si="5"/>
        <v>66155.501568000007</v>
      </c>
      <c r="S11" s="1603">
        <f t="shared" si="6"/>
        <v>68801.721630720014</v>
      </c>
      <c r="T11" s="1603">
        <f t="shared" si="7"/>
        <v>71553.790495948808</v>
      </c>
      <c r="U11" s="2478"/>
      <c r="V11" s="1760">
        <v>121350</v>
      </c>
      <c r="W11" s="1919">
        <f>SUM(V4:V11)</f>
        <v>435551</v>
      </c>
      <c r="X11" s="2504">
        <v>52733.94</v>
      </c>
      <c r="Y11" s="2505">
        <v>1535.9400000000023</v>
      </c>
      <c r="Z11" s="2506">
        <f t="shared" si="8"/>
        <v>3177</v>
      </c>
      <c r="AA11" s="2507">
        <v>3177</v>
      </c>
      <c r="AB11" s="2525" t="s">
        <v>1079</v>
      </c>
      <c r="AC11" s="2529">
        <v>2175</v>
      </c>
      <c r="AD11" s="2527">
        <f t="shared" si="9"/>
        <v>2175</v>
      </c>
      <c r="AE11" s="2528"/>
      <c r="AF11" s="2530"/>
      <c r="AG11" s="2520"/>
      <c r="AH11" s="1418">
        <f t="shared" si="10"/>
        <v>7.6167972646130025E-2</v>
      </c>
      <c r="AI11" s="1418">
        <f t="shared" si="11"/>
        <v>7.8412573457225951E-2</v>
      </c>
      <c r="AJ11" s="941">
        <f t="shared" si="0"/>
        <v>7.8520762694731489E-2</v>
      </c>
      <c r="AK11" s="3093">
        <f t="shared" si="12"/>
        <v>7.93295634839917E-2</v>
      </c>
      <c r="AL11" s="2465">
        <f t="shared" si="13"/>
        <v>3177</v>
      </c>
      <c r="AM11" s="2466">
        <f t="shared" si="14"/>
        <v>6.2053205203328243E-2</v>
      </c>
      <c r="AN11" s="2467">
        <f>(SUM(M4:M11)/(SUM(L4:L11)))-1</f>
        <v>6.3405148267533518E-2</v>
      </c>
      <c r="AO11" s="3090">
        <f t="shared" si="15"/>
        <v>2175</v>
      </c>
      <c r="AP11" s="3091">
        <f t="shared" si="16"/>
        <v>4.0000000000000036E-2</v>
      </c>
      <c r="AQ11" s="3092">
        <f>(SUM(N4:N11)/(SUM(M4:M11)))-1</f>
        <v>3.1240918776892723E-2</v>
      </c>
    </row>
    <row r="12" spans="1:43" s="857" customFormat="1" ht="15.75">
      <c r="A12" s="864" t="s">
        <v>45</v>
      </c>
      <c r="B12" s="986">
        <v>31407</v>
      </c>
      <c r="C12" s="986">
        <v>34318</v>
      </c>
      <c r="D12" s="986">
        <v>33494</v>
      </c>
      <c r="E12" s="986">
        <v>33003</v>
      </c>
      <c r="F12" s="986">
        <v>34628</v>
      </c>
      <c r="G12" s="986">
        <v>39747</v>
      </c>
      <c r="H12" s="986">
        <v>49386</v>
      </c>
      <c r="I12" s="986">
        <v>55854</v>
      </c>
      <c r="J12" s="986">
        <v>51643</v>
      </c>
      <c r="K12" s="986">
        <v>40169</v>
      </c>
      <c r="L12" s="986">
        <f>45351+6</f>
        <v>45357</v>
      </c>
      <c r="M12" s="986">
        <v>50018</v>
      </c>
      <c r="N12" s="1603">
        <f t="shared" si="1"/>
        <v>52018.720000000001</v>
      </c>
      <c r="O12" s="1603">
        <f t="shared" si="2"/>
        <v>54099.468800000002</v>
      </c>
      <c r="P12" s="1603">
        <f t="shared" si="3"/>
        <v>56263.447552000005</v>
      </c>
      <c r="Q12" s="1603">
        <f t="shared" si="4"/>
        <v>58513.985454080008</v>
      </c>
      <c r="R12" s="1603">
        <f t="shared" si="5"/>
        <v>60854.544872243205</v>
      </c>
      <c r="S12" s="1603">
        <f t="shared" si="6"/>
        <v>63288.726667132934</v>
      </c>
      <c r="T12" s="1603">
        <f t="shared" si="7"/>
        <v>65820.275733818256</v>
      </c>
      <c r="U12" s="2478"/>
      <c r="V12" s="1760"/>
      <c r="W12" s="1919"/>
      <c r="X12" s="2504">
        <v>46711.53</v>
      </c>
      <c r="Y12" s="2505">
        <v>1360.5299999999988</v>
      </c>
      <c r="Z12" s="2506">
        <f t="shared" si="8"/>
        <v>4661</v>
      </c>
      <c r="AA12" s="2507">
        <v>4667</v>
      </c>
      <c r="AB12" s="2525" t="s">
        <v>1105</v>
      </c>
      <c r="AC12" s="2529">
        <v>2000.7200000000012</v>
      </c>
      <c r="AD12" s="2527">
        <f t="shared" si="9"/>
        <v>2000.7200000000012</v>
      </c>
      <c r="AE12" s="2528"/>
      <c r="AF12" s="2530"/>
      <c r="AG12" s="2520"/>
      <c r="AH12" s="1418">
        <f t="shared" si="10"/>
        <v>6.4001491334011021E-2</v>
      </c>
      <c r="AI12" s="1418">
        <f t="shared" si="11"/>
        <v>6.9466758355783378E-2</v>
      </c>
      <c r="AJ12" s="941">
        <f t="shared" si="0"/>
        <v>7.2228993259127905E-2</v>
      </c>
      <c r="AK12" s="3093">
        <f t="shared" si="12"/>
        <v>7.2972985863766382E-2</v>
      </c>
      <c r="AL12" s="2465">
        <f t="shared" si="13"/>
        <v>4661</v>
      </c>
      <c r="AM12" s="2466">
        <f t="shared" si="14"/>
        <v>0.10276252838591615</v>
      </c>
      <c r="AN12" s="2467">
        <f>(SUM(M4:M12)/(SUM(L4:L12)))-1</f>
        <v>6.7117052488870232E-2</v>
      </c>
      <c r="AO12" s="3090">
        <f t="shared" si="15"/>
        <v>2000.7200000000012</v>
      </c>
      <c r="AP12" s="3091">
        <f t="shared" si="16"/>
        <v>4.0000000000000036E-2</v>
      </c>
      <c r="AQ12" s="3092">
        <f>(SUM(N4:N12)/(SUM(M4:M12)))-1</f>
        <v>3.2094606575616691E-2</v>
      </c>
    </row>
    <row r="13" spans="1:43" s="857" customFormat="1" ht="15.75">
      <c r="A13" s="864" t="s">
        <v>46</v>
      </c>
      <c r="B13" s="986">
        <v>33891</v>
      </c>
      <c r="C13" s="986">
        <v>36977</v>
      </c>
      <c r="D13" s="986">
        <v>35959</v>
      </c>
      <c r="E13" s="986">
        <v>38298</v>
      </c>
      <c r="F13" s="986">
        <v>38582</v>
      </c>
      <c r="G13" s="986">
        <v>44864</v>
      </c>
      <c r="H13" s="986">
        <v>52967</v>
      </c>
      <c r="I13" s="986">
        <v>59469</v>
      </c>
      <c r="J13" s="986">
        <v>56449</v>
      </c>
      <c r="K13" s="986">
        <v>53831</v>
      </c>
      <c r="L13" s="986">
        <f>49732+1</f>
        <v>49733</v>
      </c>
      <c r="M13" s="986">
        <v>53057</v>
      </c>
      <c r="N13" s="1603">
        <f t="shared" si="1"/>
        <v>55179.28</v>
      </c>
      <c r="O13" s="1603">
        <f t="shared" si="2"/>
        <v>57386.451199999996</v>
      </c>
      <c r="P13" s="1603">
        <f t="shared" si="3"/>
        <v>59681.909247999996</v>
      </c>
      <c r="Q13" s="1603">
        <f t="shared" si="4"/>
        <v>62069.185617919997</v>
      </c>
      <c r="R13" s="1603">
        <f t="shared" si="5"/>
        <v>64551.9530426368</v>
      </c>
      <c r="S13" s="1603">
        <f t="shared" si="6"/>
        <v>67134.031164342276</v>
      </c>
      <c r="T13" s="1603">
        <f t="shared" si="7"/>
        <v>69819.392410915971</v>
      </c>
      <c r="U13" s="2478"/>
      <c r="V13" s="1760"/>
      <c r="W13" s="1919"/>
      <c r="X13" s="2504">
        <v>51223.96</v>
      </c>
      <c r="Y13" s="2505">
        <v>1491.9599999999991</v>
      </c>
      <c r="Z13" s="2506">
        <f t="shared" si="8"/>
        <v>3324</v>
      </c>
      <c r="AA13" s="2507">
        <v>1492</v>
      </c>
      <c r="AB13" s="2525" t="s">
        <v>1122</v>
      </c>
      <c r="AC13" s="2529">
        <v>2122.2799999999988</v>
      </c>
      <c r="AD13" s="2527">
        <f t="shared" si="9"/>
        <v>2122.2799999999988</v>
      </c>
      <c r="AE13" s="2528"/>
      <c r="AF13" s="2530"/>
      <c r="AG13" s="2520"/>
      <c r="AH13" s="1418">
        <f t="shared" si="10"/>
        <v>8.5769231994850439E-2</v>
      </c>
      <c r="AI13" s="1418">
        <f t="shared" si="11"/>
        <v>7.6168844793707141E-2</v>
      </c>
      <c r="AJ13" s="941">
        <f t="shared" si="0"/>
        <v>7.6617491610011385E-2</v>
      </c>
      <c r="AK13" s="3093">
        <f t="shared" si="12"/>
        <v>7.7406687811864786E-2</v>
      </c>
      <c r="AL13" s="2465">
        <f t="shared" si="13"/>
        <v>3324</v>
      </c>
      <c r="AM13" s="2466">
        <f t="shared" si="14"/>
        <v>6.6836909094565078E-2</v>
      </c>
      <c r="AN13" s="2467">
        <f>(SUM(M4:M13)/(SUM(L4:L13)))-1</f>
        <v>6.7090797393405177E-2</v>
      </c>
      <c r="AO13" s="3090">
        <f t="shared" si="15"/>
        <v>2122.2799999999988</v>
      </c>
      <c r="AP13" s="3091">
        <f t="shared" si="16"/>
        <v>4.0000000000000036E-2</v>
      </c>
      <c r="AQ13" s="3092">
        <f>(SUM(N4:N13)/(SUM(M4:M13)))-1</f>
        <v>3.2835325365205836E-2</v>
      </c>
    </row>
    <row r="14" spans="1:43" s="857" customFormat="1" ht="15.75">
      <c r="A14" s="864" t="s">
        <v>47</v>
      </c>
      <c r="B14" s="986">
        <v>35806</v>
      </c>
      <c r="C14" s="986">
        <v>38290</v>
      </c>
      <c r="D14" s="986">
        <v>38401</v>
      </c>
      <c r="E14" s="986">
        <v>38171</v>
      </c>
      <c r="F14" s="986">
        <v>41073</v>
      </c>
      <c r="G14" s="986">
        <v>46422</v>
      </c>
      <c r="H14" s="986">
        <v>56278</v>
      </c>
      <c r="I14" s="986">
        <v>63281</v>
      </c>
      <c r="J14" s="986">
        <v>61342</v>
      </c>
      <c r="K14" s="986">
        <v>48311</v>
      </c>
      <c r="L14" s="986">
        <v>52215</v>
      </c>
      <c r="M14" s="986">
        <v>54720</v>
      </c>
      <c r="N14" s="1603">
        <f t="shared" si="1"/>
        <v>56908.800000000003</v>
      </c>
      <c r="O14" s="1603">
        <f t="shared" si="2"/>
        <v>59185.152000000002</v>
      </c>
      <c r="P14" s="1603">
        <f t="shared" si="3"/>
        <v>61552.558080000003</v>
      </c>
      <c r="Q14" s="1603">
        <f t="shared" si="4"/>
        <v>64014.660403200003</v>
      </c>
      <c r="R14" s="1603">
        <f t="shared" si="5"/>
        <v>66575.246819328007</v>
      </c>
      <c r="S14" s="1603">
        <f t="shared" si="6"/>
        <v>69238.256692101131</v>
      </c>
      <c r="T14" s="1603">
        <f t="shared" si="7"/>
        <v>72007.786959785182</v>
      </c>
      <c r="U14" s="2478"/>
      <c r="V14" s="1760">
        <v>145000</v>
      </c>
      <c r="W14" s="2500">
        <v>147286</v>
      </c>
      <c r="X14" s="2504">
        <v>53769.09</v>
      </c>
      <c r="Y14" s="2505">
        <v>1566.0899999999965</v>
      </c>
      <c r="Z14" s="2506">
        <f t="shared" si="8"/>
        <v>2505</v>
      </c>
      <c r="AA14" s="2507">
        <v>2505</v>
      </c>
      <c r="AB14" s="2525" t="s">
        <v>1138</v>
      </c>
      <c r="AC14" s="2529">
        <v>2188.8000000000029</v>
      </c>
      <c r="AD14" s="2527">
        <f t="shared" si="9"/>
        <v>2188.8000000000029</v>
      </c>
      <c r="AE14" s="2528"/>
      <c r="AF14" s="2530"/>
      <c r="AG14" s="2520"/>
      <c r="AH14" s="1418">
        <f t="shared" si="10"/>
        <v>7.6974185263198144E-2</v>
      </c>
      <c r="AI14" s="1418">
        <f t="shared" si="11"/>
        <v>7.9970165300774512E-2</v>
      </c>
      <c r="AJ14" s="941">
        <f t="shared" si="0"/>
        <v>7.9018963395967035E-2</v>
      </c>
      <c r="AK14" s="3093">
        <f t="shared" si="12"/>
        <v>7.9832895886786687E-2</v>
      </c>
      <c r="AL14" s="2465">
        <f t="shared" si="13"/>
        <v>2505</v>
      </c>
      <c r="AM14" s="2466">
        <f t="shared" si="14"/>
        <v>4.797471990807245E-2</v>
      </c>
      <c r="AN14" s="2467">
        <f>(SUM(M4:M14)/(SUM(L4:L14)))-1</f>
        <v>6.5378326862468139E-2</v>
      </c>
      <c r="AO14" s="3090">
        <f t="shared" si="15"/>
        <v>2188.8000000000029</v>
      </c>
      <c r="AP14" s="3091">
        <f t="shared" si="16"/>
        <v>4.0000000000000036E-2</v>
      </c>
      <c r="AQ14" s="3092">
        <f>(SUM(N4:N14)/(SUM(M4:M14)))-1</f>
        <v>3.3466671819844862E-2</v>
      </c>
    </row>
    <row r="15" spans="1:43" s="857" customFormat="1" ht="16.5" thickBot="1">
      <c r="A15" s="864" t="s">
        <v>48</v>
      </c>
      <c r="B15" s="986">
        <v>36780</v>
      </c>
      <c r="C15" s="986">
        <v>37281</v>
      </c>
      <c r="D15" s="986">
        <v>43693</v>
      </c>
      <c r="E15" s="986">
        <v>41220</v>
      </c>
      <c r="F15" s="986">
        <v>44235</v>
      </c>
      <c r="G15" s="986">
        <v>54545</v>
      </c>
      <c r="H15" s="986">
        <v>64370</v>
      </c>
      <c r="I15" s="986">
        <v>77956</v>
      </c>
      <c r="J15" s="986">
        <v>68875</v>
      </c>
      <c r="K15" s="986">
        <v>64045</v>
      </c>
      <c r="L15" s="986">
        <v>70062</v>
      </c>
      <c r="M15" s="986">
        <v>71516</v>
      </c>
      <c r="N15" s="3089">
        <v>71091</v>
      </c>
      <c r="O15" s="1603">
        <f t="shared" si="2"/>
        <v>73934.64</v>
      </c>
      <c r="P15" s="1603">
        <f t="shared" si="3"/>
        <v>76892.025599999994</v>
      </c>
      <c r="Q15" s="1603">
        <f t="shared" si="4"/>
        <v>79967.706623999999</v>
      </c>
      <c r="R15" s="1603">
        <f t="shared" si="5"/>
        <v>83166.414888960004</v>
      </c>
      <c r="S15" s="1603">
        <f t="shared" si="6"/>
        <v>86493.071484518397</v>
      </c>
      <c r="T15" s="1603">
        <f t="shared" si="7"/>
        <v>89952.794343899135</v>
      </c>
      <c r="U15" s="2478"/>
      <c r="V15" s="1760">
        <v>89785</v>
      </c>
      <c r="W15" s="1919">
        <f>L16-W11-W14</f>
        <v>70094</v>
      </c>
      <c r="X15" s="2510">
        <v>70000</v>
      </c>
      <c r="Y15" s="2511">
        <v>2514</v>
      </c>
      <c r="Z15" s="2512">
        <f t="shared" si="8"/>
        <v>1454</v>
      </c>
      <c r="AA15" s="2513">
        <v>8789</v>
      </c>
      <c r="AB15" s="2526" t="s">
        <v>1161</v>
      </c>
      <c r="AC15" s="2532">
        <v>1500</v>
      </c>
      <c r="AD15" s="2533">
        <f t="shared" si="9"/>
        <v>-425</v>
      </c>
      <c r="AE15" s="2534"/>
      <c r="AF15" s="2535"/>
      <c r="AG15" s="2521"/>
      <c r="AH15" s="1418">
        <f t="shared" si="10"/>
        <v>0.10204325505954183</v>
      </c>
      <c r="AI15" s="1418">
        <f t="shared" si="11"/>
        <v>0.10730383455525928</v>
      </c>
      <c r="AJ15" s="941">
        <f t="shared" si="0"/>
        <v>0.10327339521611802</v>
      </c>
      <c r="AK15" s="3093">
        <f t="shared" si="12"/>
        <v>9.9727992884888664E-2</v>
      </c>
      <c r="AL15" s="2465">
        <f t="shared" si="13"/>
        <v>1454</v>
      </c>
      <c r="AM15" s="2466">
        <f t="shared" si="14"/>
        <v>2.0753047300962058E-2</v>
      </c>
      <c r="AN15" s="2467">
        <f>(SUM(M4:M15)/(SUM(L4:L15)))-1</f>
        <v>6.0589863247418219E-2</v>
      </c>
      <c r="AO15" s="3090">
        <f t="shared" si="15"/>
        <v>-425</v>
      </c>
      <c r="AP15" s="3091">
        <f t="shared" si="16"/>
        <v>-5.9427261032496403E-3</v>
      </c>
      <c r="AQ15" s="3092">
        <f>(SUM(N4:N15)/(SUM(M4:M15)))-1</f>
        <v>2.9396729492903839E-2</v>
      </c>
    </row>
    <row r="16" spans="1:43" s="995" customFormat="1" ht="21.75" thickBot="1">
      <c r="A16" s="855" t="s">
        <v>703</v>
      </c>
      <c r="B16" s="994">
        <v>417853</v>
      </c>
      <c r="C16" s="994">
        <v>471499</v>
      </c>
      <c r="D16" s="994">
        <v>461865</v>
      </c>
      <c r="E16" s="994">
        <v>474221</v>
      </c>
      <c r="F16" s="994">
        <v>487378</v>
      </c>
      <c r="G16" s="994">
        <v>533458</v>
      </c>
      <c r="H16" s="994">
        <f>SUM(H4:H15)</f>
        <v>628958</v>
      </c>
      <c r="I16" s="994">
        <v>703015</v>
      </c>
      <c r="J16" s="994">
        <f>SUM(J4:J15)</f>
        <v>712877</v>
      </c>
      <c r="K16" s="994">
        <f>+K9+K7+K8+K10+K11+K12+K13+K14+K15+K4+K5+K6</f>
        <v>627626</v>
      </c>
      <c r="L16" s="994">
        <f>SUM(L4:L15)</f>
        <v>652931</v>
      </c>
      <c r="M16" s="994">
        <f>SUM(M4:M15)</f>
        <v>692492</v>
      </c>
      <c r="N16" s="996">
        <f>SUM(N4:N15)</f>
        <v>712849</v>
      </c>
      <c r="O16" s="996">
        <f t="shared" ref="O16:T16" si="17">(N16*O2)+N16</f>
        <v>741362.96</v>
      </c>
      <c r="P16" s="996">
        <f t="shared" si="17"/>
        <v>771017.47839999991</v>
      </c>
      <c r="Q16" s="996">
        <f t="shared" si="17"/>
        <v>801858.17753599992</v>
      </c>
      <c r="R16" s="996">
        <f t="shared" si="17"/>
        <v>833932.50463743997</v>
      </c>
      <c r="S16" s="996">
        <f t="shared" si="17"/>
        <v>867289.80482293759</v>
      </c>
      <c r="T16" s="996">
        <f t="shared" si="17"/>
        <v>901981.39701585507</v>
      </c>
      <c r="U16" s="2479"/>
      <c r="V16" s="2501">
        <f>SUM(V4:V15)</f>
        <v>670336</v>
      </c>
      <c r="W16" s="2502">
        <f>SUM(W4:W15)</f>
        <v>652931</v>
      </c>
      <c r="X16" s="2510">
        <v>670335.49999999988</v>
      </c>
      <c r="Y16" s="2514">
        <v>19999.499999999993</v>
      </c>
      <c r="Z16" s="2515">
        <f t="shared" si="8"/>
        <v>39561</v>
      </c>
      <c r="AA16" s="2516">
        <f>SUM(AA4:AA15)</f>
        <v>39561</v>
      </c>
      <c r="AB16" s="2517"/>
      <c r="AC16" s="2546">
        <f>SUM(AC4:AC15)</f>
        <v>25000.280000000006</v>
      </c>
      <c r="AD16" s="2547">
        <f>SUM(AD4:AD15)</f>
        <v>20357.000000000007</v>
      </c>
      <c r="AE16" s="2552">
        <f>SUM(AE4:AE15)</f>
        <v>2089.2799999999988</v>
      </c>
      <c r="AF16" s="2548"/>
      <c r="AG16" s="2522"/>
      <c r="AH16" s="866"/>
      <c r="AI16" s="866"/>
      <c r="AJ16" s="2554"/>
      <c r="AK16" s="2554"/>
      <c r="AL16" s="2468">
        <f t="shared" si="13"/>
        <v>39561</v>
      </c>
      <c r="AM16" s="2469">
        <f t="shared" si="14"/>
        <v>6.0589863247418219E-2</v>
      </c>
      <c r="AN16" s="2470">
        <f>(SUM(M4:M15)/(SUM(L4:L15)))-1</f>
        <v>6.0589863247418219E-2</v>
      </c>
      <c r="AO16" s="2462">
        <f t="shared" si="15"/>
        <v>20357</v>
      </c>
      <c r="AP16" s="2464">
        <f t="shared" si="16"/>
        <v>2.9396729492903839E-2</v>
      </c>
      <c r="AQ16" s="2459">
        <f>(SUM(N4:N15)/(SUM(M4:M15)))-1</f>
        <v>2.9396729492903839E-2</v>
      </c>
    </row>
    <row r="17" spans="1:43" s="857" customFormat="1" ht="24" thickBot="1">
      <c r="A17" s="1419" t="s">
        <v>1408</v>
      </c>
      <c r="B17" s="866">
        <f>SUM(B4)</f>
        <v>29447</v>
      </c>
      <c r="C17" s="866">
        <f t="shared" ref="C17:N17" si="18">SUM(C4)</f>
        <v>34991</v>
      </c>
      <c r="D17" s="866">
        <f t="shared" si="18"/>
        <v>35904</v>
      </c>
      <c r="E17" s="866">
        <f t="shared" si="18"/>
        <v>38603</v>
      </c>
      <c r="F17" s="866">
        <f t="shared" si="18"/>
        <v>37463</v>
      </c>
      <c r="G17" s="866">
        <f t="shared" si="18"/>
        <v>37773</v>
      </c>
      <c r="H17" s="866">
        <f t="shared" si="18"/>
        <v>46137</v>
      </c>
      <c r="I17" s="866">
        <f t="shared" si="18"/>
        <v>51688</v>
      </c>
      <c r="J17" s="866">
        <f t="shared" si="18"/>
        <v>58224</v>
      </c>
      <c r="K17" s="866">
        <f t="shared" si="18"/>
        <v>52833</v>
      </c>
      <c r="L17" s="866">
        <f t="shared" si="18"/>
        <v>50621</v>
      </c>
      <c r="M17" s="866">
        <f t="shared" si="18"/>
        <v>53007</v>
      </c>
      <c r="N17" s="866">
        <f t="shared" si="18"/>
        <v>52976</v>
      </c>
      <c r="O17" s="866">
        <f t="shared" ref="O17:AE17" si="19">SUM(O4:O15)</f>
        <v>741362.96000000008</v>
      </c>
      <c r="P17" s="866">
        <f t="shared" si="19"/>
        <v>771017.47840000014</v>
      </c>
      <c r="Q17" s="866">
        <f t="shared" si="19"/>
        <v>801858.17753600003</v>
      </c>
      <c r="R17" s="866">
        <f t="shared" si="19"/>
        <v>833932.50463744008</v>
      </c>
      <c r="S17" s="866">
        <f t="shared" si="19"/>
        <v>867289.80482293759</v>
      </c>
      <c r="T17" s="866">
        <f t="shared" si="19"/>
        <v>901981.3970158553</v>
      </c>
      <c r="U17" s="2480"/>
      <c r="V17" s="866">
        <f t="shared" si="19"/>
        <v>670336</v>
      </c>
      <c r="W17" s="866">
        <f t="shared" si="19"/>
        <v>652931</v>
      </c>
      <c r="X17" s="866">
        <f t="shared" si="19"/>
        <v>670335.49999999988</v>
      </c>
      <c r="Y17" s="866">
        <f t="shared" si="19"/>
        <v>19999.499999999996</v>
      </c>
      <c r="Z17" s="866">
        <f t="shared" si="19"/>
        <v>39561</v>
      </c>
      <c r="AA17" s="866">
        <f t="shared" si="19"/>
        <v>39561</v>
      </c>
      <c r="AB17" s="866">
        <f t="shared" si="19"/>
        <v>0</v>
      </c>
      <c r="AC17" s="2549">
        <f t="shared" si="19"/>
        <v>25000.280000000006</v>
      </c>
      <c r="AD17" s="2550">
        <f t="shared" si="19"/>
        <v>20357.000000000007</v>
      </c>
      <c r="AE17" s="2550">
        <f t="shared" si="19"/>
        <v>2089.2799999999988</v>
      </c>
      <c r="AF17" s="2551"/>
      <c r="AG17" s="2523"/>
    </row>
    <row r="18" spans="1:43">
      <c r="A18" s="35"/>
      <c r="B18" s="34"/>
      <c r="C18" s="36"/>
      <c r="D18" s="36"/>
      <c r="E18" s="36"/>
      <c r="F18" s="36"/>
      <c r="G18" s="36"/>
      <c r="H18" s="67"/>
      <c r="I18" s="67"/>
      <c r="J18" s="820"/>
      <c r="K18" s="820"/>
      <c r="L18" s="820"/>
      <c r="M18" s="23"/>
      <c r="N18" s="820"/>
      <c r="O18" s="820"/>
      <c r="P18" s="820"/>
      <c r="Q18" s="820"/>
      <c r="R18" s="820"/>
      <c r="S18" s="820"/>
      <c r="T18" s="820"/>
      <c r="U18" s="820"/>
      <c r="X18" s="1349"/>
      <c r="Y18" s="1349"/>
      <c r="Z18" s="1349"/>
      <c r="AA18" s="1912"/>
      <c r="AB18" s="1294"/>
      <c r="AC18" s="1920" t="s">
        <v>1072</v>
      </c>
      <c r="AD18" s="1296"/>
      <c r="AE18" s="1296"/>
      <c r="AF18" s="1296"/>
      <c r="AG18" s="1296"/>
      <c r="AH18" s="944"/>
    </row>
    <row r="19" spans="1:43">
      <c r="A19" s="699" t="s">
        <v>137</v>
      </c>
      <c r="B19" s="37"/>
      <c r="C19" s="38"/>
      <c r="D19" s="38"/>
      <c r="E19" s="38"/>
      <c r="F19" s="38"/>
      <c r="G19" s="38"/>
      <c r="H19" s="36"/>
      <c r="I19" s="36"/>
      <c r="J19" s="36"/>
      <c r="K19" s="984" t="s">
        <v>914</v>
      </c>
      <c r="L19" s="2164"/>
      <c r="M19" s="23"/>
      <c r="N19" s="997" t="s">
        <v>1110</v>
      </c>
      <c r="O19" s="997"/>
      <c r="P19" s="997"/>
      <c r="Q19" s="997"/>
      <c r="R19" s="997"/>
      <c r="S19" s="997"/>
      <c r="T19" s="997"/>
      <c r="U19" s="2481"/>
      <c r="X19" s="1350"/>
      <c r="Y19" s="1350"/>
      <c r="Z19" s="1350"/>
      <c r="AA19" s="1913"/>
      <c r="AB19" s="1295"/>
      <c r="AC19" s="1921" t="s">
        <v>1164</v>
      </c>
      <c r="AD19" s="1296"/>
      <c r="AE19" s="1296"/>
      <c r="AF19" s="1296"/>
      <c r="AG19" s="1296"/>
      <c r="AH19" s="944"/>
      <c r="AQ19" s="997" t="s">
        <v>1110</v>
      </c>
    </row>
    <row r="20" spans="1:43" s="782" customFormat="1" ht="15.75" thickBot="1">
      <c r="A20" s="194" t="str">
        <f>A16</f>
        <v>Total anual</v>
      </c>
      <c r="B20" s="546"/>
      <c r="C20" s="547">
        <f t="shared" ref="C20:G21" si="20">C16/B16-1</f>
        <v>0.12838486261915083</v>
      </c>
      <c r="D20" s="547">
        <f t="shared" si="20"/>
        <v>-2.0432705053457179E-2</v>
      </c>
      <c r="E20" s="547">
        <f t="shared" si="20"/>
        <v>2.6752406006083973E-2</v>
      </c>
      <c r="F20" s="547">
        <f t="shared" si="20"/>
        <v>2.7744448263573362E-2</v>
      </c>
      <c r="G20" s="547">
        <f t="shared" si="20"/>
        <v>9.4546737850292883E-2</v>
      </c>
      <c r="H20" s="547">
        <f t="shared" ref="H20:N21" si="21">H16/G16-1</f>
        <v>0.17902065392214572</v>
      </c>
      <c r="I20" s="547">
        <f t="shared" si="21"/>
        <v>0.11774554103771639</v>
      </c>
      <c r="J20" s="547">
        <f t="shared" si="21"/>
        <v>1.4028150181717214E-2</v>
      </c>
      <c r="K20" s="547">
        <f t="shared" si="21"/>
        <v>-0.11958724997439951</v>
      </c>
      <c r="L20" s="547">
        <f t="shared" si="21"/>
        <v>4.0318597381242993E-2</v>
      </c>
      <c r="M20" s="547">
        <f t="shared" si="21"/>
        <v>6.0589863247418219E-2</v>
      </c>
      <c r="N20" s="547">
        <f t="shared" si="21"/>
        <v>2.9396729492903839E-2</v>
      </c>
      <c r="O20" s="1757"/>
      <c r="P20" s="1757"/>
      <c r="Q20" s="1757"/>
      <c r="R20" s="1757"/>
      <c r="S20" s="1757"/>
      <c r="T20" s="1757"/>
      <c r="U20" s="2482"/>
      <c r="V20"/>
      <c r="W20"/>
      <c r="X20" s="1351"/>
      <c r="Y20" s="1351"/>
      <c r="Z20" s="1914"/>
      <c r="AA20" s="1914"/>
      <c r="AB20" s="1335"/>
      <c r="AC20" s="1335"/>
      <c r="AD20" s="1335"/>
      <c r="AE20" s="1335"/>
      <c r="AF20" s="1335"/>
      <c r="AG20" s="1335"/>
      <c r="AH20" s="943"/>
      <c r="AI20" s="57"/>
      <c r="AJ20" s="57"/>
      <c r="AK20" s="57"/>
    </row>
    <row r="21" spans="1:43" s="781" customFormat="1" ht="15.75" thickTop="1">
      <c r="A21" s="645" t="str">
        <f>A17</f>
        <v>ene-ene</v>
      </c>
      <c r="B21" s="548"/>
      <c r="C21" s="646">
        <f t="shared" si="20"/>
        <v>0.18827045199850589</v>
      </c>
      <c r="D21" s="646">
        <f>D17/C17-1</f>
        <v>2.6092423766111317E-2</v>
      </c>
      <c r="E21" s="646">
        <f>E17/D17-1</f>
        <v>7.5172682709447436E-2</v>
      </c>
      <c r="F21" s="646">
        <f>F17/E17-1</f>
        <v>-2.9531383571225089E-2</v>
      </c>
      <c r="G21" s="646">
        <f>G17/F17-1</f>
        <v>8.2748311667510954E-3</v>
      </c>
      <c r="H21" s="646">
        <f t="shared" si="21"/>
        <v>0.22142800412993413</v>
      </c>
      <c r="I21" s="646">
        <f t="shared" si="21"/>
        <v>0.12031558185404334</v>
      </c>
      <c r="J21" s="646">
        <f t="shared" si="21"/>
        <v>0.12645101377495749</v>
      </c>
      <c r="K21" s="646">
        <f t="shared" si="21"/>
        <v>-9.2590684253915922E-2</v>
      </c>
      <c r="L21" s="646">
        <f t="shared" si="21"/>
        <v>-4.1867772036416673E-2</v>
      </c>
      <c r="M21" s="646">
        <f t="shared" si="21"/>
        <v>4.7134588411923861E-2</v>
      </c>
      <c r="N21" s="1946">
        <f t="shared" si="21"/>
        <v>-5.8482841888807258E-4</v>
      </c>
      <c r="O21" s="664"/>
      <c r="P21" s="664"/>
      <c r="Q21" s="664"/>
      <c r="R21" s="664"/>
      <c r="S21" s="664"/>
      <c r="T21" s="664"/>
      <c r="U21" s="2483"/>
      <c r="V21"/>
      <c r="W21"/>
      <c r="X21" s="1352"/>
      <c r="Y21" s="1352"/>
      <c r="Z21" s="1915"/>
      <c r="AA21" s="1915"/>
      <c r="AB21" s="1296"/>
      <c r="AC21" s="1296"/>
      <c r="AD21" s="1296"/>
      <c r="AE21" s="1296"/>
      <c r="AF21" s="1296"/>
      <c r="AG21" s="1296"/>
      <c r="AH21" s="1601"/>
      <c r="AI21" s="1602"/>
      <c r="AJ21" s="942"/>
      <c r="AK21" s="942"/>
      <c r="AL21" s="1909"/>
      <c r="AM21" s="1909"/>
    </row>
    <row r="22" spans="1:43" s="781" customFormat="1" ht="13.5" customHeight="1">
      <c r="A22" s="1942" t="s">
        <v>1080</v>
      </c>
      <c r="B22" s="1943" t="s">
        <v>1073</v>
      </c>
      <c r="C22" s="1944" t="s">
        <v>1074</v>
      </c>
      <c r="D22" s="1944"/>
      <c r="E22" s="1945" t="s">
        <v>1075</v>
      </c>
      <c r="F22" s="984"/>
      <c r="G22" s="984"/>
      <c r="H22" s="984"/>
      <c r="J22" s="984"/>
      <c r="K22" s="985"/>
      <c r="L22" s="2521" t="s">
        <v>762</v>
      </c>
      <c r="M22" s="2521" t="s">
        <v>913</v>
      </c>
      <c r="N22" s="2521" t="s">
        <v>1162</v>
      </c>
      <c r="O22" s="1414"/>
      <c r="P22" s="1414"/>
      <c r="Q22" s="1414"/>
      <c r="R22" s="1414"/>
      <c r="S22" s="1414"/>
      <c r="T22" s="1414"/>
      <c r="U22" s="2484"/>
      <c r="V22"/>
      <c r="W22"/>
      <c r="X22" s="1352"/>
      <c r="Z22" s="1915"/>
      <c r="AA22" s="1915"/>
      <c r="AB22" s="1420"/>
      <c r="AI22" s="1421"/>
      <c r="AJ22" s="1421"/>
      <c r="AK22" s="1421"/>
      <c r="AM22" s="1909"/>
    </row>
    <row r="23" spans="1:43" s="781" customFormat="1" ht="13.5" customHeight="1" thickBot="1">
      <c r="A23" s="2471"/>
      <c r="B23" s="2472"/>
      <c r="C23" s="2473"/>
      <c r="D23" s="2473"/>
      <c r="E23" s="2474"/>
      <c r="F23" s="984"/>
      <c r="G23" s="984"/>
      <c r="H23" s="984"/>
      <c r="J23" s="984"/>
      <c r="K23" s="985"/>
      <c r="L23" s="1414"/>
      <c r="M23" s="1414"/>
      <c r="N23" s="1414"/>
      <c r="O23" s="1414"/>
      <c r="P23" s="1414"/>
      <c r="Q23" s="1414"/>
      <c r="R23" s="1414"/>
      <c r="S23" s="1414"/>
      <c r="T23" s="1414"/>
      <c r="U23" s="2484"/>
      <c r="V23"/>
      <c r="W23"/>
      <c r="X23" s="1352"/>
      <c r="Z23" s="1915"/>
      <c r="AA23" s="1915"/>
      <c r="AB23" s="1420"/>
      <c r="AI23" s="1421"/>
      <c r="AJ23" s="1421"/>
      <c r="AK23" s="1421"/>
      <c r="AM23" s="1909"/>
    </row>
    <row r="24" spans="1:43" s="781" customFormat="1" ht="15.75" thickBot="1">
      <c r="A24" s="988" t="s">
        <v>185</v>
      </c>
      <c r="B24" s="983"/>
      <c r="F24" s="984"/>
      <c r="H24" s="984"/>
      <c r="I24" s="989" t="s">
        <v>229</v>
      </c>
      <c r="J24" s="989" t="s">
        <v>446</v>
      </c>
      <c r="K24" s="989" t="s">
        <v>633</v>
      </c>
      <c r="L24" s="989" t="s">
        <v>693</v>
      </c>
      <c r="M24" s="989" t="s">
        <v>1070</v>
      </c>
      <c r="N24" s="989" t="s">
        <v>1154</v>
      </c>
      <c r="O24" s="989" t="s">
        <v>1155</v>
      </c>
      <c r="P24" s="989" t="s">
        <v>1156</v>
      </c>
      <c r="Q24" s="989" t="s">
        <v>1157</v>
      </c>
      <c r="R24" s="989" t="s">
        <v>1158</v>
      </c>
      <c r="S24" s="989" t="s">
        <v>1159</v>
      </c>
      <c r="T24" s="989" t="s">
        <v>1160</v>
      </c>
      <c r="U24" s="2485"/>
      <c r="V24"/>
      <c r="W24"/>
      <c r="X24" s="1353"/>
      <c r="Z24" s="1916"/>
      <c r="AA24" s="1916"/>
      <c r="AB24" s="1296"/>
      <c r="AC24" s="1296"/>
      <c r="AD24" s="1296"/>
      <c r="AE24" s="1296"/>
      <c r="AF24" s="1296"/>
      <c r="AG24" s="1296"/>
      <c r="AH24" s="944"/>
      <c r="AI24" s="942"/>
      <c r="AJ24" s="942"/>
      <c r="AK24" s="942"/>
    </row>
    <row r="25" spans="1:43" ht="15.75" thickBot="1">
      <c r="A25" s="987" t="str">
        <f>A21</f>
        <v>ene-ene</v>
      </c>
      <c r="C25" s="39"/>
      <c r="D25" s="39"/>
      <c r="E25" s="39"/>
      <c r="F25" s="39"/>
      <c r="H25" s="550" t="s">
        <v>359</v>
      </c>
      <c r="I25" s="992">
        <f t="shared" ref="I25:N25" si="22">I17-H17</f>
        <v>5551</v>
      </c>
      <c r="J25" s="992">
        <f t="shared" si="22"/>
        <v>6536</v>
      </c>
      <c r="K25" s="992">
        <f t="shared" si="22"/>
        <v>-5391</v>
      </c>
      <c r="L25" s="992">
        <f t="shared" si="22"/>
        <v>-2212</v>
      </c>
      <c r="M25" s="992">
        <f t="shared" si="22"/>
        <v>2386</v>
      </c>
      <c r="N25" s="993">
        <f t="shared" si="22"/>
        <v>-31</v>
      </c>
      <c r="O25" s="1599"/>
      <c r="P25" s="1599"/>
      <c r="Q25" s="1599"/>
      <c r="R25" s="1599"/>
      <c r="S25" s="1599"/>
      <c r="T25" s="1599"/>
      <c r="U25" s="2486"/>
      <c r="X25" s="1354"/>
      <c r="Z25" s="1917"/>
      <c r="AA25" s="1917"/>
      <c r="AB25" s="1297"/>
      <c r="AC25" s="1297"/>
      <c r="AD25" s="1297"/>
      <c r="AE25" s="1297"/>
      <c r="AF25" s="1297"/>
      <c r="AG25" s="1297"/>
      <c r="AH25" s="945"/>
    </row>
    <row r="26" spans="1:43" ht="23.25" thickBot="1">
      <c r="A26" s="675" t="s">
        <v>702</v>
      </c>
      <c r="C26" s="39"/>
      <c r="D26" s="39"/>
      <c r="E26" s="39"/>
      <c r="F26" s="39"/>
      <c r="H26" s="675" t="s">
        <v>604</v>
      </c>
      <c r="I26" s="990">
        <f t="shared" ref="I26:N26" si="23">I16-H16</f>
        <v>74057</v>
      </c>
      <c r="J26" s="990">
        <f t="shared" si="23"/>
        <v>9862</v>
      </c>
      <c r="K26" s="990">
        <f t="shared" si="23"/>
        <v>-85251</v>
      </c>
      <c r="L26" s="990">
        <f t="shared" si="23"/>
        <v>25305</v>
      </c>
      <c r="M26" s="990">
        <f t="shared" si="23"/>
        <v>39561</v>
      </c>
      <c r="N26" s="991">
        <f t="shared" si="23"/>
        <v>20357</v>
      </c>
      <c r="O26" s="1600"/>
      <c r="P26" s="1600"/>
      <c r="Q26" s="1600"/>
      <c r="R26" s="1600"/>
      <c r="S26" s="1600"/>
      <c r="T26" s="1600"/>
      <c r="U26" s="2486"/>
      <c r="X26" s="1354"/>
      <c r="Z26" s="1917"/>
      <c r="AA26" s="1917"/>
      <c r="AB26" s="1297"/>
      <c r="AC26" s="1297"/>
      <c r="AD26" s="1297"/>
      <c r="AE26" s="1297"/>
      <c r="AF26" s="1297"/>
      <c r="AG26" s="1297"/>
      <c r="AH26" s="945"/>
    </row>
    <row r="27" spans="1:43" ht="15.75" thickBot="1">
      <c r="A27" s="59"/>
      <c r="B27" s="59" t="s">
        <v>923</v>
      </c>
      <c r="C27" s="1449"/>
      <c r="D27" s="781"/>
      <c r="E27" s="1449"/>
      <c r="F27" s="1449"/>
      <c r="G27" s="1448"/>
      <c r="H27" s="1448"/>
      <c r="I27" s="1452"/>
      <c r="J27" s="1452"/>
      <c r="K27" s="1452"/>
      <c r="L27" s="1453"/>
      <c r="M27" s="1453"/>
      <c r="N27" s="1453"/>
      <c r="O27" s="1453"/>
      <c r="P27" s="1453"/>
      <c r="Q27" s="1453"/>
      <c r="R27" s="1453"/>
      <c r="S27" s="1453"/>
      <c r="T27" s="1453"/>
      <c r="U27" s="2486"/>
      <c r="X27" s="1354"/>
      <c r="Z27" s="1917"/>
      <c r="AA27" s="1917"/>
      <c r="AB27" s="1297"/>
      <c r="AC27" s="1297"/>
      <c r="AD27" s="1297"/>
      <c r="AE27" s="1297"/>
      <c r="AF27" s="1297"/>
      <c r="AG27" s="1297"/>
      <c r="AH27" s="945"/>
      <c r="AI27" s="744"/>
      <c r="AJ27" s="744"/>
      <c r="AK27" s="744"/>
    </row>
    <row r="28" spans="1:43" ht="16.5" thickBot="1">
      <c r="C28" s="1450">
        <v>2008</v>
      </c>
      <c r="D28" s="1450">
        <v>2009</v>
      </c>
      <c r="E28" s="1450">
        <v>2010</v>
      </c>
      <c r="F28" s="1450">
        <v>2011</v>
      </c>
      <c r="G28" s="1450">
        <v>2012</v>
      </c>
      <c r="H28" s="1450">
        <v>2013</v>
      </c>
      <c r="I28" s="1450" t="s">
        <v>919</v>
      </c>
      <c r="J28" s="1450" t="s">
        <v>920</v>
      </c>
      <c r="K28" s="1450" t="s">
        <v>921</v>
      </c>
      <c r="L28" s="1450" t="s">
        <v>1023</v>
      </c>
      <c r="M28" s="1905" t="s">
        <v>1007</v>
      </c>
      <c r="N28" s="1905" t="s">
        <v>1135</v>
      </c>
      <c r="O28" s="1758"/>
      <c r="P28" s="1758"/>
      <c r="Q28" s="1758"/>
      <c r="R28" s="1758"/>
      <c r="S28" s="1758"/>
      <c r="T28" s="1758"/>
      <c r="U28" s="2487"/>
      <c r="Z28" s="1917"/>
      <c r="AA28" s="1917"/>
      <c r="AB28" s="1354"/>
      <c r="AC28" s="2313" t="str">
        <f>A17</f>
        <v>ene-ene</v>
      </c>
      <c r="AD28" s="1354"/>
      <c r="AE28" s="1354"/>
      <c r="AF28" s="1354"/>
      <c r="AG28" s="1354"/>
      <c r="AL28" s="23"/>
    </row>
    <row r="29" spans="1:43" ht="15.75" thickBot="1">
      <c r="B29" s="1638" t="s">
        <v>917</v>
      </c>
      <c r="C29" s="1451"/>
      <c r="D29" s="1451"/>
      <c r="E29" s="1451"/>
      <c r="F29" s="1451"/>
      <c r="G29" s="1451"/>
      <c r="H29" s="1451"/>
      <c r="I29" s="1451">
        <v>0.53600000000000003</v>
      </c>
      <c r="J29" s="1451">
        <v>0.67200000000000004</v>
      </c>
      <c r="K29" s="1451">
        <v>0.67430000000000001</v>
      </c>
      <c r="L29" s="1904">
        <v>0.67430000000000001</v>
      </c>
      <c r="M29" s="2305">
        <v>0.67430000000000001</v>
      </c>
      <c r="N29" s="2305">
        <v>0.67430000000000001</v>
      </c>
      <c r="O29" s="2305">
        <v>0.67430000000000001</v>
      </c>
      <c r="P29" s="2305">
        <v>0.67430000000000001</v>
      </c>
      <c r="Q29" s="2305">
        <v>0.67430000000000001</v>
      </c>
      <c r="R29" s="2305">
        <v>0.67430000000000001</v>
      </c>
      <c r="S29" s="2305">
        <v>0.67430000000000001</v>
      </c>
      <c r="T29" s="2305">
        <v>0.67430000000000001</v>
      </c>
      <c r="U29" s="2488"/>
      <c r="Z29" s="1917"/>
      <c r="AA29" s="1917"/>
      <c r="AB29" s="1354"/>
      <c r="AC29" s="2309">
        <v>0.67430000000000001</v>
      </c>
      <c r="AD29" s="1354"/>
      <c r="AE29" s="1354"/>
      <c r="AF29" s="1354"/>
      <c r="AG29" s="1354"/>
      <c r="AL29" s="23"/>
    </row>
    <row r="30" spans="1:43" ht="30" customHeight="1">
      <c r="B30" s="1639" t="s">
        <v>918</v>
      </c>
      <c r="C30" s="1464"/>
      <c r="D30" s="1464"/>
      <c r="E30" s="1464"/>
      <c r="F30" s="1464"/>
      <c r="G30" s="1464"/>
      <c r="H30" s="1464"/>
      <c r="I30" s="1464">
        <v>9.4E-2</v>
      </c>
      <c r="J30" s="1464">
        <v>0.10199999999999999</v>
      </c>
      <c r="K30" s="1464">
        <v>0.11609999999999999</v>
      </c>
      <c r="L30" s="1907">
        <v>0.11609999999999999</v>
      </c>
      <c r="M30" s="2306">
        <v>0.11609999999999999</v>
      </c>
      <c r="N30" s="2306">
        <v>0.11609999999999999</v>
      </c>
      <c r="O30" s="2306">
        <v>0.11609999999999999</v>
      </c>
      <c r="P30" s="2306">
        <v>0.11609999999999999</v>
      </c>
      <c r="Q30" s="2306">
        <v>0.11609999999999999</v>
      </c>
      <c r="R30" s="2306">
        <v>0.11609999999999999</v>
      </c>
      <c r="S30" s="2306">
        <v>0.11609999999999999</v>
      </c>
      <c r="T30" s="2306">
        <v>0.11609999999999999</v>
      </c>
      <c r="U30" s="2488"/>
      <c r="Z30" s="1917"/>
      <c r="AA30" s="1917"/>
      <c r="AB30" s="1354"/>
      <c r="AC30" s="2310">
        <v>0.11609999999999999</v>
      </c>
      <c r="AD30" s="1354"/>
      <c r="AE30" s="1354"/>
      <c r="AF30" s="1354"/>
      <c r="AG30" s="1354"/>
      <c r="AL30" s="23"/>
    </row>
    <row r="31" spans="1:43" ht="19.5">
      <c r="B31" s="1908" t="s">
        <v>922</v>
      </c>
      <c r="C31" s="1454"/>
      <c r="D31" s="1454"/>
      <c r="E31" s="1454"/>
      <c r="F31" s="1297"/>
      <c r="G31" s="1454"/>
      <c r="H31" s="1454"/>
      <c r="I31" s="1454">
        <v>3.0000000000000001E-3</v>
      </c>
      <c r="J31" s="1454">
        <v>2E-3</v>
      </c>
      <c r="K31" s="1454">
        <v>3.0000000000000001E-3</v>
      </c>
      <c r="L31" s="1906">
        <v>3.0000000000000001E-3</v>
      </c>
      <c r="M31" s="2307">
        <v>3.0000000000000001E-3</v>
      </c>
      <c r="N31" s="2307">
        <v>3.0000000000000001E-3</v>
      </c>
      <c r="O31" s="2307">
        <v>3.0000000000000001E-3</v>
      </c>
      <c r="P31" s="2307">
        <v>3.0000000000000001E-3</v>
      </c>
      <c r="Q31" s="2307">
        <v>3.0000000000000001E-3</v>
      </c>
      <c r="R31" s="2307">
        <v>3.0000000000000001E-3</v>
      </c>
      <c r="S31" s="2307">
        <v>3.0000000000000001E-3</v>
      </c>
      <c r="T31" s="2307">
        <v>3.0000000000000001E-3</v>
      </c>
      <c r="U31" s="2488"/>
      <c r="Z31" s="1917"/>
      <c r="AA31" s="1917"/>
      <c r="AB31" s="1354"/>
      <c r="AC31" s="2311">
        <v>3.0000000000000001E-3</v>
      </c>
      <c r="AD31" s="1354"/>
      <c r="AE31" s="1354"/>
      <c r="AF31" s="1354"/>
      <c r="AG31" s="1354"/>
      <c r="AL31" s="23"/>
    </row>
    <row r="32" spans="1:43" ht="20.25" thickBot="1">
      <c r="B32" s="1640" t="s">
        <v>1011</v>
      </c>
      <c r="C32" s="1464"/>
      <c r="D32" s="1464"/>
      <c r="E32" s="1464"/>
      <c r="F32" s="1464"/>
      <c r="G32" s="1464"/>
      <c r="H32" s="1464"/>
      <c r="I32" s="1464"/>
      <c r="J32" s="1464"/>
      <c r="K32" s="1464">
        <v>0.860930066613669</v>
      </c>
      <c r="L32" s="1907">
        <v>0.860930066613669</v>
      </c>
      <c r="M32" s="2308">
        <v>0.86</v>
      </c>
      <c r="N32" s="2308">
        <v>0.86</v>
      </c>
      <c r="O32" s="2308">
        <v>0.86</v>
      </c>
      <c r="P32" s="2308">
        <v>0.86</v>
      </c>
      <c r="Q32" s="2308">
        <v>0.86</v>
      </c>
      <c r="R32" s="2308">
        <v>0.86</v>
      </c>
      <c r="S32" s="2308">
        <v>0.86</v>
      </c>
      <c r="T32" s="2308">
        <v>0.86</v>
      </c>
      <c r="U32" s="2488"/>
      <c r="Z32" s="1917"/>
      <c r="AA32" s="1917"/>
      <c r="AB32" s="1354"/>
      <c r="AC32" s="2312">
        <v>0.86</v>
      </c>
      <c r="AD32" s="1354"/>
      <c r="AE32" s="1354"/>
      <c r="AF32" s="1354"/>
      <c r="AG32" s="1354"/>
      <c r="AL32" s="23"/>
    </row>
    <row r="33" spans="1:38">
      <c r="B33" s="1460" t="s">
        <v>911</v>
      </c>
      <c r="C33" s="1461">
        <f>$C$16*C29</f>
        <v>0</v>
      </c>
      <c r="D33" s="1461">
        <f>$D$16*D29</f>
        <v>0</v>
      </c>
      <c r="E33" s="1461">
        <f>$E$16*E29</f>
        <v>0</v>
      </c>
      <c r="F33" s="1461">
        <f>$F$16*F29</f>
        <v>0</v>
      </c>
      <c r="G33" s="1461">
        <f>$G$16*G29</f>
        <v>0</v>
      </c>
      <c r="H33" s="1461">
        <f>$H$16*H29</f>
        <v>0</v>
      </c>
      <c r="I33" s="1461">
        <f>$I$16*I29</f>
        <v>376816.04000000004</v>
      </c>
      <c r="J33" s="1461">
        <f>$J$16*J29</f>
        <v>479053.34400000004</v>
      </c>
      <c r="K33" s="1461">
        <f>$K$16*K29</f>
        <v>423208.21179999999</v>
      </c>
      <c r="L33" s="1461">
        <f>$L$16*L29</f>
        <v>440271.37330000004</v>
      </c>
      <c r="M33" s="1465">
        <f>$M$16*M29</f>
        <v>466947.35560000001</v>
      </c>
      <c r="N33" s="1465">
        <f>N16*$N$29</f>
        <v>480674.08069999999</v>
      </c>
      <c r="O33" s="1465">
        <f t="shared" ref="O33:T33" si="24">O16*$M$29</f>
        <v>499901.04392799997</v>
      </c>
      <c r="P33" s="1465">
        <f t="shared" si="24"/>
        <v>519897.08568511996</v>
      </c>
      <c r="Q33" s="1465">
        <f t="shared" si="24"/>
        <v>540692.96911252476</v>
      </c>
      <c r="R33" s="1465">
        <f t="shared" si="24"/>
        <v>562320.6878770258</v>
      </c>
      <c r="S33" s="1465">
        <f t="shared" si="24"/>
        <v>584813.51539210684</v>
      </c>
      <c r="T33" s="1465">
        <f t="shared" si="24"/>
        <v>608206.05600779108</v>
      </c>
      <c r="U33" s="2489"/>
      <c r="Z33" s="1917"/>
      <c r="AA33" s="1917"/>
      <c r="AB33" s="1354"/>
      <c r="AC33" s="2314">
        <f>M17*$M$29</f>
        <v>35742.6201</v>
      </c>
      <c r="AD33" s="3791" t="s">
        <v>911</v>
      </c>
      <c r="AE33" s="1354"/>
      <c r="AF33" s="1354"/>
      <c r="AG33" s="1354"/>
      <c r="AL33" s="23"/>
    </row>
    <row r="34" spans="1:38">
      <c r="B34" s="1470" t="s">
        <v>579</v>
      </c>
      <c r="C34" s="1465"/>
      <c r="D34" s="1465"/>
      <c r="E34" s="1465"/>
      <c r="F34" s="1465"/>
      <c r="G34" s="1465"/>
      <c r="H34" s="1465"/>
      <c r="I34" s="1465"/>
      <c r="J34" s="1467">
        <f>J33/I33-1</f>
        <v>0.27131887485469042</v>
      </c>
      <c r="K34" s="1467">
        <f>K33/J33-1</f>
        <v>-0.11657393252639536</v>
      </c>
      <c r="L34" s="1467">
        <f>L33/K33-1</f>
        <v>4.0318597381242993E-2</v>
      </c>
      <c r="M34" s="1467">
        <f>M33/L33-1</f>
        <v>6.0589863247418219E-2</v>
      </c>
      <c r="N34" s="1467">
        <f>N33/M33-1</f>
        <v>2.9396729492903839E-2</v>
      </c>
      <c r="O34" s="1759"/>
      <c r="P34" s="1759"/>
      <c r="Q34" s="1759"/>
      <c r="R34" s="1759"/>
      <c r="S34" s="1759"/>
      <c r="T34" s="1759"/>
      <c r="U34" s="2490"/>
      <c r="Z34" s="1917"/>
      <c r="AA34" s="1917"/>
      <c r="AB34" s="1354"/>
      <c r="AC34" s="2315"/>
      <c r="AD34" s="3792"/>
      <c r="AE34" s="1354"/>
      <c r="AF34" s="1354"/>
      <c r="AG34" s="1354"/>
      <c r="AL34" s="23"/>
    </row>
    <row r="35" spans="1:38">
      <c r="B35" s="1462" t="s">
        <v>816</v>
      </c>
      <c r="C35" s="1463">
        <f>$C$16*C30</f>
        <v>0</v>
      </c>
      <c r="D35" s="1463">
        <f>$D$16*D30</f>
        <v>0</v>
      </c>
      <c r="E35" s="1463">
        <f>$E$16*E30</f>
        <v>0</v>
      </c>
      <c r="F35" s="1463">
        <f>$F$16*F30</f>
        <v>0</v>
      </c>
      <c r="G35" s="1463">
        <f>$G$16*G30</f>
        <v>0</v>
      </c>
      <c r="H35" s="1463">
        <f>$H$16*H30</f>
        <v>0</v>
      </c>
      <c r="I35" s="1463">
        <f>$I$16*I30</f>
        <v>66083.41</v>
      </c>
      <c r="J35" s="1463">
        <f>$J$16*J30</f>
        <v>72713.453999999998</v>
      </c>
      <c r="K35" s="1463">
        <f>$K$16*K30</f>
        <v>72867.378599999996</v>
      </c>
      <c r="L35" s="1463">
        <f>$L$16*L30</f>
        <v>75805.289099999995</v>
      </c>
      <c r="M35" s="1463">
        <f>M16*M30</f>
        <v>80398.321199999991</v>
      </c>
      <c r="N35" s="1463">
        <f>N16*N30</f>
        <v>82761.768899999995</v>
      </c>
      <c r="O35" s="1463">
        <f t="shared" ref="O35:T35" si="25">$M$16*O30</f>
        <v>80398.321199999991</v>
      </c>
      <c r="P35" s="1463">
        <f t="shared" si="25"/>
        <v>80398.321199999991</v>
      </c>
      <c r="Q35" s="1463">
        <f t="shared" si="25"/>
        <v>80398.321199999991</v>
      </c>
      <c r="R35" s="1463">
        <f t="shared" si="25"/>
        <v>80398.321199999991</v>
      </c>
      <c r="S35" s="1463">
        <f t="shared" si="25"/>
        <v>80398.321199999991</v>
      </c>
      <c r="T35" s="1463">
        <f t="shared" si="25"/>
        <v>80398.321199999991</v>
      </c>
      <c r="U35" s="2489"/>
      <c r="Z35" s="1917"/>
      <c r="AA35" s="1917"/>
      <c r="AB35" s="1354"/>
      <c r="AC35" s="2316">
        <f>M17*M30</f>
        <v>6154.1126999999997</v>
      </c>
      <c r="AD35" s="3793" t="s">
        <v>816</v>
      </c>
      <c r="AE35" s="1354"/>
      <c r="AF35" s="1354"/>
      <c r="AG35" s="1354"/>
      <c r="AL35" s="23"/>
    </row>
    <row r="36" spans="1:38">
      <c r="B36" s="1471" t="s">
        <v>579</v>
      </c>
      <c r="C36" s="1466"/>
      <c r="D36" s="1466"/>
      <c r="E36" s="1466"/>
      <c r="F36" s="1466"/>
      <c r="G36" s="1466"/>
      <c r="H36" s="1466"/>
      <c r="I36" s="1466"/>
      <c r="J36" s="1469">
        <f>J35/I35-1</f>
        <v>0.100328418282289</v>
      </c>
      <c r="K36" s="1469">
        <f>K35/J35-1</f>
        <v>2.1168654703158651E-3</v>
      </c>
      <c r="L36" s="1469">
        <f>L35/K35-1</f>
        <v>4.0318597381242993E-2</v>
      </c>
      <c r="M36" s="1469">
        <f>M35/L35-1</f>
        <v>6.0589863247418219E-2</v>
      </c>
      <c r="N36" s="1469">
        <f t="shared" ref="N36:T36" si="26">N35/M35-1</f>
        <v>2.9396729492903839E-2</v>
      </c>
      <c r="O36" s="1469">
        <f t="shared" si="26"/>
        <v>-2.8557240032601627E-2</v>
      </c>
      <c r="P36" s="1469">
        <f t="shared" si="26"/>
        <v>0</v>
      </c>
      <c r="Q36" s="1469">
        <f t="shared" si="26"/>
        <v>0</v>
      </c>
      <c r="R36" s="1469">
        <f t="shared" si="26"/>
        <v>0</v>
      </c>
      <c r="S36" s="1469">
        <f t="shared" si="26"/>
        <v>0</v>
      </c>
      <c r="T36" s="1469">
        <f t="shared" si="26"/>
        <v>0</v>
      </c>
      <c r="U36" s="2491"/>
      <c r="Z36" s="1917"/>
      <c r="AA36" s="1917"/>
      <c r="AB36" s="1354"/>
      <c r="AC36" s="2317"/>
      <c r="AD36" s="3794"/>
      <c r="AE36" s="1354"/>
      <c r="AF36" s="1354"/>
      <c r="AG36" s="1354"/>
      <c r="AL36" s="23"/>
    </row>
    <row r="37" spans="1:38" ht="15.75" thickBot="1">
      <c r="B37" s="1455" t="s">
        <v>916</v>
      </c>
      <c r="C37" s="1456"/>
      <c r="D37" s="1456"/>
      <c r="E37" s="1456"/>
      <c r="F37" s="1456">
        <f>$F$16*F31</f>
        <v>0</v>
      </c>
      <c r="G37" s="1456">
        <f>$G$16*G31</f>
        <v>0</v>
      </c>
      <c r="H37" s="1456">
        <f>$H$16*H31</f>
        <v>0</v>
      </c>
      <c r="I37" s="1456">
        <f>$I$16*I31</f>
        <v>2109.0450000000001</v>
      </c>
      <c r="J37" s="1456">
        <f>$J$16*J31</f>
        <v>1425.7540000000001</v>
      </c>
      <c r="K37" s="1456">
        <f>$K$16*K31</f>
        <v>1882.8779999999999</v>
      </c>
      <c r="L37" s="1456">
        <f>$L$16*L31</f>
        <v>1958.7930000000001</v>
      </c>
      <c r="M37" s="1456">
        <f>$M$16*M31</f>
        <v>2077.4760000000001</v>
      </c>
      <c r="N37" s="1456">
        <f>$N$16*N31</f>
        <v>2138.547</v>
      </c>
      <c r="O37" s="1456">
        <f t="shared" ref="O37:T37" si="27">$M$16*O31</f>
        <v>2077.4760000000001</v>
      </c>
      <c r="P37" s="1456">
        <f t="shared" si="27"/>
        <v>2077.4760000000001</v>
      </c>
      <c r="Q37" s="1456">
        <f t="shared" si="27"/>
        <v>2077.4760000000001</v>
      </c>
      <c r="R37" s="1456">
        <f t="shared" si="27"/>
        <v>2077.4760000000001</v>
      </c>
      <c r="S37" s="1456">
        <f t="shared" si="27"/>
        <v>2077.4760000000001</v>
      </c>
      <c r="T37" s="1456">
        <f t="shared" si="27"/>
        <v>2077.4760000000001</v>
      </c>
      <c r="U37" s="2489"/>
      <c r="Z37" s="1917"/>
      <c r="AA37" s="1917"/>
      <c r="AB37" s="1354"/>
      <c r="AC37" s="2318">
        <f>M17*M31</f>
        <v>159.02100000000002</v>
      </c>
      <c r="AD37" s="3795" t="s">
        <v>916</v>
      </c>
      <c r="AE37" s="1354"/>
      <c r="AF37" s="1354"/>
      <c r="AG37" s="1354"/>
      <c r="AL37" s="23"/>
    </row>
    <row r="38" spans="1:38" ht="15.75" thickBot="1">
      <c r="B38" s="1472" t="s">
        <v>579</v>
      </c>
      <c r="C38" s="1456"/>
      <c r="D38" s="1456"/>
      <c r="E38" s="1456"/>
      <c r="F38" s="1456"/>
      <c r="G38" s="1456"/>
      <c r="H38" s="1456"/>
      <c r="I38" s="1456"/>
      <c r="J38" s="1468">
        <f>J37/I37-1</f>
        <v>-0.32398123321218841</v>
      </c>
      <c r="K38" s="1468">
        <f>K37/J37-1</f>
        <v>0.32061912503840051</v>
      </c>
      <c r="L38" s="1468">
        <f>L37/K37-1</f>
        <v>4.0318597381242993E-2</v>
      </c>
      <c r="M38" s="1468">
        <f>M37/L37-1</f>
        <v>6.0589863247418219E-2</v>
      </c>
      <c r="N38" s="1468">
        <f t="shared" ref="N38:T38" si="28">N37/M37-1</f>
        <v>2.9396729492903839E-2</v>
      </c>
      <c r="O38" s="1468">
        <f t="shared" si="28"/>
        <v>-2.8557240032601516E-2</v>
      </c>
      <c r="P38" s="1468">
        <f t="shared" si="28"/>
        <v>0</v>
      </c>
      <c r="Q38" s="1468">
        <f t="shared" si="28"/>
        <v>0</v>
      </c>
      <c r="R38" s="1468">
        <f t="shared" si="28"/>
        <v>0</v>
      </c>
      <c r="S38" s="1468">
        <f t="shared" si="28"/>
        <v>0</v>
      </c>
      <c r="T38" s="1468">
        <f t="shared" si="28"/>
        <v>0</v>
      </c>
      <c r="U38" s="2491"/>
      <c r="Z38" s="1917"/>
      <c r="AA38" s="1917"/>
      <c r="AB38" s="1354"/>
      <c r="AC38" s="2319"/>
      <c r="AD38" s="3795"/>
      <c r="AE38" s="1354"/>
      <c r="AF38" s="1354"/>
      <c r="AG38" s="1354"/>
      <c r="AL38" s="23"/>
    </row>
    <row r="39" spans="1:38" ht="15.75" thickBot="1">
      <c r="B39" s="1635" t="s">
        <v>502</v>
      </c>
      <c r="C39" s="1636"/>
      <c r="D39" s="1636"/>
      <c r="E39" s="1636"/>
      <c r="F39" s="1636"/>
      <c r="G39" s="1636"/>
      <c r="H39" s="1636"/>
      <c r="I39" s="1636"/>
      <c r="J39" s="1637"/>
      <c r="K39" s="1636">
        <f>$K$16*K32</f>
        <v>540342.09398847062</v>
      </c>
      <c r="L39" s="1636">
        <f>$L$16*L32</f>
        <v>562127.92932412948</v>
      </c>
      <c r="M39" s="1636">
        <f>$M$16*M32</f>
        <v>595543.12</v>
      </c>
      <c r="N39" s="1636">
        <f>N16*N32</f>
        <v>613050.14</v>
      </c>
      <c r="O39" s="1636">
        <f t="shared" ref="O39:T39" si="29">$M$16*O32</f>
        <v>595543.12</v>
      </c>
      <c r="P39" s="1636">
        <f t="shared" si="29"/>
        <v>595543.12</v>
      </c>
      <c r="Q39" s="1636">
        <f t="shared" si="29"/>
        <v>595543.12</v>
      </c>
      <c r="R39" s="1636">
        <f t="shared" si="29"/>
        <v>595543.12</v>
      </c>
      <c r="S39" s="1636">
        <f t="shared" si="29"/>
        <v>595543.12</v>
      </c>
      <c r="T39" s="1636">
        <f t="shared" si="29"/>
        <v>595543.12</v>
      </c>
      <c r="U39" s="2492"/>
      <c r="Z39" s="1917"/>
      <c r="AA39" s="1917"/>
      <c r="AB39" s="1354"/>
      <c r="AC39" s="2320">
        <f>M17*M32</f>
        <v>45586.02</v>
      </c>
      <c r="AD39" s="3788" t="s">
        <v>502</v>
      </c>
      <c r="AE39" s="1354"/>
      <c r="AF39" s="1354"/>
      <c r="AG39" s="1354"/>
      <c r="AL39" s="23"/>
    </row>
    <row r="40" spans="1:38" ht="15.75" thickBot="1">
      <c r="B40" s="1635" t="s">
        <v>1010</v>
      </c>
      <c r="C40" s="1636"/>
      <c r="D40" s="1636"/>
      <c r="E40" s="1636"/>
      <c r="F40" s="1636"/>
      <c r="G40" s="1636"/>
      <c r="H40" s="1636"/>
      <c r="I40" s="1636"/>
      <c r="J40" s="1637"/>
      <c r="K40" s="1637"/>
      <c r="L40" s="1637">
        <f>L39/K39-1</f>
        <v>4.0318597381242993E-2</v>
      </c>
      <c r="M40" s="1637">
        <f>M39/L39-1</f>
        <v>5.9444103259638892E-2</v>
      </c>
      <c r="N40" s="1637">
        <f t="shared" ref="N40:T40" si="30">N39/M39-1</f>
        <v>2.9396729492903839E-2</v>
      </c>
      <c r="O40" s="1637">
        <f t="shared" si="30"/>
        <v>-2.8557240032601627E-2</v>
      </c>
      <c r="P40" s="1637">
        <f t="shared" si="30"/>
        <v>0</v>
      </c>
      <c r="Q40" s="1637">
        <f t="shared" si="30"/>
        <v>0</v>
      </c>
      <c r="R40" s="1637">
        <f t="shared" si="30"/>
        <v>0</v>
      </c>
      <c r="S40" s="1637">
        <f t="shared" si="30"/>
        <v>0</v>
      </c>
      <c r="T40" s="1637">
        <f t="shared" si="30"/>
        <v>0</v>
      </c>
      <c r="U40" s="2493"/>
      <c r="Z40" s="1917"/>
      <c r="AA40" s="1917"/>
      <c r="AB40" s="1354"/>
      <c r="AC40" s="2321"/>
      <c r="AD40" s="3789"/>
      <c r="AE40" s="1354"/>
      <c r="AF40" s="1354"/>
      <c r="AG40" s="1354"/>
      <c r="AL40" s="23"/>
    </row>
    <row r="41" spans="1:38" ht="15.75" thickBot="1">
      <c r="A41" s="68" t="s">
        <v>1410</v>
      </c>
      <c r="C41" s="39"/>
      <c r="D41" s="779"/>
      <c r="E41" s="779"/>
      <c r="F41" s="779"/>
      <c r="G41" s="779"/>
      <c r="H41" s="779"/>
      <c r="I41" s="779"/>
      <c r="J41" s="779"/>
      <c r="K41" s="779"/>
      <c r="L41" s="779"/>
      <c r="M41" s="779"/>
      <c r="N41" s="779"/>
      <c r="O41" s="779"/>
      <c r="P41" s="779"/>
      <c r="Q41" s="779"/>
      <c r="R41" s="779"/>
      <c r="S41" s="779"/>
      <c r="T41" s="779"/>
      <c r="U41" s="2494"/>
      <c r="Z41" s="1917"/>
      <c r="AA41" s="1917"/>
      <c r="AB41" s="1354"/>
      <c r="AC41" s="1354"/>
      <c r="AD41" s="1354"/>
      <c r="AE41" s="1354"/>
      <c r="AF41" s="1354"/>
      <c r="AG41" s="1354"/>
      <c r="AH41" s="1355"/>
      <c r="AI41" s="1355"/>
    </row>
    <row r="42" spans="1:38" ht="15.75" thickBot="1">
      <c r="I42" s="2323" t="s">
        <v>1137</v>
      </c>
      <c r="J42" s="2324" t="s">
        <v>1124</v>
      </c>
      <c r="K42" s="2325" t="s">
        <v>1125</v>
      </c>
      <c r="L42" s="2325" t="s">
        <v>1126</v>
      </c>
      <c r="M42" s="2326" t="s">
        <v>1127</v>
      </c>
      <c r="N42" s="2326" t="s">
        <v>1134</v>
      </c>
      <c r="O42" s="2541" t="s">
        <v>1128</v>
      </c>
      <c r="P42" s="2326" t="s">
        <v>1129</v>
      </c>
      <c r="Q42" s="2326" t="s">
        <v>1130</v>
      </c>
      <c r="R42" s="2326" t="s">
        <v>1131</v>
      </c>
      <c r="S42" s="2326" t="s">
        <v>1132</v>
      </c>
      <c r="T42" s="2326" t="s">
        <v>1133</v>
      </c>
      <c r="U42" s="2495"/>
      <c r="Z42" s="1917"/>
      <c r="AA42" s="1917"/>
      <c r="AB42" s="1354"/>
      <c r="AC42" s="1354"/>
      <c r="AD42" s="1354"/>
      <c r="AE42" s="1354"/>
      <c r="AF42" s="1354"/>
      <c r="AG42" s="1354"/>
      <c r="AH42" s="1354"/>
      <c r="AI42" s="1347"/>
    </row>
    <row r="43" spans="1:38">
      <c r="I43" s="2327" t="s">
        <v>911</v>
      </c>
      <c r="J43" s="2328">
        <f>J33-I33</f>
        <v>102237.304</v>
      </c>
      <c r="K43" s="2328">
        <f>K33-J33</f>
        <v>-55845.132200000051</v>
      </c>
      <c r="L43" s="2328">
        <f t="shared" ref="L43:M43" si="31">L33-K33</f>
        <v>17063.161500000046</v>
      </c>
      <c r="M43" s="2328">
        <f t="shared" si="31"/>
        <v>26675.982299999974</v>
      </c>
      <c r="N43" s="2543">
        <f t="shared" ref="N43:T43" si="32">N33-M33</f>
        <v>13726.725099999981</v>
      </c>
      <c r="O43" s="2542">
        <f t="shared" si="32"/>
        <v>19226.963227999979</v>
      </c>
      <c r="P43" s="2328">
        <f t="shared" si="32"/>
        <v>19996.041757119994</v>
      </c>
      <c r="Q43" s="2328">
        <f t="shared" si="32"/>
        <v>20795.883427404799</v>
      </c>
      <c r="R43" s="2328">
        <f t="shared" si="32"/>
        <v>21627.718764501042</v>
      </c>
      <c r="S43" s="2328">
        <f t="shared" si="32"/>
        <v>22492.827515081037</v>
      </c>
      <c r="T43" s="2328">
        <f t="shared" si="32"/>
        <v>23392.540615684236</v>
      </c>
      <c r="U43" s="2495"/>
      <c r="Z43" s="1917"/>
      <c r="AA43" s="1917"/>
      <c r="AB43" s="1354"/>
      <c r="AC43" s="1354"/>
      <c r="AD43" s="1354"/>
      <c r="AE43" s="1354"/>
      <c r="AF43" s="1354"/>
      <c r="AG43" s="1354"/>
      <c r="AH43" s="1354"/>
      <c r="AI43" s="1347"/>
    </row>
    <row r="44" spans="1:38" ht="15.75" thickBot="1">
      <c r="I44" s="3782" t="s">
        <v>1136</v>
      </c>
      <c r="J44" s="3783"/>
      <c r="K44" s="2322">
        <f>K43/J43</f>
        <v>-0.54623048549871822</v>
      </c>
      <c r="L44" s="2322">
        <f>L43/(J43+K43)</f>
        <v>0.36780260198984827</v>
      </c>
      <c r="M44" s="2322">
        <f>M43/(J43+K43)</f>
        <v>0.57501042234026223</v>
      </c>
      <c r="N44" s="2544">
        <f>N43/(J43+K43)</f>
        <v>0.29588451170548552</v>
      </c>
      <c r="O44" s="2329">
        <f t="shared" ref="O44:T44" si="33">O43/(M43+N43)</f>
        <v>0.47588304015487831</v>
      </c>
      <c r="P44" s="2329">
        <f t="shared" si="33"/>
        <v>0.60679222180206871</v>
      </c>
      <c r="Q44" s="2329">
        <f t="shared" si="33"/>
        <v>0.53019607843137284</v>
      </c>
      <c r="R44" s="2329">
        <f t="shared" si="33"/>
        <v>0.53019607843137384</v>
      </c>
      <c r="S44" s="2329">
        <f t="shared" si="33"/>
        <v>0.53019607843137206</v>
      </c>
      <c r="T44" s="2329">
        <f t="shared" si="33"/>
        <v>0.53019607843137107</v>
      </c>
      <c r="U44" s="2496"/>
      <c r="Z44" s="1917"/>
      <c r="AA44" s="1917"/>
      <c r="AB44" s="1354"/>
      <c r="AC44" s="1354"/>
      <c r="AD44" s="1354"/>
      <c r="AE44" s="1354"/>
      <c r="AF44" s="1354"/>
      <c r="AG44" s="1354"/>
      <c r="AH44" s="1354"/>
      <c r="AI44" s="1347"/>
    </row>
    <row r="45" spans="1:38" ht="15.75" thickBot="1">
      <c r="I45" s="3784" t="s">
        <v>1136</v>
      </c>
      <c r="J45" s="3785"/>
      <c r="K45" s="2330">
        <f>K43/J43</f>
        <v>-0.54623048549871822</v>
      </c>
      <c r="L45" s="2330">
        <f>L43/(J43+K43)</f>
        <v>0.36780260198984827</v>
      </c>
      <c r="M45" s="2330">
        <f>(L43+M43)/(J43+K43)</f>
        <v>0.94281302433011049</v>
      </c>
      <c r="N45" s="2545">
        <f>(L43+M43+N43)/(J43+K43)</f>
        <v>1.2386975360355961</v>
      </c>
      <c r="O45" s="2330" t="e">
        <f>#REF!/(#REF!+#REF!)</f>
        <v>#REF!</v>
      </c>
      <c r="P45" s="2330" t="e">
        <f>#REF!/(#REF!+#REF!)</f>
        <v>#REF!</v>
      </c>
      <c r="Q45" s="2330" t="e">
        <f>#REF!/(#REF!+#REF!)</f>
        <v>#REF!</v>
      </c>
      <c r="R45" s="2330" t="e">
        <f>#REF!/(#REF!+#REF!)</f>
        <v>#REF!</v>
      </c>
      <c r="S45" s="2330" t="e">
        <f>#REF!/(#REF!+#REF!)</f>
        <v>#REF!</v>
      </c>
      <c r="T45" s="2330" t="e">
        <f>#REF!/(#REF!+#REF!)</f>
        <v>#REF!</v>
      </c>
      <c r="U45" s="2497"/>
      <c r="Z45" s="1917"/>
      <c r="AA45" s="1917"/>
      <c r="AB45" s="1354"/>
      <c r="AC45" s="1354"/>
      <c r="AD45" s="1354"/>
      <c r="AE45" s="1354"/>
      <c r="AF45" s="1354"/>
      <c r="AG45" s="1354"/>
      <c r="AH45" s="1354"/>
      <c r="AI45" s="1347"/>
    </row>
    <row r="46" spans="1:38">
      <c r="Z46" s="1917"/>
      <c r="AA46" s="1917"/>
      <c r="AB46" s="1354"/>
      <c r="AC46" s="1354"/>
      <c r="AD46" s="1354"/>
      <c r="AE46" s="1354"/>
      <c r="AF46" s="1354"/>
      <c r="AG46" s="1354"/>
    </row>
    <row r="65" spans="1:37" ht="15.75">
      <c r="A65" s="710" t="s">
        <v>636</v>
      </c>
      <c r="B65" s="710"/>
      <c r="C65" s="710" t="s">
        <v>637</v>
      </c>
      <c r="D65" s="711" t="s">
        <v>645</v>
      </c>
      <c r="E65" s="710" t="s">
        <v>646</v>
      </c>
    </row>
    <row r="66" spans="1:37" s="781" customFormat="1" ht="15.75">
      <c r="A66" s="711"/>
      <c r="B66" s="711" t="s">
        <v>638</v>
      </c>
      <c r="C66" s="711" t="s">
        <v>651</v>
      </c>
      <c r="D66" s="711"/>
      <c r="E66" s="711"/>
      <c r="F66" s="2"/>
      <c r="G66" s="2"/>
      <c r="H66" s="2"/>
      <c r="I66" s="2"/>
      <c r="J66" s="2"/>
      <c r="K66" s="2"/>
      <c r="L66" s="2"/>
      <c r="M66" s="2"/>
      <c r="N66" s="2"/>
      <c r="O66" s="2"/>
      <c r="P66" s="2"/>
      <c r="Q66" s="2"/>
      <c r="R66" s="2"/>
      <c r="S66" s="2"/>
      <c r="T66" s="2"/>
      <c r="U66" s="2498"/>
      <c r="V66" s="2"/>
      <c r="W66" s="2"/>
      <c r="X66" s="1347"/>
      <c r="Y66" s="1347"/>
      <c r="Z66" s="1910"/>
      <c r="AA66" s="1910"/>
      <c r="AB66" s="1298"/>
      <c r="AC66" s="1298"/>
      <c r="AD66" s="1298"/>
      <c r="AE66" s="1298"/>
      <c r="AF66" s="1298"/>
      <c r="AG66" s="2524"/>
      <c r="AH66" s="23"/>
      <c r="AI66" s="23"/>
      <c r="AJ66" s="23"/>
      <c r="AK66" s="23"/>
    </row>
    <row r="67" spans="1:37" s="781" customFormat="1">
      <c r="A67" s="704">
        <f>SUM(A68:A80)</f>
        <v>85</v>
      </c>
      <c r="B67" s="704"/>
      <c r="C67" s="705">
        <f>SUM(C68:C80)</f>
        <v>7577022</v>
      </c>
      <c r="D67" s="704">
        <f>SUM(D68:D80)</f>
        <v>783</v>
      </c>
      <c r="E67" s="706">
        <f>SUM(E68:E80)</f>
        <v>54874332</v>
      </c>
      <c r="F67" s="2"/>
      <c r="G67" s="2"/>
      <c r="H67" s="186" t="s">
        <v>644</v>
      </c>
      <c r="I67" s="2"/>
      <c r="J67" s="2"/>
      <c r="K67" s="2"/>
      <c r="L67" s="2"/>
      <c r="M67" s="2"/>
      <c r="N67" s="2"/>
      <c r="O67" s="2"/>
      <c r="P67" s="2"/>
      <c r="Q67" s="2"/>
      <c r="R67" s="2"/>
      <c r="S67" s="2"/>
      <c r="T67" s="2"/>
      <c r="U67" s="2498"/>
      <c r="V67" s="2"/>
      <c r="W67" s="2"/>
      <c r="X67" s="1347"/>
      <c r="Y67" s="1347"/>
      <c r="Z67" s="1910"/>
      <c r="AA67" s="1910"/>
      <c r="AB67" s="1298"/>
      <c r="AC67" s="1298"/>
      <c r="AD67" s="1298"/>
      <c r="AE67" s="1298"/>
      <c r="AF67" s="1298"/>
      <c r="AG67" s="2524"/>
      <c r="AH67" s="23"/>
      <c r="AI67" s="23"/>
      <c r="AJ67" s="23"/>
      <c r="AK67" s="23"/>
    </row>
    <row r="68" spans="1:37" s="781" customFormat="1" ht="12.75">
      <c r="A68" s="2">
        <v>1</v>
      </c>
      <c r="B68" s="6">
        <v>2007</v>
      </c>
      <c r="C68" s="45">
        <v>417853</v>
      </c>
      <c r="D68" s="2">
        <f>A68^2</f>
        <v>1</v>
      </c>
      <c r="E68" s="707">
        <f>A68*C68</f>
        <v>417853</v>
      </c>
      <c r="F68" s="2"/>
      <c r="G68" s="2"/>
      <c r="H68" s="2"/>
      <c r="I68" s="2"/>
      <c r="J68" s="2"/>
      <c r="K68" s="2"/>
      <c r="L68" s="2"/>
      <c r="M68" s="2"/>
      <c r="N68" s="2"/>
      <c r="O68" s="2"/>
      <c r="P68" s="2"/>
      <c r="Q68" s="2"/>
      <c r="R68" s="2"/>
      <c r="S68" s="2"/>
      <c r="T68" s="2"/>
      <c r="U68" s="2498"/>
      <c r="V68" s="2"/>
      <c r="W68" s="2"/>
      <c r="X68" s="1347"/>
      <c r="Y68" s="1347"/>
      <c r="Z68" s="1910"/>
      <c r="AA68" s="1910"/>
      <c r="AB68" s="1298"/>
      <c r="AC68" s="1298"/>
      <c r="AD68" s="1298"/>
      <c r="AE68" s="1298"/>
      <c r="AF68" s="1298"/>
      <c r="AG68" s="2524"/>
      <c r="AH68" s="23"/>
      <c r="AI68" s="23"/>
      <c r="AJ68" s="23"/>
      <c r="AK68" s="23"/>
    </row>
    <row r="69" spans="1:37" s="781" customFormat="1" ht="12.75">
      <c r="A69" s="2">
        <v>2</v>
      </c>
      <c r="B69" s="6">
        <v>2008</v>
      </c>
      <c r="C69" s="45">
        <v>471499</v>
      </c>
      <c r="D69" s="2">
        <f t="shared" ref="D69:D79" si="34">A69^2</f>
        <v>4</v>
      </c>
      <c r="E69" s="707">
        <f t="shared" ref="E69:E79" si="35">A69*C69</f>
        <v>942998</v>
      </c>
      <c r="F69" s="2"/>
      <c r="G69" s="2"/>
      <c r="H69" s="2"/>
      <c r="I69" s="2"/>
      <c r="J69" s="2"/>
      <c r="K69" s="2"/>
      <c r="L69" s="2"/>
      <c r="M69" s="2"/>
      <c r="N69" s="2"/>
      <c r="O69" s="2"/>
      <c r="P69" s="2"/>
      <c r="Q69" s="2"/>
      <c r="R69" s="2"/>
      <c r="S69" s="2"/>
      <c r="T69" s="2"/>
      <c r="U69" s="2498"/>
      <c r="V69" s="2"/>
      <c r="W69" s="2"/>
      <c r="X69" s="1347"/>
      <c r="Y69" s="1347"/>
      <c r="Z69" s="1910"/>
      <c r="AA69" s="1910"/>
      <c r="AB69" s="1298"/>
      <c r="AC69" s="1298"/>
      <c r="AD69" s="1298"/>
      <c r="AE69" s="1298"/>
      <c r="AF69" s="1298"/>
      <c r="AG69" s="2524"/>
      <c r="AH69" s="23"/>
      <c r="AI69" s="23"/>
      <c r="AJ69" s="23"/>
      <c r="AK69" s="23"/>
    </row>
    <row r="70" spans="1:37" s="781" customFormat="1" ht="12.75">
      <c r="A70" s="2">
        <v>3</v>
      </c>
      <c r="B70" s="6">
        <v>2009</v>
      </c>
      <c r="C70" s="45">
        <v>461865</v>
      </c>
      <c r="D70" s="2">
        <f t="shared" si="34"/>
        <v>9</v>
      </c>
      <c r="E70" s="707">
        <f t="shared" si="35"/>
        <v>1385595</v>
      </c>
      <c r="F70" s="2"/>
      <c r="G70" s="2"/>
      <c r="H70" s="2"/>
      <c r="I70" s="2"/>
      <c r="J70" s="2"/>
      <c r="K70" s="2"/>
      <c r="L70" s="2"/>
      <c r="M70" s="2"/>
      <c r="N70" s="2"/>
      <c r="O70" s="2"/>
      <c r="P70" s="2"/>
      <c r="Q70" s="2"/>
      <c r="R70" s="2"/>
      <c r="S70" s="2"/>
      <c r="T70" s="2"/>
      <c r="U70" s="2498"/>
      <c r="V70" s="2"/>
      <c r="W70" s="2"/>
      <c r="X70" s="1347"/>
      <c r="Y70" s="1347"/>
      <c r="Z70" s="1910"/>
      <c r="AA70" s="1910"/>
      <c r="AB70" s="1298"/>
      <c r="AC70" s="1298"/>
      <c r="AD70" s="1298"/>
      <c r="AE70" s="1298"/>
      <c r="AF70" s="1298"/>
      <c r="AG70" s="2524"/>
      <c r="AH70" s="23"/>
      <c r="AI70" s="23"/>
      <c r="AJ70" s="23"/>
      <c r="AK70" s="23"/>
    </row>
    <row r="71" spans="1:37" s="781" customFormat="1" ht="12.75">
      <c r="A71" s="2">
        <v>1</v>
      </c>
      <c r="B71" s="6">
        <v>2010</v>
      </c>
      <c r="C71" s="45">
        <v>474221</v>
      </c>
      <c r="D71" s="2">
        <f t="shared" si="34"/>
        <v>1</v>
      </c>
      <c r="E71" s="707">
        <f t="shared" si="35"/>
        <v>474221</v>
      </c>
      <c r="F71" s="2"/>
      <c r="G71" s="2"/>
      <c r="H71" s="2"/>
      <c r="I71" s="2"/>
      <c r="J71" s="2"/>
      <c r="K71" s="2"/>
      <c r="L71" s="2"/>
      <c r="M71" s="2"/>
      <c r="N71" s="2"/>
      <c r="O71" s="2"/>
      <c r="P71" s="2"/>
      <c r="Q71" s="2"/>
      <c r="R71" s="2"/>
      <c r="S71" s="2"/>
      <c r="T71" s="2"/>
      <c r="U71" s="2498"/>
      <c r="V71" s="2"/>
      <c r="W71" s="2"/>
      <c r="X71" s="1347"/>
      <c r="Y71" s="1347"/>
      <c r="Z71" s="1910"/>
      <c r="AA71" s="1910"/>
      <c r="AB71" s="1298"/>
      <c r="AC71" s="1298"/>
      <c r="AD71" s="1298"/>
      <c r="AE71" s="1298"/>
      <c r="AF71" s="1298"/>
      <c r="AG71" s="2524"/>
      <c r="AH71" s="23"/>
      <c r="AI71" s="23"/>
      <c r="AJ71" s="23"/>
      <c r="AK71" s="23"/>
    </row>
    <row r="72" spans="1:37" s="781" customFormat="1" ht="12.75">
      <c r="A72" s="2">
        <v>2</v>
      </c>
      <c r="B72" s="6">
        <v>2011</v>
      </c>
      <c r="C72" s="45">
        <v>487378</v>
      </c>
      <c r="D72" s="2">
        <f t="shared" si="34"/>
        <v>4</v>
      </c>
      <c r="E72" s="707">
        <f t="shared" si="35"/>
        <v>974756</v>
      </c>
      <c r="F72" s="2"/>
      <c r="G72" s="2"/>
      <c r="H72" s="2"/>
      <c r="I72" s="2"/>
      <c r="J72" s="2"/>
      <c r="K72" s="2"/>
      <c r="L72" s="2"/>
      <c r="M72" s="2"/>
      <c r="N72" s="2"/>
      <c r="O72" s="2"/>
      <c r="P72" s="2"/>
      <c r="Q72" s="2"/>
      <c r="R72" s="2"/>
      <c r="S72" s="2"/>
      <c r="T72" s="2"/>
      <c r="U72" s="2498"/>
      <c r="V72" s="2"/>
      <c r="W72" s="2"/>
      <c r="X72" s="1347"/>
      <c r="Y72" s="1347"/>
      <c r="Z72" s="1910"/>
      <c r="AA72" s="1910"/>
      <c r="AB72" s="1298"/>
      <c r="AC72" s="1298"/>
      <c r="AD72" s="1298"/>
      <c r="AE72" s="1298"/>
      <c r="AF72" s="1298"/>
      <c r="AG72" s="2524"/>
      <c r="AH72" s="23"/>
      <c r="AI72" s="23"/>
      <c r="AJ72" s="23"/>
      <c r="AK72" s="23"/>
    </row>
    <row r="73" spans="1:37" s="781" customFormat="1" ht="12.75">
      <c r="A73" s="2">
        <v>6</v>
      </c>
      <c r="B73" s="6">
        <v>2012</v>
      </c>
      <c r="C73" s="45">
        <v>533458</v>
      </c>
      <c r="D73" s="2">
        <f t="shared" si="34"/>
        <v>36</v>
      </c>
      <c r="E73" s="707">
        <f t="shared" si="35"/>
        <v>3200748</v>
      </c>
      <c r="F73" s="2"/>
      <c r="G73" s="2"/>
      <c r="H73" s="2"/>
      <c r="I73" s="2"/>
      <c r="J73" s="2"/>
      <c r="K73" s="2"/>
      <c r="L73" s="2"/>
      <c r="M73" s="2"/>
      <c r="N73" s="2"/>
      <c r="O73" s="2"/>
      <c r="P73" s="2"/>
      <c r="Q73" s="2"/>
      <c r="R73" s="2"/>
      <c r="S73" s="2"/>
      <c r="T73" s="2"/>
      <c r="U73" s="2498"/>
      <c r="V73" s="2"/>
      <c r="W73" s="2"/>
      <c r="X73" s="1347"/>
      <c r="Y73" s="1347"/>
      <c r="Z73" s="1910"/>
      <c r="AA73" s="1910"/>
      <c r="AB73" s="1298"/>
      <c r="AC73" s="1298"/>
      <c r="AD73" s="1298"/>
      <c r="AE73" s="1298"/>
      <c r="AF73" s="1298"/>
      <c r="AG73" s="2524"/>
      <c r="AH73" s="23"/>
      <c r="AI73" s="23"/>
      <c r="AJ73" s="23"/>
      <c r="AK73" s="23"/>
    </row>
    <row r="74" spans="1:37" s="781" customFormat="1" ht="12.75">
      <c r="A74" s="2">
        <v>7</v>
      </c>
      <c r="B74" s="6">
        <v>2013</v>
      </c>
      <c r="C74" s="45">
        <v>628958</v>
      </c>
      <c r="D74" s="2">
        <f t="shared" si="34"/>
        <v>49</v>
      </c>
      <c r="E74" s="707">
        <f t="shared" si="35"/>
        <v>4402706</v>
      </c>
      <c r="F74" s="2"/>
      <c r="G74" s="2"/>
      <c r="H74" s="2"/>
      <c r="I74" s="2"/>
      <c r="J74" s="2"/>
      <c r="K74" s="2"/>
      <c r="L74" s="2"/>
      <c r="M74" s="2"/>
      <c r="N74" s="2"/>
      <c r="O74" s="2"/>
      <c r="P74" s="2"/>
      <c r="Q74" s="2"/>
      <c r="R74" s="2"/>
      <c r="S74" s="2"/>
      <c r="T74" s="2"/>
      <c r="U74" s="2498"/>
      <c r="V74" s="2"/>
      <c r="W74" s="2"/>
      <c r="X74" s="1347"/>
      <c r="Y74" s="1347"/>
      <c r="Z74" s="1910"/>
      <c r="AA74" s="1910"/>
      <c r="AB74" s="1298"/>
      <c r="AC74" s="1298"/>
      <c r="AD74" s="1298"/>
      <c r="AE74" s="1298"/>
      <c r="AF74" s="1298"/>
      <c r="AG74" s="2524"/>
      <c r="AH74" s="23"/>
      <c r="AI74" s="23"/>
      <c r="AJ74" s="23"/>
      <c r="AK74" s="23"/>
    </row>
    <row r="75" spans="1:37" s="781" customFormat="1" ht="12.75">
      <c r="A75" s="2">
        <v>8</v>
      </c>
      <c r="B75" s="6">
        <v>2014</v>
      </c>
      <c r="C75" s="45">
        <v>703015</v>
      </c>
      <c r="D75" s="2">
        <f t="shared" si="34"/>
        <v>64</v>
      </c>
      <c r="E75" s="707">
        <f t="shared" si="35"/>
        <v>5624120</v>
      </c>
      <c r="F75" s="2"/>
      <c r="G75" s="2"/>
      <c r="H75" s="2"/>
      <c r="I75" s="2"/>
      <c r="J75" s="2"/>
      <c r="K75" s="2"/>
      <c r="L75" s="2"/>
      <c r="M75" s="2"/>
      <c r="N75" s="2"/>
      <c r="O75" s="2"/>
      <c r="P75" s="2"/>
      <c r="Q75" s="2"/>
      <c r="R75" s="2"/>
      <c r="S75" s="2"/>
      <c r="T75" s="2"/>
      <c r="U75" s="2498"/>
      <c r="V75" s="2"/>
      <c r="W75" s="2"/>
      <c r="X75" s="1347"/>
      <c r="Y75" s="1347"/>
      <c r="Z75" s="1910"/>
      <c r="AA75" s="1910"/>
      <c r="AB75" s="1298"/>
      <c r="AC75" s="1298"/>
      <c r="AD75" s="1298"/>
      <c r="AE75" s="1298"/>
      <c r="AF75" s="1298"/>
      <c r="AG75" s="2524"/>
      <c r="AH75" s="23"/>
      <c r="AI75" s="23"/>
      <c r="AJ75" s="23"/>
      <c r="AK75" s="23"/>
    </row>
    <row r="76" spans="1:37" s="781" customFormat="1" ht="12.75">
      <c r="A76" s="2">
        <v>9</v>
      </c>
      <c r="B76" s="6">
        <v>2015</v>
      </c>
      <c r="C76" s="45">
        <f>J16</f>
        <v>712877</v>
      </c>
      <c r="D76" s="2">
        <f t="shared" si="34"/>
        <v>81</v>
      </c>
      <c r="E76" s="707">
        <f t="shared" si="35"/>
        <v>6415893</v>
      </c>
      <c r="F76" s="2"/>
      <c r="G76" s="2"/>
      <c r="H76" s="2"/>
      <c r="I76" s="2"/>
      <c r="J76" s="2"/>
      <c r="K76" s="2"/>
      <c r="L76" s="2"/>
      <c r="M76" s="2"/>
      <c r="N76" s="2"/>
      <c r="O76" s="2"/>
      <c r="P76" s="2"/>
      <c r="Q76" s="2"/>
      <c r="R76" s="2"/>
      <c r="S76" s="2"/>
      <c r="T76" s="2"/>
      <c r="U76" s="2498"/>
      <c r="V76" s="2"/>
      <c r="W76" s="2"/>
      <c r="X76" s="1347"/>
      <c r="Y76" s="1347"/>
      <c r="Z76" s="1910"/>
      <c r="AA76" s="1910"/>
      <c r="AB76" s="1298"/>
      <c r="AC76" s="1298"/>
      <c r="AD76" s="1298"/>
      <c r="AE76" s="1298"/>
      <c r="AF76" s="1298"/>
      <c r="AG76" s="2524"/>
      <c r="AH76" s="23"/>
      <c r="AI76" s="23"/>
      <c r="AJ76" s="23"/>
      <c r="AK76" s="23"/>
    </row>
    <row r="77" spans="1:37" s="781" customFormat="1" ht="15.75">
      <c r="A77" s="2">
        <v>10</v>
      </c>
      <c r="B77" s="6">
        <v>2016</v>
      </c>
      <c r="C77" s="45">
        <f>K$16</f>
        <v>627626</v>
      </c>
      <c r="D77" s="2">
        <f t="shared" si="34"/>
        <v>100</v>
      </c>
      <c r="E77" s="707">
        <f t="shared" si="35"/>
        <v>6276260</v>
      </c>
      <c r="F77" s="2"/>
      <c r="G77" s="2"/>
      <c r="H77" s="712" t="s">
        <v>647</v>
      </c>
      <c r="I77" s="1748">
        <f>(C67*D67)-(A67*E67)</f>
        <v>1268490006</v>
      </c>
      <c r="J77" s="1749">
        <f>I77/I78</f>
        <v>584288.3491478581</v>
      </c>
      <c r="K77" s="2"/>
      <c r="L77" s="2"/>
      <c r="M77" s="2"/>
      <c r="N77" s="2"/>
      <c r="O77" s="2"/>
      <c r="P77" s="2"/>
      <c r="Q77" s="2"/>
      <c r="R77" s="2"/>
      <c r="S77" s="2"/>
      <c r="T77" s="2"/>
      <c r="U77" s="2498"/>
      <c r="V77" s="2"/>
      <c r="W77" s="2"/>
      <c r="X77" s="1347"/>
      <c r="Y77" s="1347"/>
      <c r="Z77" s="1910"/>
      <c r="AA77" s="1910"/>
      <c r="AB77" s="1298"/>
      <c r="AC77" s="1298"/>
      <c r="AD77" s="1298"/>
      <c r="AE77" s="1298"/>
      <c r="AF77" s="1298"/>
      <c r="AG77" s="2524"/>
      <c r="AH77" s="23"/>
      <c r="AI77" s="23"/>
      <c r="AJ77" s="23"/>
      <c r="AK77" s="23"/>
    </row>
    <row r="78" spans="1:37" s="781" customFormat="1" ht="12.75">
      <c r="A78" s="2">
        <v>11</v>
      </c>
      <c r="B78" s="6">
        <v>2017</v>
      </c>
      <c r="C78" s="45">
        <f>L16</f>
        <v>652931</v>
      </c>
      <c r="D78" s="2">
        <f t="shared" si="34"/>
        <v>121</v>
      </c>
      <c r="E78" s="707">
        <f t="shared" si="35"/>
        <v>7182241</v>
      </c>
      <c r="F78" s="2"/>
      <c r="G78" s="2"/>
      <c r="H78" s="2"/>
      <c r="I78" s="707">
        <f>(A79*D67)-(A67*A67)</f>
        <v>2171</v>
      </c>
      <c r="J78" s="707"/>
      <c r="K78" s="2"/>
      <c r="L78" s="2"/>
      <c r="M78" s="2"/>
      <c r="N78" s="2"/>
      <c r="O78" s="2"/>
      <c r="P78" s="2"/>
      <c r="Q78" s="2"/>
      <c r="R78" s="2"/>
      <c r="S78" s="2"/>
      <c r="T78" s="2"/>
      <c r="U78" s="2498"/>
      <c r="V78" s="2"/>
      <c r="W78" s="2"/>
      <c r="X78" s="1347"/>
      <c r="Y78" s="1347"/>
      <c r="Z78" s="1910"/>
      <c r="AA78" s="1910"/>
      <c r="AB78" s="1298"/>
      <c r="AC78" s="1298"/>
      <c r="AD78" s="1298"/>
      <c r="AE78" s="1298"/>
      <c r="AF78" s="1298"/>
      <c r="AG78" s="2524"/>
      <c r="AH78" s="23"/>
      <c r="AI78" s="23"/>
      <c r="AJ78" s="23"/>
      <c r="AK78" s="23"/>
    </row>
    <row r="79" spans="1:37" s="781" customFormat="1" ht="15.75">
      <c r="A79" s="2">
        <v>12</v>
      </c>
      <c r="B79" s="6">
        <v>2018</v>
      </c>
      <c r="C79" s="45">
        <f>M16</f>
        <v>692492</v>
      </c>
      <c r="D79" s="2">
        <f t="shared" si="34"/>
        <v>144</v>
      </c>
      <c r="E79" s="707">
        <f t="shared" si="35"/>
        <v>8309904</v>
      </c>
      <c r="F79" s="2"/>
      <c r="G79" s="2"/>
      <c r="H79" s="252"/>
      <c r="I79" s="1340"/>
      <c r="J79" s="1749"/>
      <c r="K79" s="2"/>
      <c r="L79" s="2"/>
      <c r="M79" s="2"/>
      <c r="N79" s="2"/>
      <c r="O79" s="2"/>
      <c r="P79" s="2"/>
      <c r="Q79" s="2"/>
      <c r="R79" s="2"/>
      <c r="S79" s="2"/>
      <c r="T79" s="2"/>
      <c r="U79" s="2498"/>
      <c r="V79" s="2"/>
      <c r="W79" s="2"/>
      <c r="X79" s="1347"/>
      <c r="Y79" s="1347"/>
      <c r="Z79" s="1910"/>
      <c r="AA79" s="1910"/>
      <c r="AB79" s="1298"/>
      <c r="AC79" s="1298"/>
      <c r="AD79" s="1298"/>
      <c r="AE79" s="1298"/>
      <c r="AF79" s="1298"/>
      <c r="AG79" s="2524"/>
      <c r="AH79" s="23"/>
      <c r="AI79" s="23"/>
      <c r="AJ79" s="23"/>
      <c r="AK79" s="23"/>
    </row>
    <row r="80" spans="1:37" s="781" customFormat="1" ht="15.75">
      <c r="A80" s="1336">
        <v>13</v>
      </c>
      <c r="B80" s="1337">
        <v>2019</v>
      </c>
      <c r="C80" s="1338">
        <f>N16</f>
        <v>712849</v>
      </c>
      <c r="D80" s="1336">
        <f t="shared" ref="D80" si="36">A80^2</f>
        <v>169</v>
      </c>
      <c r="E80" s="1339">
        <f t="shared" ref="E80" si="37">A80*C80</f>
        <v>9267037</v>
      </c>
      <c r="F80" s="1336" t="s">
        <v>694</v>
      </c>
      <c r="G80" s="2"/>
      <c r="H80" s="712" t="s">
        <v>648</v>
      </c>
      <c r="I80" s="1748">
        <f>(A79*E67)-(A67*C67)</f>
        <v>14445114</v>
      </c>
      <c r="J80" s="1749">
        <f>I80/I78</f>
        <v>6653.6683555964992</v>
      </c>
      <c r="K80" s="2"/>
      <c r="L80" s="2"/>
      <c r="M80" s="2"/>
      <c r="N80" s="2"/>
      <c r="O80" s="2"/>
      <c r="P80" s="2"/>
      <c r="Q80" s="2"/>
      <c r="R80" s="2"/>
      <c r="S80" s="2"/>
      <c r="T80" s="2"/>
      <c r="U80" s="2498"/>
      <c r="V80" s="2"/>
      <c r="W80" s="2"/>
      <c r="X80" s="1347"/>
      <c r="Y80" s="1347"/>
      <c r="Z80" s="1910"/>
      <c r="AA80" s="1910"/>
      <c r="AB80" s="1298"/>
      <c r="AC80" s="1298"/>
      <c r="AD80" s="1298"/>
      <c r="AE80" s="1298"/>
      <c r="AF80" s="1298"/>
      <c r="AG80" s="2524"/>
      <c r="AH80" s="23"/>
      <c r="AI80" s="23"/>
      <c r="AJ80" s="23"/>
      <c r="AK80" s="23"/>
    </row>
    <row r="81" spans="1:214" s="781" customFormat="1" ht="15.75">
      <c r="A81" s="708">
        <v>14</v>
      </c>
      <c r="B81" s="6">
        <v>2020</v>
      </c>
      <c r="C81" s="709">
        <f t="shared" ref="C81:C92" si="38">$J$80*A81+$J$77</f>
        <v>677439.70612620912</v>
      </c>
      <c r="D81" s="2"/>
      <c r="E81" s="2"/>
      <c r="F81" s="2"/>
      <c r="G81" s="2"/>
      <c r="H81" s="252"/>
      <c r="I81" s="1340">
        <f>I78</f>
        <v>2171</v>
      </c>
      <c r="J81" s="1750"/>
      <c r="K81" s="2"/>
      <c r="L81" s="2"/>
      <c r="M81" s="2"/>
      <c r="N81" s="2"/>
      <c r="O81" s="2"/>
      <c r="P81" s="2"/>
      <c r="Q81" s="2"/>
      <c r="R81" s="2"/>
      <c r="S81" s="2"/>
      <c r="T81" s="2"/>
      <c r="U81" s="2498"/>
      <c r="V81" s="2"/>
      <c r="W81" s="2"/>
      <c r="X81" s="1347"/>
      <c r="Y81" s="1347"/>
      <c r="Z81" s="1910"/>
      <c r="AA81" s="1910"/>
      <c r="AB81" s="1298"/>
      <c r="AC81" s="1298"/>
      <c r="AD81" s="1298"/>
      <c r="AE81" s="1298"/>
      <c r="AF81" s="1298"/>
      <c r="AG81" s="2524"/>
      <c r="AH81" s="23"/>
      <c r="AI81" s="23"/>
      <c r="AJ81" s="23"/>
      <c r="AK81" s="23"/>
    </row>
    <row r="82" spans="1:214" s="781" customFormat="1" ht="15.75">
      <c r="A82" s="708">
        <v>15</v>
      </c>
      <c r="B82" s="6">
        <v>2021</v>
      </c>
      <c r="C82" s="709">
        <f t="shared" si="38"/>
        <v>684093.3744818056</v>
      </c>
      <c r="D82" s="2"/>
      <c r="E82" s="2"/>
      <c r="F82" s="2"/>
      <c r="G82" s="2"/>
      <c r="H82" s="252"/>
      <c r="I82" s="186"/>
      <c r="J82" s="186"/>
      <c r="K82" s="2"/>
      <c r="L82" s="2"/>
      <c r="M82" s="2"/>
      <c r="N82" s="2"/>
      <c r="O82" s="2"/>
      <c r="P82" s="2"/>
      <c r="Q82" s="2"/>
      <c r="R82" s="2"/>
      <c r="S82" s="2"/>
      <c r="T82" s="2"/>
      <c r="U82" s="2498"/>
      <c r="V82" s="2"/>
      <c r="W82" s="2"/>
      <c r="X82" s="1347"/>
      <c r="Y82" s="1347"/>
      <c r="Z82" s="1910"/>
      <c r="AA82" s="1910"/>
      <c r="AB82" s="1298"/>
      <c r="AC82" s="1298"/>
      <c r="AD82" s="1298"/>
      <c r="AE82" s="1298"/>
      <c r="AF82" s="1298"/>
      <c r="AG82" s="2524"/>
      <c r="AH82" s="23"/>
      <c r="AI82" s="23"/>
      <c r="AJ82" s="23"/>
      <c r="AK82" s="23"/>
    </row>
    <row r="83" spans="1:214" s="781" customFormat="1" ht="16.5" thickBot="1">
      <c r="A83" s="708">
        <v>16</v>
      </c>
      <c r="B83" s="6">
        <v>2022</v>
      </c>
      <c r="C83" s="709">
        <f t="shared" si="38"/>
        <v>690747.04283740208</v>
      </c>
      <c r="D83" s="2"/>
      <c r="E83" s="2"/>
      <c r="F83" s="2"/>
      <c r="G83" s="2"/>
      <c r="H83" s="712"/>
      <c r="I83" s="186"/>
      <c r="J83" s="186"/>
      <c r="K83" s="2"/>
      <c r="L83" s="2"/>
      <c r="M83" s="2"/>
      <c r="N83" s="2"/>
      <c r="O83" s="2"/>
      <c r="P83" s="2"/>
      <c r="Q83" s="2"/>
      <c r="R83" s="2"/>
      <c r="S83" s="2"/>
      <c r="T83" s="2"/>
      <c r="U83" s="2498"/>
      <c r="V83" s="2"/>
      <c r="W83" s="2"/>
      <c r="X83" s="1347"/>
      <c r="Y83" s="1347"/>
      <c r="Z83" s="1910"/>
      <c r="AA83" s="1910"/>
      <c r="AB83" s="1298"/>
      <c r="AC83" s="1298"/>
      <c r="AD83" s="1298"/>
      <c r="AE83" s="1298"/>
      <c r="AF83" s="1298"/>
      <c r="AG83" s="2524"/>
      <c r="AH83" s="23"/>
      <c r="AI83" s="23"/>
      <c r="AJ83" s="23"/>
      <c r="AK83" s="23"/>
    </row>
    <row r="84" spans="1:214" s="781" customFormat="1" ht="19.5" thickBot="1">
      <c r="A84" s="708">
        <v>17</v>
      </c>
      <c r="B84" s="6">
        <v>2023</v>
      </c>
      <c r="C84" s="709">
        <f t="shared" si="38"/>
        <v>697400.71119299857</v>
      </c>
      <c r="D84" s="2"/>
      <c r="E84" s="2"/>
      <c r="F84" s="2"/>
      <c r="G84" s="2"/>
      <c r="H84" s="713" t="s">
        <v>649</v>
      </c>
      <c r="I84" s="714">
        <f>J80</f>
        <v>6653.6683555964992</v>
      </c>
      <c r="J84" s="715" t="s">
        <v>636</v>
      </c>
      <c r="K84" s="716" t="s">
        <v>650</v>
      </c>
      <c r="L84" s="821"/>
      <c r="M84" s="821"/>
      <c r="N84" s="821"/>
      <c r="O84" s="821"/>
      <c r="P84" s="821"/>
      <c r="Q84" s="821"/>
      <c r="R84" s="821"/>
      <c r="S84" s="821"/>
      <c r="T84" s="821"/>
      <c r="U84" s="2499"/>
      <c r="V84" s="821"/>
      <c r="W84" s="821"/>
      <c r="X84" s="1356"/>
      <c r="Y84" s="1356"/>
      <c r="Z84" s="1918"/>
      <c r="AA84" s="1918"/>
      <c r="AB84" s="1298"/>
      <c r="AC84" s="1298"/>
      <c r="AD84" s="1298"/>
      <c r="AE84" s="1298"/>
      <c r="AF84" s="1298"/>
      <c r="AG84" s="2524"/>
      <c r="AH84" s="23"/>
      <c r="AI84" s="23"/>
      <c r="AJ84" s="23"/>
      <c r="AK84" s="23"/>
    </row>
    <row r="85" spans="1:214" s="781" customFormat="1" ht="12.75">
      <c r="A85" s="708">
        <v>18</v>
      </c>
      <c r="B85" s="6">
        <v>2024</v>
      </c>
      <c r="C85" s="709">
        <f t="shared" si="38"/>
        <v>704054.37954859505</v>
      </c>
      <c r="D85" s="2"/>
      <c r="E85" s="2"/>
      <c r="F85" s="2"/>
      <c r="G85" s="2"/>
      <c r="H85" s="2"/>
      <c r="I85" s="2"/>
      <c r="J85" s="2"/>
      <c r="K85" s="2"/>
      <c r="L85" s="2"/>
      <c r="M85" s="2"/>
      <c r="N85" s="2"/>
      <c r="O85" s="2"/>
      <c r="P85" s="2"/>
      <c r="Q85" s="2"/>
      <c r="R85" s="2"/>
      <c r="S85" s="2"/>
      <c r="T85" s="2"/>
      <c r="U85" s="2498"/>
      <c r="V85" s="2"/>
      <c r="W85" s="2"/>
      <c r="X85" s="1347"/>
      <c r="Y85" s="1347"/>
      <c r="Z85" s="1910"/>
      <c r="AA85" s="1910"/>
      <c r="AB85" s="1298"/>
      <c r="AC85" s="1298"/>
      <c r="AD85" s="1298"/>
      <c r="AE85" s="1298"/>
      <c r="AF85" s="1298"/>
      <c r="AG85" s="2524"/>
      <c r="AH85" s="23"/>
      <c r="AI85" s="23"/>
      <c r="AJ85" s="23"/>
      <c r="AK85" s="23"/>
    </row>
    <row r="86" spans="1:214">
      <c r="A86" s="708">
        <v>19</v>
      </c>
      <c r="B86" s="6">
        <v>2025</v>
      </c>
      <c r="C86" s="709">
        <f t="shared" si="38"/>
        <v>710708.04790419154</v>
      </c>
    </row>
    <row r="87" spans="1:214">
      <c r="A87" s="708">
        <v>20</v>
      </c>
      <c r="B87" s="6">
        <v>2026</v>
      </c>
      <c r="C87" s="709">
        <f t="shared" si="38"/>
        <v>717361.71625978802</v>
      </c>
    </row>
    <row r="88" spans="1:214">
      <c r="A88" s="708">
        <v>21</v>
      </c>
      <c r="B88" s="6">
        <v>2027</v>
      </c>
      <c r="C88" s="709">
        <f t="shared" si="38"/>
        <v>724015.38461538451</v>
      </c>
    </row>
    <row r="89" spans="1:214">
      <c r="A89" s="708">
        <v>22</v>
      </c>
      <c r="B89" s="6">
        <v>2028</v>
      </c>
      <c r="C89" s="709">
        <f t="shared" si="38"/>
        <v>730669.05297098111</v>
      </c>
    </row>
    <row r="90" spans="1:214">
      <c r="A90" s="708">
        <v>23</v>
      </c>
      <c r="B90" s="6">
        <v>2029</v>
      </c>
      <c r="C90" s="709">
        <f t="shared" si="38"/>
        <v>737322.72132657759</v>
      </c>
    </row>
    <row r="91" spans="1:214">
      <c r="A91" s="708">
        <v>24</v>
      </c>
      <c r="B91" s="6">
        <v>2030</v>
      </c>
      <c r="C91" s="709">
        <f t="shared" si="38"/>
        <v>743976.38968217408</v>
      </c>
    </row>
    <row r="92" spans="1:214">
      <c r="A92" s="708">
        <v>25</v>
      </c>
      <c r="B92" s="6">
        <v>2031</v>
      </c>
      <c r="C92" s="709">
        <f t="shared" si="38"/>
        <v>750630.05803777056</v>
      </c>
    </row>
    <row r="93" spans="1:214">
      <c r="HF93" s="779" t="s">
        <v>1409</v>
      </c>
    </row>
  </sheetData>
  <mergeCells count="11">
    <mergeCell ref="I44:J44"/>
    <mergeCell ref="I45:J45"/>
    <mergeCell ref="Z3:AA3"/>
    <mergeCell ref="AD39:AD40"/>
    <mergeCell ref="A1:L1"/>
    <mergeCell ref="AD33:AD34"/>
    <mergeCell ref="AD35:AD36"/>
    <mergeCell ref="AD37:AD38"/>
    <mergeCell ref="X3:Y3"/>
    <mergeCell ref="V3:W3"/>
    <mergeCell ref="AD3:AE3"/>
  </mergeCells>
  <conditionalFormatting sqref="B22:B23">
    <cfRule type="top10" dxfId="352" priority="64" rank="10"/>
  </conditionalFormatting>
  <conditionalFormatting sqref="C22:C23">
    <cfRule type="top10" dxfId="351" priority="63" rank="10"/>
  </conditionalFormatting>
  <conditionalFormatting sqref="D22:D23">
    <cfRule type="top10" dxfId="350" priority="31" rank="10"/>
  </conditionalFormatting>
  <conditionalFormatting sqref="B4:B15">
    <cfRule type="top10" dxfId="349" priority="17" rank="4"/>
  </conditionalFormatting>
  <conditionalFormatting sqref="C4:C15">
    <cfRule type="top10" dxfId="348" priority="16" rank="4"/>
  </conditionalFormatting>
  <conditionalFormatting sqref="D4:D15">
    <cfRule type="top10" dxfId="347" priority="15" rank="4"/>
  </conditionalFormatting>
  <conditionalFormatting sqref="E4:E15">
    <cfRule type="top10" dxfId="346" priority="14" rank="4"/>
  </conditionalFormatting>
  <conditionalFormatting sqref="F4:F15">
    <cfRule type="top10" dxfId="345" priority="13" rank="4"/>
  </conditionalFormatting>
  <conditionalFormatting sqref="G4:G15">
    <cfRule type="top10" dxfId="344" priority="12" rank="4"/>
  </conditionalFormatting>
  <conditionalFormatting sqref="H4:H15">
    <cfRule type="top10" dxfId="343" priority="11" rank="4"/>
  </conditionalFormatting>
  <conditionalFormatting sqref="I4:I15">
    <cfRule type="top10" dxfId="342" priority="10" rank="4"/>
  </conditionalFormatting>
  <conditionalFormatting sqref="J4:J15">
    <cfRule type="top10" dxfId="341" priority="9" rank="4"/>
  </conditionalFormatting>
  <conditionalFormatting sqref="K4:K15">
    <cfRule type="top10" dxfId="340" priority="8" rank="4"/>
  </conditionalFormatting>
  <conditionalFormatting sqref="L4:L15">
    <cfRule type="top10" dxfId="339" priority="7" rank="4"/>
  </conditionalFormatting>
  <conditionalFormatting sqref="M4:M14">
    <cfRule type="top10" dxfId="338" priority="6" rank="4"/>
  </conditionalFormatting>
  <conditionalFormatting sqref="B4:M14 B15:L15">
    <cfRule type="top10" dxfId="337" priority="5" rank="10"/>
  </conditionalFormatting>
  <conditionalFormatting sqref="M15">
    <cfRule type="top10" dxfId="336" priority="4" rank="4"/>
  </conditionalFormatting>
  <conditionalFormatting sqref="M15">
    <cfRule type="top10" dxfId="335" priority="3" rank="10"/>
  </conditionalFormatting>
  <conditionalFormatting sqref="N4">
    <cfRule type="top10" dxfId="334" priority="2" rank="4"/>
  </conditionalFormatting>
  <conditionalFormatting sqref="N4">
    <cfRule type="top10" dxfId="333" priority="1" rank="10"/>
  </conditionalFormatting>
  <pageMargins left="0.31496062992125984" right="0.15748031496062992" top="0.74803149606299213" bottom="0.74803149606299213" header="0.31496062992125984" footer="0.31496062992125984"/>
  <pageSetup scale="26" orientation="landscape" verticalDpi="597"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D65335"/>
  <sheetViews>
    <sheetView showGridLines="0" zoomScale="70" zoomScaleNormal="70" zoomScaleSheetLayoutView="75" workbookViewId="0">
      <pane xSplit="3" ySplit="51" topLeftCell="ER62" activePane="bottomRight" state="frozen"/>
      <selection activeCell="HF95" sqref="HF95:HQ95"/>
      <selection pane="topRight" activeCell="HF95" sqref="HF95:HQ95"/>
      <selection pane="bottomLeft" activeCell="HF95" sqref="HF95:HQ95"/>
      <selection pane="bottomRight" sqref="A1:XFD1048576"/>
    </sheetView>
  </sheetViews>
  <sheetFormatPr baseColWidth="10" defaultColWidth="11.42578125" defaultRowHeight="18.75"/>
  <cols>
    <col min="1" max="1" width="2.140625" style="298" customWidth="1"/>
    <col min="2" max="2" width="1.7109375" style="298" customWidth="1"/>
    <col min="3" max="3" width="39.140625" style="298" bestFit="1" customWidth="1"/>
    <col min="4" max="15" width="10.7109375" style="298" customWidth="1"/>
    <col min="16" max="39" width="10.7109375" style="528" customWidth="1"/>
    <col min="40" max="40" width="11.42578125" style="528" customWidth="1"/>
    <col min="41" max="51" width="10.7109375" style="528" customWidth="1"/>
    <col min="52" max="111" width="10.7109375" style="298" customWidth="1"/>
    <col min="112" max="159" width="10.7109375" style="549" customWidth="1"/>
    <col min="160" max="160" width="10.7109375" style="51" customWidth="1"/>
    <col min="161" max="161" width="11.42578125" style="279" customWidth="1"/>
    <col min="162" max="162" width="11" style="298" customWidth="1"/>
    <col min="163" max="181" width="12.42578125" style="298" customWidth="1"/>
    <col min="182" max="196" width="12.42578125" style="279" customWidth="1"/>
    <col min="197" max="200" width="12.42578125" style="1562" customWidth="1"/>
    <col min="201" max="202" width="12.42578125" style="1563" customWidth="1"/>
    <col min="203" max="203" width="12.42578125" style="1521" customWidth="1"/>
    <col min="204" max="212" width="12.42578125" style="279" customWidth="1"/>
    <col min="213" max="213" width="9.7109375" style="853" customWidth="1"/>
    <col min="214" max="222" width="13.140625" style="853" customWidth="1"/>
    <col min="223" max="223" width="13.140625" style="1577" customWidth="1"/>
    <col min="224" max="226" width="13.140625" style="298" customWidth="1"/>
    <col min="227" max="227" width="13.42578125" style="467" customWidth="1"/>
    <col min="228" max="228" width="12.42578125" style="2287" customWidth="1"/>
    <col min="229" max="232" width="12.85546875" style="1738" customWidth="1"/>
    <col min="233" max="233" width="11.42578125" style="298" customWidth="1"/>
    <col min="234" max="237" width="12.85546875" style="298" customWidth="1"/>
    <col min="239" max="16384" width="11.42578125" style="298"/>
  </cols>
  <sheetData>
    <row r="1" spans="1:237" s="276" customFormat="1" ht="9" customHeight="1">
      <c r="A1" s="275"/>
      <c r="B1" s="275"/>
      <c r="C1" s="275"/>
      <c r="D1" s="275"/>
      <c r="E1" s="275"/>
      <c r="F1" s="275"/>
      <c r="G1" s="275"/>
      <c r="H1" s="275"/>
      <c r="I1" s="275"/>
      <c r="J1" s="275"/>
      <c r="K1" s="275"/>
      <c r="L1" s="275"/>
      <c r="M1" s="275"/>
      <c r="N1" s="275"/>
      <c r="O1" s="275"/>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c r="AQ1" s="329"/>
      <c r="AR1" s="329"/>
      <c r="AS1" s="329"/>
      <c r="AT1" s="329"/>
      <c r="AU1" s="329"/>
      <c r="AV1" s="329"/>
      <c r="AW1" s="329"/>
      <c r="AX1" s="329"/>
      <c r="AY1" s="329"/>
      <c r="AZ1" s="275"/>
      <c r="BA1" s="275"/>
      <c r="BB1" s="275"/>
      <c r="BC1" s="275"/>
      <c r="BD1" s="275"/>
      <c r="BE1" s="275"/>
      <c r="BF1" s="275"/>
      <c r="BG1" s="275"/>
      <c r="BH1" s="275"/>
      <c r="BI1" s="275"/>
      <c r="BJ1" s="275"/>
      <c r="BK1" s="275"/>
      <c r="BL1" s="275"/>
      <c r="BM1" s="275"/>
      <c r="BN1" s="275"/>
      <c r="BO1" s="275"/>
      <c r="BP1" s="275"/>
      <c r="BQ1" s="275"/>
      <c r="BR1" s="275"/>
      <c r="BS1" s="275"/>
      <c r="BT1" s="275"/>
      <c r="BU1" s="275"/>
      <c r="BV1" s="275"/>
      <c r="BW1" s="275"/>
      <c r="BX1" s="275"/>
      <c r="BY1" s="275"/>
      <c r="BZ1" s="275"/>
      <c r="CA1" s="275"/>
      <c r="CB1" s="275"/>
      <c r="CC1" s="275"/>
      <c r="CD1" s="275"/>
      <c r="CE1" s="275"/>
      <c r="CF1" s="275"/>
      <c r="CG1" s="275"/>
      <c r="CH1" s="275"/>
      <c r="CI1" s="275"/>
      <c r="CJ1" s="275"/>
      <c r="CK1" s="275"/>
      <c r="CL1" s="275"/>
      <c r="CM1" s="275"/>
      <c r="CN1" s="275"/>
      <c r="CO1" s="275"/>
      <c r="CP1" s="275"/>
      <c r="CQ1" s="275"/>
      <c r="CR1" s="275"/>
      <c r="CS1" s="275"/>
      <c r="CT1" s="275"/>
      <c r="CU1" s="275"/>
      <c r="CV1" s="275"/>
      <c r="CW1" s="275"/>
      <c r="CX1" s="275"/>
      <c r="CY1" s="275"/>
      <c r="CZ1" s="275"/>
      <c r="DA1" s="275"/>
      <c r="DB1" s="275"/>
      <c r="DC1" s="275"/>
      <c r="DD1" s="275"/>
      <c r="DE1" s="275"/>
      <c r="DF1" s="275"/>
      <c r="DG1" s="275"/>
      <c r="DH1" s="1474"/>
      <c r="DI1" s="1474"/>
      <c r="DJ1" s="1474"/>
      <c r="DK1" s="1474"/>
      <c r="DL1" s="1474"/>
      <c r="DM1" s="1474"/>
      <c r="DN1" s="1474"/>
      <c r="DO1" s="1474"/>
      <c r="DP1" s="1474"/>
      <c r="DQ1" s="1474"/>
      <c r="DR1" s="1474"/>
      <c r="DS1" s="1474"/>
      <c r="DT1" s="1474"/>
      <c r="DU1" s="1474"/>
      <c r="DV1" s="1474"/>
      <c r="DW1" s="1474"/>
      <c r="DX1" s="1474"/>
      <c r="DY1" s="1474"/>
      <c r="DZ1" s="1474"/>
      <c r="EA1" s="1474"/>
      <c r="EB1" s="1474"/>
      <c r="EC1" s="1474"/>
      <c r="ED1" s="1474"/>
      <c r="EE1" s="1474"/>
      <c r="EF1" s="1474"/>
      <c r="EG1" s="1474"/>
      <c r="EH1" s="1474"/>
      <c r="EI1" s="1474"/>
      <c r="EJ1" s="1474"/>
      <c r="EK1" s="1474"/>
      <c r="EL1" s="1474"/>
      <c r="EM1" s="1474"/>
      <c r="EN1" s="1474"/>
      <c r="EO1" s="1474"/>
      <c r="EP1" s="1474"/>
      <c r="EQ1" s="1474"/>
      <c r="ER1" s="1474"/>
      <c r="ES1" s="1474"/>
      <c r="ET1" s="1474"/>
      <c r="EU1" s="1474"/>
      <c r="EV1" s="1474"/>
      <c r="EW1" s="1474"/>
      <c r="EX1" s="1474"/>
      <c r="EY1" s="1474"/>
      <c r="EZ1" s="1474"/>
      <c r="FA1" s="1474"/>
      <c r="FB1" s="1474"/>
      <c r="FC1" s="1474"/>
      <c r="FD1" s="52"/>
      <c r="FE1" s="275"/>
      <c r="FF1" s="275"/>
      <c r="FG1" s="275"/>
      <c r="FH1" s="275"/>
      <c r="FI1" s="275"/>
      <c r="FJ1" s="275"/>
      <c r="FK1" s="275"/>
      <c r="FL1" s="275"/>
      <c r="FM1" s="275"/>
      <c r="FN1" s="275"/>
      <c r="FO1" s="330"/>
      <c r="FP1" s="275"/>
      <c r="FQ1" s="275"/>
      <c r="FR1" s="275"/>
      <c r="FS1" s="275"/>
      <c r="FT1" s="275"/>
      <c r="FU1" s="275"/>
      <c r="FV1" s="275"/>
      <c r="FW1" s="275"/>
      <c r="FX1" s="275"/>
      <c r="FY1" s="275"/>
      <c r="FZ1" s="275"/>
      <c r="GA1" s="275"/>
      <c r="GB1" s="275"/>
      <c r="GC1" s="275"/>
      <c r="GD1" s="275"/>
      <c r="GE1" s="275"/>
      <c r="GF1" s="275"/>
      <c r="GG1" s="275"/>
      <c r="GH1" s="275"/>
      <c r="GI1" s="275"/>
      <c r="GJ1" s="275"/>
      <c r="GK1" s="275"/>
      <c r="GL1" s="275"/>
      <c r="GM1" s="275"/>
      <c r="GN1" s="275"/>
      <c r="GO1" s="1474"/>
      <c r="GP1" s="1474"/>
      <c r="GQ1" s="1474"/>
      <c r="GR1" s="1474"/>
      <c r="GS1" s="1527"/>
      <c r="GT1" s="1527"/>
      <c r="GU1" s="1474"/>
      <c r="GV1" s="275"/>
      <c r="GW1" s="275"/>
      <c r="GX1" s="275"/>
      <c r="GY1" s="275"/>
      <c r="GZ1" s="275"/>
      <c r="HA1" s="275"/>
      <c r="HB1" s="275"/>
      <c r="HC1" s="275"/>
      <c r="HD1" s="275"/>
      <c r="HE1" s="828"/>
      <c r="HF1" s="828"/>
      <c r="HG1" s="828"/>
      <c r="HH1" s="828"/>
      <c r="HI1" s="828"/>
      <c r="HJ1" s="828"/>
      <c r="HK1" s="828"/>
      <c r="HL1" s="828"/>
      <c r="HM1" s="828"/>
      <c r="HN1" s="828"/>
      <c r="HO1" s="1474"/>
      <c r="HS1" s="341"/>
      <c r="HT1" s="2283"/>
      <c r="HU1" s="1735"/>
      <c r="HV1" s="1735"/>
      <c r="HW1" s="1735"/>
      <c r="HX1" s="1735"/>
    </row>
    <row r="2" spans="1:237" s="276" customFormat="1" ht="18" hidden="1" customHeight="1">
      <c r="A2" s="275"/>
      <c r="C2" s="328"/>
      <c r="D2" s="328"/>
      <c r="E2" s="282"/>
      <c r="F2" s="282"/>
      <c r="G2" s="282"/>
      <c r="H2" s="282"/>
      <c r="I2" s="282"/>
      <c r="J2" s="282"/>
      <c r="K2" s="282"/>
      <c r="L2" s="282"/>
      <c r="M2" s="282"/>
      <c r="N2" s="282"/>
      <c r="O2" s="282"/>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282"/>
      <c r="BA2" s="282"/>
      <c r="BB2" s="282"/>
      <c r="BC2" s="282"/>
      <c r="BD2" s="282"/>
      <c r="BE2" s="282"/>
      <c r="BF2" s="282"/>
      <c r="BG2" s="282"/>
      <c r="BH2" s="282"/>
      <c r="BI2" s="282"/>
      <c r="BJ2" s="282"/>
      <c r="BK2" s="282"/>
      <c r="BL2" s="282"/>
      <c r="BM2" s="282"/>
      <c r="BN2" s="282"/>
      <c r="BO2" s="282"/>
      <c r="BP2" s="282"/>
      <c r="BQ2" s="282"/>
      <c r="BR2" s="282"/>
      <c r="BS2" s="282"/>
      <c r="BT2" s="282"/>
      <c r="BU2" s="282"/>
      <c r="BV2" s="282"/>
      <c r="BW2" s="282"/>
      <c r="BX2" s="282"/>
      <c r="BY2" s="282"/>
      <c r="BZ2" s="282"/>
      <c r="CA2" s="282"/>
      <c r="CB2" s="282"/>
      <c r="CC2" s="282"/>
      <c r="CD2" s="282"/>
      <c r="CE2" s="282"/>
      <c r="CF2" s="282"/>
      <c r="CG2" s="282"/>
      <c r="CH2" s="282"/>
      <c r="CI2" s="282"/>
      <c r="CJ2" s="282"/>
      <c r="CK2" s="282"/>
      <c r="CL2" s="282"/>
      <c r="CM2" s="282"/>
      <c r="CN2" s="282"/>
      <c r="CO2" s="282"/>
      <c r="CP2" s="282"/>
      <c r="CQ2" s="282"/>
      <c r="CR2" s="282"/>
      <c r="CS2" s="282"/>
      <c r="CT2" s="282"/>
      <c r="CU2" s="282"/>
      <c r="CV2" s="282"/>
      <c r="CW2" s="282"/>
      <c r="CX2" s="282"/>
      <c r="CY2" s="282"/>
      <c r="CZ2" s="282"/>
      <c r="DA2" s="282"/>
      <c r="DB2" s="282"/>
      <c r="DC2" s="282"/>
      <c r="DD2" s="282"/>
      <c r="DE2" s="282"/>
      <c r="DF2" s="282"/>
      <c r="DG2" s="28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s="52"/>
      <c r="FE2" s="332"/>
      <c r="FF2" s="282"/>
      <c r="FG2" s="282"/>
      <c r="FH2" s="282"/>
      <c r="FI2" s="282"/>
      <c r="FJ2" s="282"/>
      <c r="FK2" s="282"/>
      <c r="FL2" s="282"/>
      <c r="FM2" s="282"/>
      <c r="FN2" s="282"/>
      <c r="FO2" s="333"/>
      <c r="FP2" s="282"/>
      <c r="FQ2" s="282"/>
      <c r="FR2" s="282"/>
      <c r="FS2" s="282"/>
      <c r="FT2" s="282"/>
      <c r="FU2" s="282"/>
      <c r="FV2" s="282"/>
      <c r="FW2" s="282"/>
      <c r="FX2" s="282"/>
      <c r="FY2" s="282"/>
      <c r="FZ2" s="332"/>
      <c r="GA2" s="332"/>
      <c r="GB2" s="332"/>
      <c r="GC2" s="332"/>
      <c r="GD2" s="332"/>
      <c r="GE2" s="332"/>
      <c r="GF2" s="332"/>
      <c r="GG2" s="332"/>
      <c r="GH2" s="332"/>
      <c r="GI2" s="332"/>
      <c r="GJ2" s="332"/>
      <c r="GK2" s="332"/>
      <c r="GL2" s="332"/>
      <c r="GM2" s="332"/>
      <c r="GN2" s="332"/>
      <c r="GO2" s="1528"/>
      <c r="GP2" s="1528"/>
      <c r="GQ2" s="1528"/>
      <c r="GR2" s="1528"/>
      <c r="GS2" s="1529"/>
      <c r="GT2" s="1529"/>
      <c r="GU2" s="1475"/>
      <c r="GV2" s="332"/>
      <c r="GW2" s="332"/>
      <c r="GX2" s="332"/>
      <c r="GY2" s="332"/>
      <c r="GZ2" s="332"/>
      <c r="HA2" s="332"/>
      <c r="HB2" s="332"/>
      <c r="HC2" s="332"/>
      <c r="HD2" s="332"/>
      <c r="HE2" s="829"/>
      <c r="HF2" s="829"/>
      <c r="HG2" s="829"/>
      <c r="HH2" s="829"/>
      <c r="HI2" s="829"/>
      <c r="HJ2" s="829"/>
      <c r="HK2" s="829"/>
      <c r="HL2" s="829"/>
      <c r="HM2" s="829"/>
      <c r="HN2" s="829"/>
      <c r="HO2" s="1566"/>
      <c r="HP2" s="334"/>
      <c r="HQ2" s="334"/>
      <c r="HR2" s="334"/>
      <c r="HS2" s="1924"/>
      <c r="HT2" s="2284"/>
      <c r="HU2" s="1735"/>
      <c r="HV2" s="1735"/>
      <c r="HW2" s="1735"/>
      <c r="HX2" s="1735"/>
    </row>
    <row r="3" spans="1:237" s="276" customFormat="1" ht="18" customHeight="1">
      <c r="A3" s="275"/>
      <c r="C3" s="328" t="s">
        <v>548</v>
      </c>
      <c r="D3" s="328"/>
      <c r="E3" s="282"/>
      <c r="F3" s="282"/>
      <c r="G3" s="282"/>
      <c r="H3" s="282"/>
      <c r="I3" s="282"/>
      <c r="J3" s="282"/>
      <c r="K3" s="282"/>
      <c r="L3" s="282"/>
      <c r="M3" s="282"/>
      <c r="N3" s="282"/>
      <c r="O3" s="282"/>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282"/>
      <c r="BA3" s="282"/>
      <c r="BB3" s="282"/>
      <c r="BC3" s="282"/>
      <c r="BD3" s="282"/>
      <c r="BE3" s="282"/>
      <c r="BF3" s="282"/>
      <c r="BG3" s="282"/>
      <c r="BH3" s="282"/>
      <c r="BI3" s="282"/>
      <c r="BJ3" s="282"/>
      <c r="BK3" s="282"/>
      <c r="BL3" s="282"/>
      <c r="BM3" s="282"/>
      <c r="BN3" s="282"/>
      <c r="BO3" s="282"/>
      <c r="BP3" s="282"/>
      <c r="BQ3" s="282"/>
      <c r="BR3" s="282"/>
      <c r="BS3" s="282"/>
      <c r="BT3" s="282"/>
      <c r="BU3" s="282"/>
      <c r="BV3" s="282"/>
      <c r="BW3" s="282"/>
      <c r="BX3" s="282"/>
      <c r="BY3" s="282"/>
      <c r="BZ3" s="282"/>
      <c r="CA3" s="282"/>
      <c r="CB3" s="282"/>
      <c r="CC3" s="282"/>
      <c r="CD3" s="282"/>
      <c r="CE3" s="282"/>
      <c r="CF3" s="282"/>
      <c r="CG3" s="282"/>
      <c r="CH3" s="282"/>
      <c r="CI3" s="282"/>
      <c r="CJ3" s="282"/>
      <c r="CK3" s="282"/>
      <c r="CL3" s="282"/>
      <c r="CM3" s="282"/>
      <c r="CN3" s="282"/>
      <c r="CO3" s="282"/>
      <c r="CP3" s="282"/>
      <c r="CQ3" s="282"/>
      <c r="CR3" s="282"/>
      <c r="CS3" s="282"/>
      <c r="CT3" s="282"/>
      <c r="CU3" s="282"/>
      <c r="CV3" s="282"/>
      <c r="CW3" s="282"/>
      <c r="CX3" s="282"/>
      <c r="CY3" s="282"/>
      <c r="CZ3" s="282"/>
      <c r="DA3" s="282"/>
      <c r="DB3" s="282"/>
      <c r="DC3" s="282"/>
      <c r="DD3" s="282"/>
      <c r="DE3" s="282"/>
      <c r="DF3" s="282"/>
      <c r="DG3" s="282"/>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s="52"/>
      <c r="FE3" s="332"/>
      <c r="FF3" s="282"/>
      <c r="FG3" s="282"/>
      <c r="FH3" s="282"/>
      <c r="FI3" s="282"/>
      <c r="FJ3" s="282"/>
      <c r="FK3" s="282"/>
      <c r="FL3" s="282"/>
      <c r="FM3" s="282"/>
      <c r="FN3" s="282"/>
      <c r="FO3" s="333"/>
      <c r="FP3" s="282"/>
      <c r="FQ3" s="282"/>
      <c r="FR3" s="282"/>
      <c r="FS3" s="282"/>
      <c r="FT3" s="282"/>
      <c r="FU3" s="282"/>
      <c r="FV3" s="282"/>
      <c r="FW3" s="282"/>
      <c r="FX3" s="282"/>
      <c r="FY3" s="282"/>
      <c r="FZ3" s="332"/>
      <c r="GA3" s="332"/>
      <c r="GB3" s="332"/>
      <c r="GC3" s="332"/>
      <c r="GD3" s="332"/>
      <c r="GE3" s="332"/>
      <c r="GF3" s="332"/>
      <c r="GG3" s="332"/>
      <c r="GH3" s="332"/>
      <c r="GI3" s="332"/>
      <c r="GJ3" s="332"/>
      <c r="GK3" s="332"/>
      <c r="GL3" s="332"/>
      <c r="GM3" s="332"/>
      <c r="GN3" s="332"/>
      <c r="GO3" s="1528"/>
      <c r="GP3" s="1528"/>
      <c r="GQ3" s="1528"/>
      <c r="GR3" s="1528"/>
      <c r="GS3" s="1529"/>
      <c r="GT3" s="1529"/>
      <c r="GU3" s="1475"/>
      <c r="GV3" s="332"/>
      <c r="GW3" s="332"/>
      <c r="GX3" s="332"/>
      <c r="GY3" s="332"/>
      <c r="GZ3" s="332"/>
      <c r="HA3" s="332"/>
      <c r="HB3" s="332"/>
      <c r="HC3" s="332"/>
      <c r="HD3" s="332"/>
      <c r="HE3" s="829"/>
      <c r="HF3" s="829"/>
      <c r="HG3" s="829"/>
      <c r="HH3" s="829"/>
      <c r="HI3" s="829"/>
      <c r="HJ3" s="829"/>
      <c r="HK3" s="829"/>
      <c r="HL3" s="829"/>
      <c r="HM3" s="829"/>
      <c r="HN3" s="829"/>
      <c r="HO3" s="1566"/>
      <c r="HP3" s="334"/>
      <c r="HQ3" s="334"/>
      <c r="HR3" s="334"/>
      <c r="HS3" s="1924"/>
      <c r="HT3" s="2284"/>
      <c r="HU3" s="1735"/>
      <c r="HV3" s="1735"/>
      <c r="HW3" s="1735"/>
      <c r="HX3" s="1735"/>
    </row>
    <row r="4" spans="1:237" s="276" customFormat="1" ht="18" customHeight="1" thickBot="1">
      <c r="A4" s="275"/>
      <c r="C4" s="328" t="s">
        <v>580</v>
      </c>
      <c r="D4" s="328"/>
      <c r="E4" s="282"/>
      <c r="F4" s="282"/>
      <c r="G4" s="282"/>
      <c r="H4" s="282"/>
      <c r="I4" s="282"/>
      <c r="J4" s="282"/>
      <c r="K4" s="282"/>
      <c r="L4" s="282"/>
      <c r="M4" s="282"/>
      <c r="N4" s="282"/>
      <c r="O4" s="282"/>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282"/>
      <c r="BA4" s="282"/>
      <c r="BB4" s="282"/>
      <c r="BC4" s="282"/>
      <c r="BD4" s="282"/>
      <c r="BE4" s="282"/>
      <c r="BF4" s="282"/>
      <c r="BG4" s="282"/>
      <c r="BH4" s="282"/>
      <c r="BI4" s="282"/>
      <c r="BJ4" s="282"/>
      <c r="BK4" s="282"/>
      <c r="BL4" s="282"/>
      <c r="BM4" s="282"/>
      <c r="BN4" s="282"/>
      <c r="BO4" s="282"/>
      <c r="BP4" s="282"/>
      <c r="BQ4" s="282"/>
      <c r="BR4" s="282"/>
      <c r="BS4" s="282"/>
      <c r="BT4" s="282"/>
      <c r="BU4" s="282"/>
      <c r="BV4" s="282"/>
      <c r="BW4" s="282"/>
      <c r="BX4" s="282"/>
      <c r="BY4" s="282"/>
      <c r="BZ4" s="282"/>
      <c r="CA4" s="282"/>
      <c r="CB4" s="282"/>
      <c r="CC4" s="282"/>
      <c r="CD4" s="282"/>
      <c r="CE4" s="282"/>
      <c r="CF4" s="282"/>
      <c r="CG4" s="282"/>
      <c r="CH4" s="282"/>
      <c r="CI4" s="282"/>
      <c r="CJ4" s="282"/>
      <c r="CK4" s="282"/>
      <c r="CL4" s="282"/>
      <c r="CM4" s="282"/>
      <c r="CN4" s="282"/>
      <c r="CO4" s="282"/>
      <c r="CP4" s="282"/>
      <c r="CQ4" s="282"/>
      <c r="CR4" s="282"/>
      <c r="CS4" s="282"/>
      <c r="CT4" s="282"/>
      <c r="CU4" s="282"/>
      <c r="CV4" s="282"/>
      <c r="CW4" s="282"/>
      <c r="CX4" s="282"/>
      <c r="CY4" s="282"/>
      <c r="CZ4" s="282"/>
      <c r="DA4" s="282"/>
      <c r="DB4" s="282"/>
      <c r="DC4" s="282"/>
      <c r="DD4" s="282"/>
      <c r="DE4" s="282"/>
      <c r="DF4" s="282"/>
      <c r="DG4" s="282"/>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s="52"/>
      <c r="FE4" s="335"/>
      <c r="FF4" s="282"/>
      <c r="FG4" s="282"/>
      <c r="FH4" s="282"/>
      <c r="FI4" s="282"/>
      <c r="FJ4" s="282"/>
      <c r="FK4" s="282"/>
      <c r="FL4" s="282"/>
      <c r="FM4" s="282"/>
      <c r="FN4" s="282"/>
      <c r="FO4" s="333"/>
      <c r="FP4" s="282"/>
      <c r="FQ4" s="282"/>
      <c r="FR4" s="282"/>
      <c r="FS4" s="282"/>
      <c r="FT4" s="282"/>
      <c r="FU4" s="282"/>
      <c r="FV4" s="282"/>
      <c r="FW4" s="282"/>
      <c r="FX4" s="282"/>
      <c r="FY4" s="282"/>
      <c r="FZ4" s="335"/>
      <c r="GA4" s="335"/>
      <c r="GB4" s="335"/>
      <c r="GC4" s="335"/>
      <c r="GD4" s="335"/>
      <c r="GE4" s="335"/>
      <c r="GF4" s="335"/>
      <c r="GG4" s="335"/>
      <c r="GH4" s="335"/>
      <c r="GI4" s="335"/>
      <c r="GJ4" s="335"/>
      <c r="GK4" s="335"/>
      <c r="GL4" s="335"/>
      <c r="GM4" s="335"/>
      <c r="GN4" s="335"/>
      <c r="GO4" s="1530"/>
      <c r="GP4" s="1530"/>
      <c r="GQ4" s="1530"/>
      <c r="GR4" s="1530"/>
      <c r="GS4" s="1531"/>
      <c r="GT4" s="1531"/>
      <c r="GU4" s="1476"/>
      <c r="GV4" s="335"/>
      <c r="GW4" s="335"/>
      <c r="GX4" s="335"/>
      <c r="GY4" s="335"/>
      <c r="GZ4" s="335"/>
      <c r="HA4" s="335"/>
      <c r="HB4" s="335"/>
      <c r="HC4" s="335"/>
      <c r="HD4" s="335"/>
      <c r="HE4" s="829"/>
      <c r="HF4" s="829"/>
      <c r="HG4" s="829"/>
      <c r="HH4" s="829"/>
      <c r="HI4" s="829"/>
      <c r="HJ4" s="829"/>
      <c r="HK4" s="829"/>
      <c r="HL4" s="829"/>
      <c r="HM4" s="829"/>
      <c r="HN4" s="829"/>
      <c r="HO4" s="1566"/>
      <c r="HP4" s="334"/>
      <c r="HQ4" s="334"/>
      <c r="HR4" s="334"/>
      <c r="HS4" s="1924"/>
      <c r="HT4" s="2284"/>
      <c r="HU4" s="1735"/>
      <c r="HV4" s="1735"/>
      <c r="HW4" s="1735"/>
      <c r="HX4" s="1735"/>
      <c r="HZ4" s="2299"/>
      <c r="IA4" s="2299"/>
      <c r="IB4" s="2299"/>
      <c r="IC4" s="298"/>
    </row>
    <row r="5" spans="1:237" s="276" customFormat="1" ht="15" hidden="1" customHeight="1">
      <c r="A5" s="275"/>
      <c r="C5" s="277"/>
      <c r="D5" s="3895" t="s">
        <v>549</v>
      </c>
      <c r="E5" s="3895"/>
      <c r="F5" s="3895"/>
      <c r="G5" s="3895"/>
      <c r="H5" s="3895"/>
      <c r="I5" s="3895"/>
      <c r="J5" s="3895"/>
      <c r="K5" s="3895"/>
      <c r="L5" s="3895"/>
      <c r="M5" s="3895"/>
      <c r="N5" s="3895"/>
      <c r="O5" s="3895"/>
      <c r="P5" s="3895" t="s">
        <v>549</v>
      </c>
      <c r="Q5" s="3895"/>
      <c r="R5" s="3895"/>
      <c r="S5" s="3895"/>
      <c r="T5" s="3895"/>
      <c r="U5" s="3895"/>
      <c r="V5" s="3895"/>
      <c r="W5" s="3895"/>
      <c r="X5" s="3895"/>
      <c r="Y5" s="3895"/>
      <c r="Z5" s="3895"/>
      <c r="AA5" s="3895"/>
      <c r="AB5" s="3895" t="s">
        <v>549</v>
      </c>
      <c r="AC5" s="3895"/>
      <c r="AD5" s="3895"/>
      <c r="AE5" s="3895"/>
      <c r="AF5" s="3895"/>
      <c r="AG5" s="3895"/>
      <c r="AH5" s="3895"/>
      <c r="AI5" s="3895"/>
      <c r="AJ5" s="3895"/>
      <c r="AK5" s="3895"/>
      <c r="AL5" s="3895"/>
      <c r="AM5" s="3895"/>
      <c r="AN5" s="3895" t="s">
        <v>549</v>
      </c>
      <c r="AO5" s="3895"/>
      <c r="AP5" s="3895"/>
      <c r="AQ5" s="3895"/>
      <c r="AR5" s="3895"/>
      <c r="AS5" s="3895"/>
      <c r="AT5" s="3895"/>
      <c r="AU5" s="3895"/>
      <c r="AV5" s="3895"/>
      <c r="AW5" s="3895"/>
      <c r="AX5" s="3895"/>
      <c r="AY5" s="3895"/>
      <c r="AZ5" s="3895" t="s">
        <v>549</v>
      </c>
      <c r="BA5" s="3895"/>
      <c r="BB5" s="3895"/>
      <c r="BC5" s="3895"/>
      <c r="BD5" s="3895"/>
      <c r="BE5" s="3895"/>
      <c r="BF5" s="3895"/>
      <c r="BG5" s="3895"/>
      <c r="BH5" s="3895"/>
      <c r="BI5" s="3895"/>
      <c r="BJ5" s="3895"/>
      <c r="BK5" s="3895"/>
      <c r="BL5" s="278"/>
      <c r="BM5" s="278"/>
      <c r="BN5" s="278"/>
      <c r="BO5" s="278"/>
      <c r="BP5" s="278"/>
      <c r="BQ5" s="278"/>
      <c r="BR5" s="278"/>
      <c r="BS5" s="278"/>
      <c r="BT5" s="278"/>
      <c r="BU5" s="278"/>
      <c r="BV5" s="278"/>
      <c r="BW5" s="278"/>
      <c r="BX5" s="278"/>
      <c r="BY5" s="278"/>
      <c r="BZ5" s="278"/>
      <c r="CA5" s="278"/>
      <c r="CB5" s="278" t="s">
        <v>549</v>
      </c>
      <c r="CC5" s="278"/>
      <c r="CD5" s="278"/>
      <c r="CE5" s="278"/>
      <c r="CF5" s="278"/>
      <c r="CG5" s="278"/>
      <c r="CH5" s="278"/>
      <c r="CI5" s="278"/>
      <c r="CJ5" s="278"/>
      <c r="CK5" s="278"/>
      <c r="CL5" s="278"/>
      <c r="CM5" s="278"/>
      <c r="CN5" s="278"/>
      <c r="CO5" s="278"/>
      <c r="CP5" s="278"/>
      <c r="CQ5" s="278"/>
      <c r="CR5" s="278"/>
      <c r="CS5" s="278"/>
      <c r="CT5" s="278"/>
      <c r="CU5" s="278"/>
      <c r="CV5" s="278"/>
      <c r="CW5" s="278"/>
      <c r="CX5" s="278"/>
      <c r="CY5" s="278"/>
      <c r="CZ5" s="278"/>
      <c r="DA5" s="278"/>
      <c r="DB5" s="278"/>
      <c r="DC5" s="278"/>
      <c r="DD5" s="278"/>
      <c r="DE5" s="278"/>
      <c r="DF5" s="644"/>
      <c r="DG5" s="644"/>
      <c r="DH5" s="1477"/>
      <c r="DI5" s="1477"/>
      <c r="DJ5" s="1477"/>
      <c r="DK5" s="1477"/>
      <c r="DL5" s="1477"/>
      <c r="DM5" s="1477"/>
      <c r="DN5" s="1477"/>
      <c r="DO5" s="1477"/>
      <c r="DP5" s="1477"/>
      <c r="DQ5" s="1477"/>
      <c r="DR5" s="1477"/>
      <c r="DS5" s="1477"/>
      <c r="DT5" s="1477"/>
      <c r="DU5" s="1477"/>
      <c r="DV5" s="1477"/>
      <c r="DW5" s="1477"/>
      <c r="DX5" s="1477"/>
      <c r="DY5" s="1477"/>
      <c r="DZ5" s="1477"/>
      <c r="EA5" s="1477"/>
      <c r="EB5" s="1477"/>
      <c r="EC5" s="1477"/>
      <c r="ED5" s="1477"/>
      <c r="EE5" s="1477"/>
      <c r="EF5" s="1477"/>
      <c r="EG5" s="1477"/>
      <c r="EH5" s="1477"/>
      <c r="EI5" s="1477"/>
      <c r="EJ5" s="1477"/>
      <c r="EK5" s="1477"/>
      <c r="EL5" s="1477"/>
      <c r="EM5" s="1477"/>
      <c r="EN5" s="1477"/>
      <c r="EO5" s="1477"/>
      <c r="EP5" s="1477"/>
      <c r="EQ5" s="1477"/>
      <c r="ER5" s="1477"/>
      <c r="ES5" s="1477"/>
      <c r="ET5" s="1477"/>
      <c r="EU5" s="1477"/>
      <c r="EV5" s="1477"/>
      <c r="EW5" s="1477"/>
      <c r="EX5" s="1477"/>
      <c r="EY5" s="1477"/>
      <c r="EZ5" s="1477"/>
      <c r="FA5" s="1477"/>
      <c r="FB5" s="1477"/>
      <c r="FC5" s="1477"/>
      <c r="FD5" s="2428"/>
      <c r="FE5" s="279"/>
      <c r="FF5" s="3902" t="s">
        <v>550</v>
      </c>
      <c r="FG5" s="3902"/>
      <c r="FH5" s="3902"/>
      <c r="FI5" s="3902"/>
      <c r="FJ5" s="3902"/>
      <c r="FK5" s="3902"/>
      <c r="FL5" s="3902"/>
      <c r="FM5" s="3902"/>
      <c r="FN5" s="3902"/>
      <c r="FO5" s="3902"/>
      <c r="FP5" s="3902"/>
      <c r="FQ5" s="3902"/>
      <c r="FR5" s="3902"/>
      <c r="FS5" s="3902"/>
      <c r="FT5" s="3902"/>
      <c r="FU5" s="3902"/>
      <c r="FV5" s="3902"/>
      <c r="FW5" s="3902"/>
      <c r="FX5" s="3902"/>
      <c r="FY5" s="3902"/>
      <c r="FZ5" s="3902"/>
      <c r="GA5" s="3902"/>
      <c r="GB5" s="3902"/>
      <c r="GC5" s="3902"/>
      <c r="GD5" s="3902"/>
      <c r="GE5" s="280"/>
      <c r="GF5" s="280"/>
      <c r="GG5" s="280"/>
      <c r="GH5" s="280"/>
      <c r="GI5" s="280"/>
      <c r="GJ5" s="280"/>
      <c r="GK5" s="280"/>
      <c r="GL5" s="280"/>
      <c r="GM5" s="280"/>
      <c r="GN5" s="280"/>
      <c r="GO5" s="1532"/>
      <c r="GP5" s="1532"/>
      <c r="GQ5" s="1532"/>
      <c r="GR5" s="1532"/>
      <c r="GS5" s="1533"/>
      <c r="GT5" s="1533"/>
      <c r="GU5" s="1479"/>
      <c r="GV5" s="279"/>
      <c r="GW5" s="279"/>
      <c r="GX5" s="279"/>
      <c r="GY5" s="1923"/>
      <c r="GZ5" s="1923"/>
      <c r="HA5" s="279"/>
      <c r="HB5" s="279"/>
      <c r="HC5" s="2343"/>
      <c r="HD5" s="2343"/>
      <c r="HE5" s="3899" t="s">
        <v>551</v>
      </c>
      <c r="HF5" s="3900"/>
      <c r="HG5" s="3900"/>
      <c r="HH5" s="3900"/>
      <c r="HI5" s="3900"/>
      <c r="HJ5" s="3900"/>
      <c r="HK5" s="830"/>
      <c r="HL5" s="830"/>
      <c r="HM5" s="830"/>
      <c r="HN5" s="1604"/>
      <c r="HO5" s="1473"/>
      <c r="HP5" s="336"/>
      <c r="HQ5" s="336"/>
      <c r="HR5" s="336"/>
      <c r="HS5" s="336"/>
      <c r="HT5" s="2285"/>
      <c r="HU5" s="1735"/>
      <c r="HV5" s="1735"/>
      <c r="HW5" s="1735"/>
      <c r="HX5" s="1735"/>
    </row>
    <row r="6" spans="1:237" s="276" customFormat="1" ht="4.5" hidden="1" customHeight="1" thickBot="1">
      <c r="A6" s="275"/>
      <c r="C6" s="283"/>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284"/>
      <c r="AW6" s="284"/>
      <c r="AX6" s="284"/>
      <c r="AY6" s="284"/>
      <c r="AZ6" s="284"/>
      <c r="BA6" s="284"/>
      <c r="BB6" s="284"/>
      <c r="BC6" s="284"/>
      <c r="BD6" s="284"/>
      <c r="BE6" s="284"/>
      <c r="BF6" s="284"/>
      <c r="BG6" s="284"/>
      <c r="BH6" s="284"/>
      <c r="BI6" s="284"/>
      <c r="BJ6" s="284"/>
      <c r="BK6" s="284"/>
      <c r="BL6" s="284"/>
      <c r="BM6" s="284"/>
      <c r="BN6" s="284"/>
      <c r="BO6" s="284"/>
      <c r="BP6" s="284"/>
      <c r="BQ6" s="284"/>
      <c r="BR6" s="284"/>
      <c r="BS6" s="284"/>
      <c r="BT6" s="284"/>
      <c r="BU6" s="284"/>
      <c r="BV6" s="284"/>
      <c r="BW6" s="284"/>
      <c r="BX6" s="284"/>
      <c r="BY6" s="284"/>
      <c r="BZ6" s="284"/>
      <c r="CA6" s="284"/>
      <c r="CB6" s="284"/>
      <c r="CC6" s="284"/>
      <c r="CD6" s="284"/>
      <c r="CE6" s="284"/>
      <c r="CF6" s="284"/>
      <c r="CG6" s="284"/>
      <c r="CH6" s="284"/>
      <c r="CI6" s="284"/>
      <c r="CJ6" s="284"/>
      <c r="CK6" s="284"/>
      <c r="CL6" s="284"/>
      <c r="CM6" s="284"/>
      <c r="CN6" s="284"/>
      <c r="CO6" s="284"/>
      <c r="CP6" s="284"/>
      <c r="CQ6" s="284"/>
      <c r="CR6" s="284"/>
      <c r="CS6" s="284"/>
      <c r="CT6" s="284"/>
      <c r="CU6" s="284"/>
      <c r="CV6" s="284"/>
      <c r="CW6" s="284"/>
      <c r="CX6" s="284"/>
      <c r="CY6" s="284"/>
      <c r="CZ6" s="284"/>
      <c r="DA6" s="284"/>
      <c r="DB6" s="284"/>
      <c r="DC6" s="284"/>
      <c r="DD6" s="284"/>
      <c r="DE6" s="284"/>
      <c r="DF6" s="284"/>
      <c r="DG6" s="284"/>
      <c r="DH6" s="1478"/>
      <c r="DI6" s="1478"/>
      <c r="DJ6" s="1478"/>
      <c r="DK6" s="1478"/>
      <c r="DL6" s="1478"/>
      <c r="DM6" s="1478"/>
      <c r="DN6" s="1478"/>
      <c r="DO6" s="1478"/>
      <c r="DP6" s="1478"/>
      <c r="DQ6" s="1478"/>
      <c r="DR6" s="1478"/>
      <c r="DS6" s="1478"/>
      <c r="DT6" s="1478"/>
      <c r="DU6" s="1478"/>
      <c r="DV6" s="1478"/>
      <c r="DW6" s="1478"/>
      <c r="DX6" s="1478"/>
      <c r="DY6" s="1478"/>
      <c r="DZ6" s="1478"/>
      <c r="EA6" s="1478"/>
      <c r="EB6" s="1478"/>
      <c r="EC6" s="1478"/>
      <c r="ED6" s="1478"/>
      <c r="EE6" s="1478"/>
      <c r="EF6" s="1478"/>
      <c r="EG6" s="1478"/>
      <c r="EH6" s="1478"/>
      <c r="EI6" s="1478"/>
      <c r="EJ6" s="1478"/>
      <c r="EK6" s="1478"/>
      <c r="EL6" s="1478"/>
      <c r="EM6" s="1478"/>
      <c r="EN6" s="1478"/>
      <c r="EO6" s="1478"/>
      <c r="EP6" s="1478"/>
      <c r="EQ6" s="1478"/>
      <c r="ER6" s="1478"/>
      <c r="ES6" s="1478"/>
      <c r="ET6" s="1478"/>
      <c r="EU6" s="1478"/>
      <c r="EV6" s="1478"/>
      <c r="EW6" s="1478"/>
      <c r="EX6" s="1478"/>
      <c r="EY6" s="1478"/>
      <c r="EZ6" s="1478"/>
      <c r="FA6" s="1478"/>
      <c r="FB6" s="1478"/>
      <c r="FC6" s="1478"/>
      <c r="FD6" s="2429"/>
      <c r="FE6" s="279"/>
      <c r="FF6" s="285"/>
      <c r="FG6" s="285"/>
      <c r="FH6" s="285"/>
      <c r="FI6" s="285"/>
      <c r="FJ6" s="286"/>
      <c r="FK6" s="286"/>
      <c r="FL6" s="286"/>
      <c r="FM6" s="286"/>
      <c r="FN6" s="286"/>
      <c r="FO6" s="286"/>
      <c r="FP6" s="286"/>
      <c r="FQ6" s="286"/>
      <c r="FR6" s="286"/>
      <c r="FS6" s="286"/>
      <c r="FT6" s="286"/>
      <c r="FU6" s="286"/>
      <c r="FV6" s="286"/>
      <c r="FW6" s="286"/>
      <c r="FX6" s="286"/>
      <c r="FY6" s="286"/>
      <c r="FZ6" s="286"/>
      <c r="GA6" s="286"/>
      <c r="GB6" s="286"/>
      <c r="GC6" s="286"/>
      <c r="GD6" s="286"/>
      <c r="GE6" s="286"/>
      <c r="GF6" s="286"/>
      <c r="GG6" s="286"/>
      <c r="GH6" s="286"/>
      <c r="GI6" s="286"/>
      <c r="GJ6" s="286"/>
      <c r="GK6" s="286"/>
      <c r="GL6" s="286"/>
      <c r="GM6" s="286"/>
      <c r="GN6" s="286"/>
      <c r="GO6" s="1534"/>
      <c r="GP6" s="1534"/>
      <c r="GQ6" s="1534"/>
      <c r="GR6" s="1534"/>
      <c r="GS6" s="1535"/>
      <c r="GT6" s="1535"/>
      <c r="GU6" s="1536"/>
      <c r="GV6" s="286"/>
      <c r="GW6" s="286"/>
      <c r="GX6" s="286"/>
      <c r="GY6" s="286"/>
      <c r="GZ6" s="286"/>
      <c r="HA6" s="286"/>
      <c r="HB6" s="286"/>
      <c r="HC6" s="286"/>
      <c r="HD6" s="286"/>
      <c r="HE6" s="831"/>
      <c r="HF6" s="831"/>
      <c r="HG6" s="831"/>
      <c r="HH6" s="831"/>
      <c r="HI6" s="831"/>
      <c r="HJ6" s="831"/>
      <c r="HK6" s="831"/>
      <c r="HL6" s="831"/>
      <c r="HM6" s="831"/>
      <c r="HN6" s="831"/>
      <c r="HO6" s="1567"/>
      <c r="HP6" s="286"/>
      <c r="HQ6" s="286"/>
      <c r="HR6" s="286"/>
      <c r="HS6" s="286"/>
      <c r="HT6" s="2286"/>
      <c r="HU6" s="1735"/>
      <c r="HV6" s="1735"/>
      <c r="HW6" s="1735"/>
      <c r="HX6" s="1735"/>
    </row>
    <row r="7" spans="1:237" s="276" customFormat="1" ht="18" hidden="1" customHeight="1">
      <c r="A7" s="275"/>
      <c r="C7" s="337" t="s">
        <v>552</v>
      </c>
      <c r="D7" s="3869">
        <v>2007</v>
      </c>
      <c r="E7" s="3870"/>
      <c r="F7" s="3870"/>
      <c r="G7" s="3870"/>
      <c r="H7" s="3870"/>
      <c r="I7" s="3870"/>
      <c r="J7" s="3870"/>
      <c r="K7" s="3870"/>
      <c r="L7" s="3870"/>
      <c r="M7" s="3870"/>
      <c r="N7" s="3870"/>
      <c r="O7" s="3871"/>
      <c r="P7" s="3872">
        <v>2008</v>
      </c>
      <c r="Q7" s="3873"/>
      <c r="R7" s="3873"/>
      <c r="S7" s="3873"/>
      <c r="T7" s="3873"/>
      <c r="U7" s="3873"/>
      <c r="V7" s="3873"/>
      <c r="W7" s="3873"/>
      <c r="X7" s="3873"/>
      <c r="Y7" s="3873"/>
      <c r="Z7" s="3873"/>
      <c r="AA7" s="3873"/>
      <c r="AB7" s="3896">
        <v>2009</v>
      </c>
      <c r="AC7" s="3897"/>
      <c r="AD7" s="3897"/>
      <c r="AE7" s="3897"/>
      <c r="AF7" s="3897"/>
      <c r="AG7" s="3897"/>
      <c r="AH7" s="3897"/>
      <c r="AI7" s="3897"/>
      <c r="AJ7" s="3897"/>
      <c r="AK7" s="3897"/>
      <c r="AL7" s="3897"/>
      <c r="AM7" s="3898"/>
      <c r="AN7" s="3877">
        <v>2010</v>
      </c>
      <c r="AO7" s="3878"/>
      <c r="AP7" s="3878"/>
      <c r="AQ7" s="3878"/>
      <c r="AR7" s="3878"/>
      <c r="AS7" s="3878"/>
      <c r="AT7" s="3878"/>
      <c r="AU7" s="3878"/>
      <c r="AV7" s="3878"/>
      <c r="AW7" s="3878"/>
      <c r="AX7" s="3878"/>
      <c r="AY7" s="3878"/>
      <c r="AZ7" s="3879">
        <v>2011</v>
      </c>
      <c r="BA7" s="3880"/>
      <c r="BB7" s="3880"/>
      <c r="BC7" s="3880"/>
      <c r="BD7" s="3880"/>
      <c r="BE7" s="3880"/>
      <c r="BF7" s="3880"/>
      <c r="BG7" s="3880"/>
      <c r="BH7" s="3880"/>
      <c r="BI7" s="3880"/>
      <c r="BJ7" s="3880"/>
      <c r="BK7" s="3881"/>
      <c r="BL7" s="3862">
        <v>2012</v>
      </c>
      <c r="BM7" s="3863"/>
      <c r="BN7" s="3863"/>
      <c r="BO7" s="288"/>
      <c r="BP7" s="288"/>
      <c r="BQ7" s="288"/>
      <c r="BR7" s="288"/>
      <c r="BS7" s="288"/>
      <c r="BT7" s="289"/>
      <c r="BU7" s="290"/>
      <c r="BV7" s="290"/>
      <c r="BW7" s="290"/>
      <c r="BX7" s="291">
        <v>2013</v>
      </c>
      <c r="BY7" s="292"/>
      <c r="BZ7" s="292"/>
      <c r="CA7" s="292"/>
      <c r="CB7" s="292"/>
      <c r="CC7" s="292"/>
      <c r="CD7" s="292"/>
      <c r="CE7" s="292"/>
      <c r="CF7" s="292"/>
      <c r="CG7" s="292"/>
      <c r="CH7" s="292"/>
      <c r="CI7" s="292"/>
      <c r="CJ7" s="293">
        <v>2014</v>
      </c>
      <c r="CK7" s="294"/>
      <c r="CL7" s="294"/>
      <c r="CM7" s="294"/>
      <c r="CN7" s="294"/>
      <c r="CO7" s="294"/>
      <c r="CP7" s="294"/>
      <c r="CQ7" s="294"/>
      <c r="CR7" s="294"/>
      <c r="CS7" s="294"/>
      <c r="CT7" s="294"/>
      <c r="CU7" s="295"/>
      <c r="CV7" s="296">
        <v>2015</v>
      </c>
      <c r="CW7" s="297"/>
      <c r="CX7" s="297"/>
      <c r="CY7" s="297"/>
      <c r="CZ7" s="297"/>
      <c r="DA7" s="297"/>
      <c r="DB7" s="297"/>
      <c r="DC7" s="297"/>
      <c r="DD7" s="297"/>
      <c r="DE7" s="297"/>
      <c r="DF7" s="287"/>
      <c r="DG7" s="287"/>
      <c r="DH7" s="3909">
        <v>2016</v>
      </c>
      <c r="DI7" s="3910"/>
      <c r="DJ7" s="3910"/>
      <c r="DK7" s="3910"/>
      <c r="DL7" s="3910"/>
      <c r="DM7" s="3910"/>
      <c r="DN7" s="3910"/>
      <c r="DO7" s="3910"/>
      <c r="DP7" s="3910"/>
      <c r="DQ7" s="3910"/>
      <c r="DR7" s="3910"/>
      <c r="DS7" s="3911"/>
      <c r="DT7" s="1480">
        <v>2017</v>
      </c>
      <c r="DU7" s="1480"/>
      <c r="DV7" s="1480"/>
      <c r="DW7" s="1480"/>
      <c r="DX7" s="1480"/>
      <c r="DY7" s="1480"/>
      <c r="DZ7" s="1676"/>
      <c r="EA7" s="1676"/>
      <c r="EB7" s="1676"/>
      <c r="EC7" s="1676"/>
      <c r="ED7" s="1676"/>
      <c r="EE7" s="1676"/>
      <c r="EF7" s="1480">
        <v>2017</v>
      </c>
      <c r="EG7" s="1480"/>
      <c r="EH7" s="1480"/>
      <c r="EI7" s="1480"/>
      <c r="EJ7" s="1480"/>
      <c r="EK7" s="1480"/>
      <c r="EL7" s="1676"/>
      <c r="EM7" s="1676"/>
      <c r="EN7" s="1676"/>
      <c r="EO7" s="1676"/>
      <c r="EP7" s="1676"/>
      <c r="EQ7" s="1676"/>
      <c r="ER7" s="1480">
        <v>2017</v>
      </c>
      <c r="ES7" s="1480"/>
      <c r="ET7" s="1480"/>
      <c r="EU7" s="1480"/>
      <c r="EV7" s="1480"/>
      <c r="EW7" s="1480"/>
      <c r="EX7" s="1676"/>
      <c r="EY7" s="1676"/>
      <c r="EZ7" s="1676"/>
      <c r="FA7" s="1676"/>
      <c r="FB7" s="1676"/>
      <c r="FC7" s="1676"/>
      <c r="FD7" s="2430"/>
      <c r="FE7" s="279"/>
      <c r="FF7" s="3864">
        <v>2007</v>
      </c>
      <c r="FG7" s="3865"/>
      <c r="FH7" s="3865"/>
      <c r="FI7" s="3865"/>
      <c r="FJ7" s="3866">
        <v>2008</v>
      </c>
      <c r="FK7" s="3867"/>
      <c r="FL7" s="3867"/>
      <c r="FM7" s="3868"/>
      <c r="FN7" s="3887">
        <v>2009</v>
      </c>
      <c r="FO7" s="3888"/>
      <c r="FP7" s="3888"/>
      <c r="FQ7" s="3888"/>
      <c r="FR7" s="3889">
        <v>2010</v>
      </c>
      <c r="FS7" s="3890"/>
      <c r="FT7" s="3890"/>
      <c r="FU7" s="3891"/>
      <c r="FV7" s="3892">
        <v>2011</v>
      </c>
      <c r="FW7" s="3893"/>
      <c r="FX7" s="3893"/>
      <c r="FY7" s="3894"/>
      <c r="FZ7" s="3903">
        <v>2012</v>
      </c>
      <c r="GA7" s="3904"/>
      <c r="GB7" s="3904"/>
      <c r="GC7" s="3904"/>
      <c r="GD7" s="338">
        <v>2013</v>
      </c>
      <c r="GE7" s="338"/>
      <c r="GF7" s="338"/>
      <c r="GG7" s="338"/>
      <c r="GH7" s="339">
        <v>2014</v>
      </c>
      <c r="GI7" s="339"/>
      <c r="GJ7" s="339"/>
      <c r="GK7" s="339"/>
      <c r="GL7" s="340">
        <v>2015</v>
      </c>
      <c r="GM7" s="340"/>
      <c r="GN7" s="340"/>
      <c r="GO7" s="1537">
        <v>2016</v>
      </c>
      <c r="GP7" s="1537"/>
      <c r="GQ7" s="1537"/>
      <c r="GR7" s="1537"/>
      <c r="GS7" s="1538">
        <v>2017</v>
      </c>
      <c r="GT7" s="1538"/>
      <c r="GU7" s="1479"/>
      <c r="GV7" s="279"/>
      <c r="GW7" s="279"/>
      <c r="GX7" s="338"/>
      <c r="GY7" s="338"/>
      <c r="GZ7" s="338"/>
      <c r="HA7" s="279"/>
      <c r="HB7" s="338"/>
      <c r="HC7" s="338"/>
      <c r="HD7" s="338"/>
      <c r="HE7" s="832">
        <v>2007</v>
      </c>
      <c r="HF7" s="833">
        <v>2008</v>
      </c>
      <c r="HG7" s="833">
        <v>2009</v>
      </c>
      <c r="HH7" s="833">
        <v>2010</v>
      </c>
      <c r="HI7" s="833">
        <v>2011</v>
      </c>
      <c r="HJ7" s="833">
        <v>2012</v>
      </c>
      <c r="HK7" s="833">
        <v>2013</v>
      </c>
      <c r="HL7" s="833">
        <v>2014</v>
      </c>
      <c r="HM7" s="3901" t="s">
        <v>553</v>
      </c>
      <c r="HN7" s="3901">
        <v>2016</v>
      </c>
      <c r="HO7" s="3917" t="s">
        <v>924</v>
      </c>
      <c r="HP7" s="298"/>
      <c r="HQ7" s="298"/>
      <c r="HR7" s="298"/>
      <c r="HS7" s="467"/>
      <c r="HT7" s="2287"/>
      <c r="HU7" s="1735"/>
      <c r="HV7" s="1735"/>
      <c r="HW7" s="1735"/>
      <c r="HX7" s="1735"/>
    </row>
    <row r="8" spans="1:237" s="276" customFormat="1" ht="6.75" hidden="1" customHeight="1">
      <c r="A8" s="275"/>
      <c r="C8" s="341"/>
      <c r="D8" s="299"/>
      <c r="E8" s="287"/>
      <c r="F8" s="287"/>
      <c r="G8" s="287"/>
      <c r="H8" s="287"/>
      <c r="I8" s="287"/>
      <c r="J8" s="287"/>
      <c r="K8" s="287"/>
      <c r="L8" s="287"/>
      <c r="M8" s="287"/>
      <c r="N8" s="287"/>
      <c r="O8" s="287"/>
      <c r="P8" s="300"/>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7"/>
      <c r="AX8" s="287"/>
      <c r="AY8" s="287"/>
      <c r="AZ8" s="301"/>
      <c r="BA8" s="287"/>
      <c r="BB8" s="287"/>
      <c r="BC8" s="287"/>
      <c r="BD8" s="287"/>
      <c r="BE8" s="287"/>
      <c r="BF8" s="287"/>
      <c r="BG8" s="287"/>
      <c r="BH8" s="287"/>
      <c r="BI8" s="287"/>
      <c r="BJ8" s="287"/>
      <c r="BK8" s="302"/>
      <c r="BL8" s="303"/>
      <c r="BM8" s="304"/>
      <c r="BN8" s="304"/>
      <c r="BO8" s="304"/>
      <c r="BP8" s="304"/>
      <c r="BQ8" s="304"/>
      <c r="BR8" s="304"/>
      <c r="BS8" s="304"/>
      <c r="BT8" s="304"/>
      <c r="BU8" s="304"/>
      <c r="BV8" s="304"/>
      <c r="BW8" s="304"/>
      <c r="BX8" s="305"/>
      <c r="BY8" s="304"/>
      <c r="BZ8" s="304"/>
      <c r="CA8" s="304"/>
      <c r="CB8" s="304"/>
      <c r="CC8" s="304"/>
      <c r="CD8" s="304"/>
      <c r="CE8" s="304"/>
      <c r="CF8" s="304"/>
      <c r="CG8" s="304"/>
      <c r="CH8" s="304"/>
      <c r="CI8" s="304"/>
      <c r="CJ8" s="306"/>
      <c r="CK8" s="307"/>
      <c r="CL8" s="307"/>
      <c r="CM8" s="307"/>
      <c r="CN8" s="307"/>
      <c r="CO8" s="307"/>
      <c r="CP8" s="307"/>
      <c r="CQ8" s="307"/>
      <c r="CR8" s="307"/>
      <c r="CS8" s="307"/>
      <c r="CT8" s="307"/>
      <c r="CU8" s="308"/>
      <c r="CV8" s="309"/>
      <c r="CW8" s="310"/>
      <c r="CX8" s="310"/>
      <c r="CY8" s="310"/>
      <c r="CZ8" s="310"/>
      <c r="DA8" s="310"/>
      <c r="DB8" s="310"/>
      <c r="DC8" s="310"/>
      <c r="DD8" s="310"/>
      <c r="DE8" s="310"/>
      <c r="DF8" s="310"/>
      <c r="DG8" s="310"/>
      <c r="DH8" s="1481"/>
      <c r="DI8" s="1481"/>
      <c r="DJ8" s="1481"/>
      <c r="DK8" s="1481"/>
      <c r="DL8" s="1481"/>
      <c r="DM8" s="1481"/>
      <c r="DN8" s="1481"/>
      <c r="DO8" s="1481"/>
      <c r="DP8" s="1481"/>
      <c r="DQ8" s="1481"/>
      <c r="DR8" s="1481"/>
      <c r="DS8" s="1481"/>
      <c r="DT8" s="1482"/>
      <c r="DU8" s="1482"/>
      <c r="DV8" s="1482"/>
      <c r="DW8" s="1482"/>
      <c r="DX8" s="1482"/>
      <c r="DY8" s="1482"/>
      <c r="DZ8" s="1524"/>
      <c r="EA8" s="1524"/>
      <c r="EB8" s="1524"/>
      <c r="EC8" s="1524"/>
      <c r="ED8" s="1524"/>
      <c r="EE8" s="1524"/>
      <c r="EF8" s="1482"/>
      <c r="EG8" s="1482"/>
      <c r="EH8" s="1482"/>
      <c r="EI8" s="1482"/>
      <c r="EJ8" s="1482"/>
      <c r="EK8" s="1482"/>
      <c r="EL8" s="1524"/>
      <c r="EM8" s="1524"/>
      <c r="EN8" s="1524"/>
      <c r="EO8" s="1524"/>
      <c r="EP8" s="1524"/>
      <c r="EQ8" s="1524"/>
      <c r="ER8" s="1482"/>
      <c r="ES8" s="1482"/>
      <c r="ET8" s="1482"/>
      <c r="EU8" s="1482"/>
      <c r="EV8" s="1482"/>
      <c r="EW8" s="1482"/>
      <c r="EX8" s="1524"/>
      <c r="EY8" s="1524"/>
      <c r="EZ8" s="1524"/>
      <c r="FA8" s="1524"/>
      <c r="FB8" s="1524"/>
      <c r="FC8" s="1524"/>
      <c r="FD8" s="2430"/>
      <c r="FE8" s="311"/>
      <c r="FF8" s="287"/>
      <c r="FG8" s="287"/>
      <c r="FH8" s="287"/>
      <c r="FI8" s="287"/>
      <c r="FJ8" s="287"/>
      <c r="FK8" s="287"/>
      <c r="FL8" s="287"/>
      <c r="FM8" s="287"/>
      <c r="FN8" s="287"/>
      <c r="FO8" s="287"/>
      <c r="FP8" s="287"/>
      <c r="FQ8" s="287"/>
      <c r="FR8" s="287"/>
      <c r="FS8" s="287"/>
      <c r="FT8" s="287"/>
      <c r="FU8" s="287"/>
      <c r="FV8" s="312"/>
      <c r="FW8" s="312"/>
      <c r="FX8" s="312"/>
      <c r="FY8" s="312"/>
      <c r="FZ8" s="287"/>
      <c r="GA8" s="287"/>
      <c r="GB8" s="287"/>
      <c r="GC8" s="287"/>
      <c r="GD8" s="287"/>
      <c r="GE8" s="287"/>
      <c r="GF8" s="287"/>
      <c r="GG8" s="287"/>
      <c r="GH8" s="313"/>
      <c r="GI8" s="313"/>
      <c r="GJ8" s="313"/>
      <c r="GK8" s="313"/>
      <c r="GL8" s="313"/>
      <c r="GM8" s="313"/>
      <c r="GN8" s="313"/>
      <c r="GO8" s="1523"/>
      <c r="GP8" s="1523"/>
      <c r="GQ8" s="1523"/>
      <c r="GR8" s="1523"/>
      <c r="GS8" s="1535"/>
      <c r="GT8" s="1535"/>
      <c r="GU8" s="1523"/>
      <c r="GV8" s="287"/>
      <c r="GW8" s="287"/>
      <c r="GX8" s="287"/>
      <c r="GY8" s="287"/>
      <c r="GZ8" s="287"/>
      <c r="HA8" s="287"/>
      <c r="HB8" s="287"/>
      <c r="HC8" s="287"/>
      <c r="HD8" s="287"/>
      <c r="HE8" s="834"/>
      <c r="HF8" s="835"/>
      <c r="HG8" s="835"/>
      <c r="HH8" s="835"/>
      <c r="HI8" s="835"/>
      <c r="HJ8" s="835"/>
      <c r="HK8" s="835"/>
      <c r="HL8" s="835"/>
      <c r="HM8" s="3901"/>
      <c r="HN8" s="3901"/>
      <c r="HO8" s="3918"/>
      <c r="HP8" s="298"/>
      <c r="HQ8" s="298"/>
      <c r="HR8" s="298"/>
      <c r="HS8" s="467"/>
      <c r="HT8" s="2287"/>
      <c r="HU8" s="1735"/>
      <c r="HV8" s="1735"/>
      <c r="HW8" s="1735"/>
      <c r="HX8" s="1735"/>
    </row>
    <row r="9" spans="1:237" s="276" customFormat="1" ht="21" hidden="1" customHeight="1">
      <c r="A9" s="275"/>
      <c r="C9" s="298"/>
      <c r="D9" s="342" t="s">
        <v>37</v>
      </c>
      <c r="E9" s="343" t="s">
        <v>38</v>
      </c>
      <c r="F9" s="343" t="s">
        <v>39</v>
      </c>
      <c r="G9" s="343" t="s">
        <v>40</v>
      </c>
      <c r="H9" s="343" t="s">
        <v>41</v>
      </c>
      <c r="I9" s="343" t="s">
        <v>42</v>
      </c>
      <c r="J9" s="343" t="s">
        <v>43</v>
      </c>
      <c r="K9" s="343" t="s">
        <v>44</v>
      </c>
      <c r="L9" s="343" t="s">
        <v>45</v>
      </c>
      <c r="M9" s="343" t="s">
        <v>46</v>
      </c>
      <c r="N9" s="343" t="s">
        <v>47</v>
      </c>
      <c r="O9" s="344" t="s">
        <v>48</v>
      </c>
      <c r="P9" s="342" t="s">
        <v>37</v>
      </c>
      <c r="Q9" s="343" t="s">
        <v>38</v>
      </c>
      <c r="R9" s="343" t="s">
        <v>39</v>
      </c>
      <c r="S9" s="343" t="s">
        <v>40</v>
      </c>
      <c r="T9" s="343" t="s">
        <v>41</v>
      </c>
      <c r="U9" s="343" t="s">
        <v>42</v>
      </c>
      <c r="V9" s="343" t="s">
        <v>43</v>
      </c>
      <c r="W9" s="343" t="s">
        <v>44</v>
      </c>
      <c r="X9" s="343" t="s">
        <v>45</v>
      </c>
      <c r="Y9" s="343" t="s">
        <v>46</v>
      </c>
      <c r="Z9" s="343" t="s">
        <v>47</v>
      </c>
      <c r="AA9" s="344" t="s">
        <v>48</v>
      </c>
      <c r="AB9" s="345" t="s">
        <v>37</v>
      </c>
      <c r="AC9" s="346" t="s">
        <v>38</v>
      </c>
      <c r="AD9" s="346" t="s">
        <v>39</v>
      </c>
      <c r="AE9" s="346" t="s">
        <v>40</v>
      </c>
      <c r="AF9" s="346" t="s">
        <v>41</v>
      </c>
      <c r="AG9" s="346" t="s">
        <v>42</v>
      </c>
      <c r="AH9" s="346" t="s">
        <v>43</v>
      </c>
      <c r="AI9" s="346" t="s">
        <v>44</v>
      </c>
      <c r="AJ9" s="346" t="s">
        <v>45</v>
      </c>
      <c r="AK9" s="346" t="s">
        <v>46</v>
      </c>
      <c r="AL9" s="346" t="s">
        <v>47</v>
      </c>
      <c r="AM9" s="346" t="s">
        <v>48</v>
      </c>
      <c r="AN9" s="346" t="s">
        <v>37</v>
      </c>
      <c r="AO9" s="346" t="s">
        <v>38</v>
      </c>
      <c r="AP9" s="346" t="s">
        <v>39</v>
      </c>
      <c r="AQ9" s="346" t="s">
        <v>40</v>
      </c>
      <c r="AR9" s="346" t="s">
        <v>41</v>
      </c>
      <c r="AS9" s="346" t="s">
        <v>42</v>
      </c>
      <c r="AT9" s="346" t="s">
        <v>43</v>
      </c>
      <c r="AU9" s="346" t="s">
        <v>44</v>
      </c>
      <c r="AV9" s="346" t="s">
        <v>45</v>
      </c>
      <c r="AW9" s="346" t="s">
        <v>46</v>
      </c>
      <c r="AX9" s="346" t="s">
        <v>47</v>
      </c>
      <c r="AY9" s="347" t="s">
        <v>48</v>
      </c>
      <c r="AZ9" s="348" t="s">
        <v>37</v>
      </c>
      <c r="BA9" s="349" t="s">
        <v>38</v>
      </c>
      <c r="BB9" s="349" t="s">
        <v>39</v>
      </c>
      <c r="BC9" s="349" t="s">
        <v>40</v>
      </c>
      <c r="BD9" s="349" t="s">
        <v>41</v>
      </c>
      <c r="BE9" s="349" t="s">
        <v>42</v>
      </c>
      <c r="BF9" s="349" t="s">
        <v>43</v>
      </c>
      <c r="BG9" s="349" t="s">
        <v>44</v>
      </c>
      <c r="BH9" s="349" t="s">
        <v>45</v>
      </c>
      <c r="BI9" s="349" t="s">
        <v>46</v>
      </c>
      <c r="BJ9" s="349" t="s">
        <v>47</v>
      </c>
      <c r="BK9" s="350" t="s">
        <v>48</v>
      </c>
      <c r="BL9" s="351" t="s">
        <v>37</v>
      </c>
      <c r="BM9" s="352" t="s">
        <v>38</v>
      </c>
      <c r="BN9" s="352" t="s">
        <v>39</v>
      </c>
      <c r="BO9" s="352" t="s">
        <v>40</v>
      </c>
      <c r="BP9" s="352" t="s">
        <v>41</v>
      </c>
      <c r="BQ9" s="352" t="s">
        <v>42</v>
      </c>
      <c r="BR9" s="352" t="s">
        <v>43</v>
      </c>
      <c r="BS9" s="352" t="s">
        <v>44</v>
      </c>
      <c r="BT9" s="353" t="s">
        <v>45</v>
      </c>
      <c r="BU9" s="353" t="s">
        <v>46</v>
      </c>
      <c r="BV9" s="353" t="s">
        <v>47</v>
      </c>
      <c r="BW9" s="352" t="s">
        <v>48</v>
      </c>
      <c r="BX9" s="354" t="s">
        <v>37</v>
      </c>
      <c r="BY9" s="355" t="s">
        <v>38</v>
      </c>
      <c r="BZ9" s="355" t="s">
        <v>39</v>
      </c>
      <c r="CA9" s="355" t="s">
        <v>40</v>
      </c>
      <c r="CB9" s="355" t="s">
        <v>41</v>
      </c>
      <c r="CC9" s="355" t="s">
        <v>42</v>
      </c>
      <c r="CD9" s="355" t="s">
        <v>43</v>
      </c>
      <c r="CE9" s="355" t="s">
        <v>44</v>
      </c>
      <c r="CF9" s="355" t="s">
        <v>45</v>
      </c>
      <c r="CG9" s="355" t="s">
        <v>46</v>
      </c>
      <c r="CH9" s="355" t="s">
        <v>47</v>
      </c>
      <c r="CI9" s="355" t="s">
        <v>48</v>
      </c>
      <c r="CJ9" s="356" t="s">
        <v>37</v>
      </c>
      <c r="CK9" s="346" t="s">
        <v>38</v>
      </c>
      <c r="CL9" s="346" t="s">
        <v>39</v>
      </c>
      <c r="CM9" s="346" t="s">
        <v>40</v>
      </c>
      <c r="CN9" s="346" t="s">
        <v>41</v>
      </c>
      <c r="CO9" s="346" t="s">
        <v>42</v>
      </c>
      <c r="CP9" s="346" t="s">
        <v>43</v>
      </c>
      <c r="CQ9" s="346" t="s">
        <v>44</v>
      </c>
      <c r="CR9" s="346" t="s">
        <v>45</v>
      </c>
      <c r="CS9" s="346" t="s">
        <v>46</v>
      </c>
      <c r="CT9" s="346" t="s">
        <v>47</v>
      </c>
      <c r="CU9" s="357" t="s">
        <v>48</v>
      </c>
      <c r="CV9" s="355" t="s">
        <v>37</v>
      </c>
      <c r="CW9" s="355" t="s">
        <v>38</v>
      </c>
      <c r="CX9" s="355" t="s">
        <v>39</v>
      </c>
      <c r="CY9" s="355" t="s">
        <v>40</v>
      </c>
      <c r="CZ9" s="355" t="s">
        <v>41</v>
      </c>
      <c r="DA9" s="355" t="s">
        <v>42</v>
      </c>
      <c r="DB9" s="355" t="s">
        <v>43</v>
      </c>
      <c r="DC9" s="355" t="s">
        <v>44</v>
      </c>
      <c r="DD9" s="355" t="s">
        <v>45</v>
      </c>
      <c r="DE9" s="355" t="s">
        <v>46</v>
      </c>
      <c r="DF9" s="355"/>
      <c r="DG9" s="355"/>
      <c r="DH9" s="1483" t="s">
        <v>37</v>
      </c>
      <c r="DI9" s="1483" t="s">
        <v>38</v>
      </c>
      <c r="DJ9" s="1483" t="s">
        <v>39</v>
      </c>
      <c r="DK9" s="1483" t="s">
        <v>40</v>
      </c>
      <c r="DL9" s="1483" t="s">
        <v>41</v>
      </c>
      <c r="DM9" s="1483" t="s">
        <v>42</v>
      </c>
      <c r="DN9" s="1483" t="s">
        <v>43</v>
      </c>
      <c r="DO9" s="1483" t="s">
        <v>44</v>
      </c>
      <c r="DP9" s="1483" t="s">
        <v>202</v>
      </c>
      <c r="DQ9" s="1483" t="s">
        <v>46</v>
      </c>
      <c r="DR9" s="1483" t="s">
        <v>47</v>
      </c>
      <c r="DS9" s="1483" t="s">
        <v>48</v>
      </c>
      <c r="DT9" s="1484" t="s">
        <v>37</v>
      </c>
      <c r="DU9" s="1484" t="s">
        <v>38</v>
      </c>
      <c r="DV9" s="1484" t="s">
        <v>39</v>
      </c>
      <c r="DW9" s="1484" t="s">
        <v>40</v>
      </c>
      <c r="DX9" s="1484" t="s">
        <v>41</v>
      </c>
      <c r="DY9" s="1484" t="s">
        <v>42</v>
      </c>
      <c r="DZ9" s="1498"/>
      <c r="EA9" s="1498"/>
      <c r="EB9" s="1498"/>
      <c r="EC9" s="1498"/>
      <c r="ED9" s="1498"/>
      <c r="EE9" s="1498"/>
      <c r="EF9" s="1484" t="s">
        <v>37</v>
      </c>
      <c r="EG9" s="1484" t="s">
        <v>38</v>
      </c>
      <c r="EH9" s="1484" t="s">
        <v>39</v>
      </c>
      <c r="EI9" s="1484" t="s">
        <v>40</v>
      </c>
      <c r="EJ9" s="1484" t="s">
        <v>41</v>
      </c>
      <c r="EK9" s="1484" t="s">
        <v>42</v>
      </c>
      <c r="EL9" s="1498"/>
      <c r="EM9" s="1498"/>
      <c r="EN9" s="1498"/>
      <c r="EO9" s="1498"/>
      <c r="EP9" s="1498"/>
      <c r="EQ9" s="1498"/>
      <c r="ER9" s="1484" t="s">
        <v>37</v>
      </c>
      <c r="ES9" s="1484" t="s">
        <v>38</v>
      </c>
      <c r="ET9" s="1484" t="s">
        <v>39</v>
      </c>
      <c r="EU9" s="1484" t="s">
        <v>40</v>
      </c>
      <c r="EV9" s="1484" t="s">
        <v>41</v>
      </c>
      <c r="EW9" s="1484" t="s">
        <v>42</v>
      </c>
      <c r="EX9" s="1498"/>
      <c r="EY9" s="1498"/>
      <c r="EZ9" s="1498"/>
      <c r="FA9" s="1498"/>
      <c r="FB9" s="1498"/>
      <c r="FC9" s="1498"/>
      <c r="FD9" s="1498"/>
      <c r="FE9" s="279"/>
      <c r="FF9" s="358" t="s">
        <v>186</v>
      </c>
      <c r="FG9" s="359" t="s">
        <v>554</v>
      </c>
      <c r="FH9" s="359" t="s">
        <v>555</v>
      </c>
      <c r="FI9" s="360" t="s">
        <v>556</v>
      </c>
      <c r="FJ9" s="358" t="s">
        <v>186</v>
      </c>
      <c r="FK9" s="359" t="s">
        <v>554</v>
      </c>
      <c r="FL9" s="359" t="s">
        <v>555</v>
      </c>
      <c r="FM9" s="360" t="s">
        <v>556</v>
      </c>
      <c r="FN9" s="361" t="s">
        <v>186</v>
      </c>
      <c r="FO9" s="362" t="s">
        <v>554</v>
      </c>
      <c r="FP9" s="362" t="s">
        <v>557</v>
      </c>
      <c r="FQ9" s="362" t="s">
        <v>558</v>
      </c>
      <c r="FR9" s="363" t="s">
        <v>186</v>
      </c>
      <c r="FS9" s="364" t="s">
        <v>559</v>
      </c>
      <c r="FT9" s="364" t="s">
        <v>560</v>
      </c>
      <c r="FU9" s="365" t="s">
        <v>556</v>
      </c>
      <c r="FV9" s="366" t="s">
        <v>186</v>
      </c>
      <c r="FW9" s="367" t="s">
        <v>554</v>
      </c>
      <c r="FX9" s="367" t="s">
        <v>557</v>
      </c>
      <c r="FY9" s="368" t="s">
        <v>558</v>
      </c>
      <c r="FZ9" s="369" t="s">
        <v>186</v>
      </c>
      <c r="GA9" s="369" t="s">
        <v>554</v>
      </c>
      <c r="GB9" s="369" t="s">
        <v>557</v>
      </c>
      <c r="GC9" s="369" t="s">
        <v>558</v>
      </c>
      <c r="GD9" s="369" t="s">
        <v>186</v>
      </c>
      <c r="GE9" s="369" t="s">
        <v>554</v>
      </c>
      <c r="GF9" s="369" t="s">
        <v>557</v>
      </c>
      <c r="GG9" s="369" t="s">
        <v>558</v>
      </c>
      <c r="GH9" s="369" t="s">
        <v>186</v>
      </c>
      <c r="GI9" s="369" t="s">
        <v>554</v>
      </c>
      <c r="GJ9" s="369" t="s">
        <v>557</v>
      </c>
      <c r="GK9" s="369" t="s">
        <v>558</v>
      </c>
      <c r="GL9" s="369" t="s">
        <v>186</v>
      </c>
      <c r="GM9" s="369" t="s">
        <v>554</v>
      </c>
      <c r="GN9" s="369" t="s">
        <v>557</v>
      </c>
      <c r="GO9" s="1539" t="s">
        <v>186</v>
      </c>
      <c r="GP9" s="1539" t="s">
        <v>554</v>
      </c>
      <c r="GQ9" s="60" t="s">
        <v>557</v>
      </c>
      <c r="GR9" s="60" t="s">
        <v>558</v>
      </c>
      <c r="GS9" s="1540" t="s">
        <v>186</v>
      </c>
      <c r="GT9" s="1539" t="s">
        <v>554</v>
      </c>
      <c r="GU9" s="1479"/>
      <c r="GV9" s="279"/>
      <c r="GW9" s="369"/>
      <c r="GX9" s="369"/>
      <c r="GY9" s="369"/>
      <c r="GZ9" s="369"/>
      <c r="HA9" s="369"/>
      <c r="HB9" s="369"/>
      <c r="HC9" s="369"/>
      <c r="HD9" s="369"/>
      <c r="HE9" s="834" t="s">
        <v>49</v>
      </c>
      <c r="HF9" s="834" t="s">
        <v>49</v>
      </c>
      <c r="HG9" s="834" t="s">
        <v>49</v>
      </c>
      <c r="HH9" s="834" t="s">
        <v>49</v>
      </c>
      <c r="HI9" s="834" t="s">
        <v>49</v>
      </c>
      <c r="HJ9" s="834" t="s">
        <v>49</v>
      </c>
      <c r="HK9" s="834" t="s">
        <v>49</v>
      </c>
      <c r="HL9" s="834" t="s">
        <v>49</v>
      </c>
      <c r="HM9" s="3901"/>
      <c r="HN9" s="3901" t="s">
        <v>49</v>
      </c>
      <c r="HO9" s="3919"/>
      <c r="HP9" s="298"/>
      <c r="HQ9" s="298"/>
      <c r="HR9" s="298"/>
      <c r="HS9" s="467"/>
      <c r="HT9" s="2287"/>
      <c r="HU9" s="1735"/>
      <c r="HV9" s="1735"/>
      <c r="HW9" s="1735"/>
      <c r="HX9" s="1735"/>
    </row>
    <row r="10" spans="1:237" s="341" customFormat="1" ht="21.95" hidden="1" customHeight="1">
      <c r="A10" s="370"/>
      <c r="C10" s="371" t="s">
        <v>561</v>
      </c>
      <c r="D10" s="372">
        <v>4125</v>
      </c>
      <c r="E10" s="373">
        <v>5109</v>
      </c>
      <c r="F10" s="373">
        <v>3995</v>
      </c>
      <c r="G10" s="373">
        <v>3559</v>
      </c>
      <c r="H10" s="373">
        <v>4084</v>
      </c>
      <c r="I10" s="373">
        <v>7256</v>
      </c>
      <c r="J10" s="373">
        <v>7516</v>
      </c>
      <c r="K10" s="373">
        <v>5818</v>
      </c>
      <c r="L10" s="373">
        <v>4173</v>
      </c>
      <c r="M10" s="373">
        <v>3257</v>
      </c>
      <c r="N10" s="373">
        <v>4570</v>
      </c>
      <c r="O10" s="374">
        <v>5712</v>
      </c>
      <c r="P10" s="375">
        <v>3653</v>
      </c>
      <c r="Q10" s="376">
        <v>4175</v>
      </c>
      <c r="R10" s="376">
        <v>2857</v>
      </c>
      <c r="S10" s="376">
        <v>1942</v>
      </c>
      <c r="T10" s="376">
        <v>2424</v>
      </c>
      <c r="U10" s="376">
        <v>3478</v>
      </c>
      <c r="V10" s="376">
        <v>2812</v>
      </c>
      <c r="W10" s="376">
        <v>2074</v>
      </c>
      <c r="X10" s="376">
        <v>1182</v>
      </c>
      <c r="Y10" s="376">
        <v>1427</v>
      </c>
      <c r="Z10" s="376">
        <v>1712</v>
      </c>
      <c r="AA10" s="377">
        <v>2004</v>
      </c>
      <c r="AB10" s="378">
        <v>1619</v>
      </c>
      <c r="AC10" s="379">
        <v>2092</v>
      </c>
      <c r="AD10" s="379">
        <v>1575</v>
      </c>
      <c r="AE10" s="379">
        <v>1177</v>
      </c>
      <c r="AF10" s="379">
        <v>2237</v>
      </c>
      <c r="AG10" s="379">
        <v>3296</v>
      </c>
      <c r="AH10" s="379">
        <v>3158</v>
      </c>
      <c r="AI10" s="379">
        <v>4901</v>
      </c>
      <c r="AJ10" s="379">
        <v>3664</v>
      </c>
      <c r="AK10" s="379">
        <v>3532</v>
      </c>
      <c r="AL10" s="379">
        <v>4094</v>
      </c>
      <c r="AM10" s="379">
        <v>5688</v>
      </c>
      <c r="AN10" s="380">
        <v>4126</v>
      </c>
      <c r="AO10" s="380">
        <v>4096</v>
      </c>
      <c r="AP10" s="380">
        <v>3069</v>
      </c>
      <c r="AQ10" s="380">
        <v>2441</v>
      </c>
      <c r="AR10" s="380">
        <v>3614</v>
      </c>
      <c r="AS10" s="380">
        <v>4973</v>
      </c>
      <c r="AT10" s="380">
        <v>3726</v>
      </c>
      <c r="AU10" s="380">
        <v>4284</v>
      </c>
      <c r="AV10" s="380">
        <v>4206</v>
      </c>
      <c r="AW10" s="380">
        <v>3205</v>
      </c>
      <c r="AX10" s="380">
        <v>3757</v>
      </c>
      <c r="AY10" s="381">
        <v>4309</v>
      </c>
      <c r="AZ10" s="382">
        <v>3744</v>
      </c>
      <c r="BA10" s="383">
        <v>4035</v>
      </c>
      <c r="BB10" s="383">
        <v>3052</v>
      </c>
      <c r="BC10" s="383">
        <v>2818</v>
      </c>
      <c r="BD10" s="383">
        <v>2629</v>
      </c>
      <c r="BE10" s="383">
        <v>4974</v>
      </c>
      <c r="BF10" s="383">
        <v>3543</v>
      </c>
      <c r="BG10" s="383">
        <v>3098</v>
      </c>
      <c r="BH10" s="383">
        <v>2495</v>
      </c>
      <c r="BI10" s="383">
        <v>2223</v>
      </c>
      <c r="BJ10" s="383">
        <v>2836</v>
      </c>
      <c r="BK10" s="384">
        <v>3329</v>
      </c>
      <c r="BL10" s="385">
        <v>5325</v>
      </c>
      <c r="BM10" s="386">
        <v>3242</v>
      </c>
      <c r="BN10" s="386">
        <v>2313</v>
      </c>
      <c r="BO10" s="386">
        <v>1550</v>
      </c>
      <c r="BP10" s="386">
        <v>1783</v>
      </c>
      <c r="BQ10" s="386">
        <v>2956</v>
      </c>
      <c r="BR10" s="386">
        <v>2188</v>
      </c>
      <c r="BS10" s="386">
        <v>1977</v>
      </c>
      <c r="BT10" s="387">
        <v>1675</v>
      </c>
      <c r="BU10" s="387">
        <v>1300</v>
      </c>
      <c r="BV10" s="387">
        <v>2993</v>
      </c>
      <c r="BW10" s="388">
        <v>5640</v>
      </c>
      <c r="BX10" s="389">
        <v>3618</v>
      </c>
      <c r="BY10" s="390">
        <v>3340</v>
      </c>
      <c r="BZ10" s="390">
        <v>2667</v>
      </c>
      <c r="CA10" s="390">
        <v>2436</v>
      </c>
      <c r="CB10" s="390">
        <v>3369</v>
      </c>
      <c r="CC10" s="390">
        <v>5607</v>
      </c>
      <c r="CD10" s="390">
        <v>3901</v>
      </c>
      <c r="CE10" s="390">
        <v>3792</v>
      </c>
      <c r="CF10" s="390">
        <v>3812</v>
      </c>
      <c r="CG10" s="390">
        <v>3101</v>
      </c>
      <c r="CH10" s="390">
        <v>3939</v>
      </c>
      <c r="CI10" s="391">
        <v>7349</v>
      </c>
      <c r="CJ10" s="392">
        <v>3947</v>
      </c>
      <c r="CK10" s="393">
        <v>4481</v>
      </c>
      <c r="CL10" s="393">
        <v>3791</v>
      </c>
      <c r="CM10" s="393">
        <v>3116</v>
      </c>
      <c r="CN10" s="393">
        <v>3597</v>
      </c>
      <c r="CO10" s="393">
        <v>3912</v>
      </c>
      <c r="CP10" s="393">
        <v>5548</v>
      </c>
      <c r="CQ10" s="393">
        <v>3826</v>
      </c>
      <c r="CR10" s="393">
        <v>3484</v>
      </c>
      <c r="CS10" s="393">
        <v>4113</v>
      </c>
      <c r="CT10" s="393">
        <v>4509</v>
      </c>
      <c r="CU10" s="394">
        <v>9532</v>
      </c>
      <c r="CV10" s="395">
        <v>4858</v>
      </c>
      <c r="CW10" s="390">
        <v>5146</v>
      </c>
      <c r="CX10" s="391">
        <v>4036</v>
      </c>
      <c r="CY10" s="391">
        <v>3546</v>
      </c>
      <c r="CZ10" s="391">
        <v>4120</v>
      </c>
      <c r="DA10" s="391">
        <v>7490</v>
      </c>
      <c r="DB10" s="391">
        <v>7418</v>
      </c>
      <c r="DC10" s="391">
        <v>4723</v>
      </c>
      <c r="DD10" s="396">
        <v>4463</v>
      </c>
      <c r="DE10" s="391">
        <v>4758</v>
      </c>
      <c r="DF10" s="383"/>
      <c r="DG10" s="383"/>
      <c r="DH10" s="1485">
        <v>5764</v>
      </c>
      <c r="DI10" s="1486">
        <v>5469</v>
      </c>
      <c r="DJ10" s="1486">
        <v>4902</v>
      </c>
      <c r="DK10" s="1487">
        <v>3816</v>
      </c>
      <c r="DL10" s="1487">
        <v>4385</v>
      </c>
      <c r="DM10" s="1487">
        <v>7671</v>
      </c>
      <c r="DN10" s="1487">
        <v>7438</v>
      </c>
      <c r="DO10" s="1487">
        <v>5209</v>
      </c>
      <c r="DP10" s="1487">
        <v>5845</v>
      </c>
      <c r="DQ10" s="1487">
        <v>7124</v>
      </c>
      <c r="DR10" s="1487">
        <v>8072</v>
      </c>
      <c r="DS10" s="1486">
        <v>18166</v>
      </c>
      <c r="DT10" s="1488">
        <v>8336</v>
      </c>
      <c r="DU10" s="1488">
        <v>9615</v>
      </c>
      <c r="DV10" s="1488">
        <v>8820</v>
      </c>
      <c r="DW10" s="1488">
        <v>8980</v>
      </c>
      <c r="DX10" s="1488">
        <v>8939</v>
      </c>
      <c r="DY10" s="1488">
        <v>14372</v>
      </c>
      <c r="DZ10" s="1677"/>
      <c r="EA10" s="1677"/>
      <c r="EB10" s="1677"/>
      <c r="EC10" s="1677"/>
      <c r="ED10" s="1677"/>
      <c r="EE10" s="1677"/>
      <c r="EF10" s="1488">
        <v>8336</v>
      </c>
      <c r="EG10" s="1488">
        <v>9615</v>
      </c>
      <c r="EH10" s="1488">
        <v>8820</v>
      </c>
      <c r="EI10" s="1488">
        <v>8980</v>
      </c>
      <c r="EJ10" s="1488">
        <v>8939</v>
      </c>
      <c r="EK10" s="1488">
        <v>14372</v>
      </c>
      <c r="EL10" s="1677"/>
      <c r="EM10" s="1677"/>
      <c r="EN10" s="1677"/>
      <c r="EO10" s="1677"/>
      <c r="EP10" s="1677"/>
      <c r="EQ10" s="1677"/>
      <c r="ER10" s="1488">
        <v>8336</v>
      </c>
      <c r="ES10" s="1488">
        <v>9615</v>
      </c>
      <c r="ET10" s="1488">
        <v>8820</v>
      </c>
      <c r="EU10" s="1488">
        <v>8980</v>
      </c>
      <c r="EV10" s="1488">
        <v>8939</v>
      </c>
      <c r="EW10" s="1488">
        <v>14372</v>
      </c>
      <c r="EX10" s="1677"/>
      <c r="EY10" s="1677"/>
      <c r="EZ10" s="1677"/>
      <c r="FA10" s="1677"/>
      <c r="FB10" s="1677"/>
      <c r="FC10" s="1677"/>
      <c r="FD10" s="1677"/>
      <c r="FE10" s="279"/>
      <c r="FF10" s="397">
        <v>13229</v>
      </c>
      <c r="FG10" s="398">
        <v>14899</v>
      </c>
      <c r="FH10" s="398">
        <v>17507</v>
      </c>
      <c r="FI10" s="399">
        <v>13539</v>
      </c>
      <c r="FJ10" s="400">
        <v>10685</v>
      </c>
      <c r="FK10" s="401">
        <v>7844</v>
      </c>
      <c r="FL10" s="401">
        <v>6068</v>
      </c>
      <c r="FM10" s="402">
        <v>5143</v>
      </c>
      <c r="FN10" s="403">
        <v>5286</v>
      </c>
      <c r="FO10" s="404">
        <v>6710</v>
      </c>
      <c r="FP10" s="405">
        <v>11723</v>
      </c>
      <c r="FQ10" s="405">
        <v>13314</v>
      </c>
      <c r="FR10" s="406">
        <v>11291</v>
      </c>
      <c r="FS10" s="407">
        <v>11028</v>
      </c>
      <c r="FT10" s="407">
        <v>12216</v>
      </c>
      <c r="FU10" s="408">
        <v>11271</v>
      </c>
      <c r="FV10" s="409">
        <v>10831</v>
      </c>
      <c r="FW10" s="410">
        <v>10421</v>
      </c>
      <c r="FX10" s="410">
        <v>9136</v>
      </c>
      <c r="FY10" s="411">
        <v>8388</v>
      </c>
      <c r="FZ10" s="407">
        <v>10880</v>
      </c>
      <c r="GA10" s="407">
        <v>6289</v>
      </c>
      <c r="GB10" s="407">
        <v>5840</v>
      </c>
      <c r="GC10" s="407">
        <v>9933</v>
      </c>
      <c r="GD10" s="412">
        <v>9625</v>
      </c>
      <c r="GE10" s="412">
        <v>11412</v>
      </c>
      <c r="GF10" s="412">
        <v>11505</v>
      </c>
      <c r="GG10" s="412">
        <v>14389</v>
      </c>
      <c r="GH10" s="413">
        <v>12219</v>
      </c>
      <c r="GI10" s="413">
        <v>10625</v>
      </c>
      <c r="GJ10" s="413">
        <v>13487</v>
      </c>
      <c r="GK10" s="413">
        <v>18154</v>
      </c>
      <c r="GL10" s="414">
        <v>14040</v>
      </c>
      <c r="GM10" s="414">
        <v>12424</v>
      </c>
      <c r="GN10" s="414">
        <v>16899</v>
      </c>
      <c r="GO10" s="1541">
        <f>+DH10+DI10+DJ10</f>
        <v>16135</v>
      </c>
      <c r="GP10" s="1541">
        <f>+DM10+DL10+DK10</f>
        <v>15872</v>
      </c>
      <c r="GQ10" s="1541">
        <f>+DP10+DO10+DN10</f>
        <v>18492</v>
      </c>
      <c r="GR10" s="1541">
        <f>+DQ10+DR10+DS10</f>
        <v>33362</v>
      </c>
      <c r="GS10" s="1542">
        <f>+DT10+DU10+DV10</f>
        <v>26771</v>
      </c>
      <c r="GT10" s="1542">
        <f>+DW10+DX10+DY10</f>
        <v>32291</v>
      </c>
      <c r="GU10" s="1543"/>
      <c r="GV10" s="279"/>
      <c r="GW10" s="407"/>
      <c r="GX10" s="412"/>
      <c r="GY10" s="412"/>
      <c r="GZ10" s="412"/>
      <c r="HA10" s="407"/>
      <c r="HB10" s="412"/>
      <c r="HC10" s="412"/>
      <c r="HD10" s="412"/>
      <c r="HE10" s="836">
        <v>59174</v>
      </c>
      <c r="HF10" s="837">
        <v>29740</v>
      </c>
      <c r="HG10" s="837">
        <v>37033</v>
      </c>
      <c r="HH10" s="837">
        <v>45806</v>
      </c>
      <c r="HI10" s="837">
        <v>38776</v>
      </c>
      <c r="HJ10" s="837">
        <v>32942</v>
      </c>
      <c r="HK10" s="837">
        <v>46931</v>
      </c>
      <c r="HL10" s="837">
        <v>53856</v>
      </c>
      <c r="HM10" s="838">
        <v>64599</v>
      </c>
      <c r="HN10" s="838">
        <f>SUM(DI10:DT10)</f>
        <v>86433</v>
      </c>
      <c r="HO10" s="1568">
        <f>SUM(DO10:EE10)</f>
        <v>103478</v>
      </c>
      <c r="HP10" s="298"/>
      <c r="HQ10" s="298"/>
      <c r="HR10" s="298"/>
      <c r="HS10" s="467"/>
      <c r="HT10" s="2287"/>
      <c r="HU10" s="1736"/>
      <c r="HV10" s="1736"/>
      <c r="HW10" s="1736"/>
      <c r="HX10" s="1736"/>
    </row>
    <row r="11" spans="1:237" s="341" customFormat="1" ht="21.95" hidden="1" customHeight="1">
      <c r="A11" s="370"/>
      <c r="C11" s="371" t="s">
        <v>562</v>
      </c>
      <c r="D11" s="372">
        <v>25322</v>
      </c>
      <c r="E11" s="373">
        <v>24140</v>
      </c>
      <c r="F11" s="373">
        <v>28541</v>
      </c>
      <c r="G11" s="373">
        <v>23370</v>
      </c>
      <c r="H11" s="373">
        <v>24442</v>
      </c>
      <c r="I11" s="373">
        <v>33849</v>
      </c>
      <c r="J11" s="373">
        <v>42417</v>
      </c>
      <c r="K11" s="373">
        <v>36426</v>
      </c>
      <c r="L11" s="373">
        <v>27234</v>
      </c>
      <c r="M11" s="373">
        <v>30634</v>
      </c>
      <c r="N11" s="373">
        <v>31236</v>
      </c>
      <c r="O11" s="374">
        <v>31068</v>
      </c>
      <c r="P11" s="375">
        <v>31338</v>
      </c>
      <c r="Q11" s="376">
        <v>42315</v>
      </c>
      <c r="R11" s="376">
        <v>33948</v>
      </c>
      <c r="S11" s="376">
        <v>29163</v>
      </c>
      <c r="T11" s="376">
        <v>33174</v>
      </c>
      <c r="U11" s="376">
        <v>42106</v>
      </c>
      <c r="V11" s="376">
        <v>47672</v>
      </c>
      <c r="W11" s="376">
        <v>41502</v>
      </c>
      <c r="X11" s="376">
        <v>33136</v>
      </c>
      <c r="Y11" s="376">
        <v>35550</v>
      </c>
      <c r="Z11" s="376">
        <v>36578</v>
      </c>
      <c r="AA11" s="377">
        <v>35277</v>
      </c>
      <c r="AB11" s="378">
        <v>34285</v>
      </c>
      <c r="AC11" s="379">
        <v>30903</v>
      </c>
      <c r="AD11" s="379">
        <v>32667</v>
      </c>
      <c r="AE11" s="379">
        <v>31984</v>
      </c>
      <c r="AF11" s="379">
        <v>30536</v>
      </c>
      <c r="AG11" s="379">
        <v>43500</v>
      </c>
      <c r="AH11" s="379">
        <v>46911</v>
      </c>
      <c r="AI11" s="379">
        <v>39477</v>
      </c>
      <c r="AJ11" s="379">
        <v>29830</v>
      </c>
      <c r="AK11" s="379">
        <v>32427</v>
      </c>
      <c r="AL11" s="379">
        <v>34307</v>
      </c>
      <c r="AM11" s="379">
        <v>38005</v>
      </c>
      <c r="AN11" s="380">
        <v>34477</v>
      </c>
      <c r="AO11" s="380">
        <v>35747</v>
      </c>
      <c r="AP11" s="380">
        <v>34960</v>
      </c>
      <c r="AQ11" s="380">
        <v>29157</v>
      </c>
      <c r="AR11" s="380">
        <v>33502</v>
      </c>
      <c r="AS11" s="380">
        <v>41120</v>
      </c>
      <c r="AT11" s="380">
        <v>46040</v>
      </c>
      <c r="AU11" s="380">
        <v>38197</v>
      </c>
      <c r="AV11" s="380">
        <v>28797</v>
      </c>
      <c r="AW11" s="380">
        <v>35093</v>
      </c>
      <c r="AX11" s="380">
        <v>34414</v>
      </c>
      <c r="AY11" s="381">
        <v>36911</v>
      </c>
      <c r="AZ11" s="382">
        <v>33719</v>
      </c>
      <c r="BA11" s="383">
        <v>31943</v>
      </c>
      <c r="BB11" s="383">
        <v>36363</v>
      </c>
      <c r="BC11" s="383">
        <v>33131</v>
      </c>
      <c r="BD11" s="383">
        <v>35394</v>
      </c>
      <c r="BE11" s="383">
        <v>42870</v>
      </c>
      <c r="BF11" s="383">
        <v>47609</v>
      </c>
      <c r="BG11" s="383">
        <v>39938</v>
      </c>
      <c r="BH11" s="383">
        <v>32133</v>
      </c>
      <c r="BI11" s="383">
        <v>36359</v>
      </c>
      <c r="BJ11" s="383">
        <v>38237</v>
      </c>
      <c r="BK11" s="384">
        <v>40906</v>
      </c>
      <c r="BL11" s="385">
        <v>32448</v>
      </c>
      <c r="BM11" s="386">
        <v>32412</v>
      </c>
      <c r="BN11" s="386">
        <v>38350</v>
      </c>
      <c r="BO11" s="386">
        <v>34974</v>
      </c>
      <c r="BP11" s="386">
        <v>38937</v>
      </c>
      <c r="BQ11" s="386">
        <v>51210</v>
      </c>
      <c r="BR11" s="386">
        <v>53980</v>
      </c>
      <c r="BS11" s="386">
        <v>44235</v>
      </c>
      <c r="BT11" s="387">
        <v>38072</v>
      </c>
      <c r="BU11" s="387">
        <v>43564</v>
      </c>
      <c r="BV11" s="387">
        <v>43429</v>
      </c>
      <c r="BW11" s="388">
        <v>48905</v>
      </c>
      <c r="BX11" s="389">
        <v>42519</v>
      </c>
      <c r="BY11" s="390">
        <v>39834</v>
      </c>
      <c r="BZ11" s="390">
        <v>46360</v>
      </c>
      <c r="CA11" s="390">
        <v>39198</v>
      </c>
      <c r="CB11" s="390">
        <v>44734</v>
      </c>
      <c r="CC11" s="390">
        <v>55447</v>
      </c>
      <c r="CD11" s="390">
        <v>60218</v>
      </c>
      <c r="CE11" s="390">
        <v>48917</v>
      </c>
      <c r="CF11" s="390">
        <v>45574</v>
      </c>
      <c r="CG11" s="390">
        <v>49866</v>
      </c>
      <c r="CH11" s="390">
        <v>52322</v>
      </c>
      <c r="CI11" s="391">
        <v>57010</v>
      </c>
      <c r="CJ11" s="392">
        <v>47741</v>
      </c>
      <c r="CK11" s="393">
        <v>49141</v>
      </c>
      <c r="CL11" s="393">
        <v>47957</v>
      </c>
      <c r="CM11" s="393">
        <v>46454</v>
      </c>
      <c r="CN11" s="393">
        <v>48577</v>
      </c>
      <c r="CO11" s="393">
        <v>54883</v>
      </c>
      <c r="CP11" s="393">
        <v>65551</v>
      </c>
      <c r="CQ11" s="393">
        <v>53964</v>
      </c>
      <c r="CR11" s="393">
        <v>52370</v>
      </c>
      <c r="CS11" s="393">
        <v>55356</v>
      </c>
      <c r="CT11" s="393">
        <v>58748</v>
      </c>
      <c r="CU11" s="394">
        <v>68417</v>
      </c>
      <c r="CV11" s="395">
        <v>53366</v>
      </c>
      <c r="CW11" s="390">
        <v>48175</v>
      </c>
      <c r="CX11" s="391">
        <v>55357</v>
      </c>
      <c r="CY11" s="391">
        <v>50308</v>
      </c>
      <c r="CZ11" s="391">
        <v>52518</v>
      </c>
      <c r="DA11" s="391">
        <v>59648</v>
      </c>
      <c r="DB11" s="391">
        <v>65588</v>
      </c>
      <c r="DC11" s="391">
        <v>48271</v>
      </c>
      <c r="DD11" s="396">
        <v>47180</v>
      </c>
      <c r="DE11" s="391">
        <v>51691</v>
      </c>
      <c r="DF11" s="383"/>
      <c r="DG11" s="383"/>
      <c r="DH11" s="1485">
        <v>47069</v>
      </c>
      <c r="DI11" s="1486">
        <v>45969</v>
      </c>
      <c r="DJ11" s="1486">
        <v>49518</v>
      </c>
      <c r="DK11" s="1487">
        <v>37167</v>
      </c>
      <c r="DL11" s="1487">
        <v>41777</v>
      </c>
      <c r="DM11" s="1487">
        <v>53606</v>
      </c>
      <c r="DN11" s="1487">
        <v>58914</v>
      </c>
      <c r="DO11" s="1487">
        <v>42596</v>
      </c>
      <c r="DP11" s="1487">
        <v>34324</v>
      </c>
      <c r="DQ11" s="1487">
        <v>46707</v>
      </c>
      <c r="DR11" s="1487">
        <v>40239</v>
      </c>
      <c r="DS11" s="1486">
        <v>45879</v>
      </c>
      <c r="DT11" s="1488">
        <v>42278</v>
      </c>
      <c r="DU11" s="1488">
        <v>37817</v>
      </c>
      <c r="DV11" s="1488">
        <v>44201</v>
      </c>
      <c r="DW11" s="1488">
        <v>41228</v>
      </c>
      <c r="DX11" s="1488">
        <f>+DX12-DX10</f>
        <v>38096</v>
      </c>
      <c r="DY11" s="1488">
        <v>51494</v>
      </c>
      <c r="DZ11" s="1677"/>
      <c r="EA11" s="1677"/>
      <c r="EB11" s="1677"/>
      <c r="EC11" s="1677"/>
      <c r="ED11" s="1677"/>
      <c r="EE11" s="1677"/>
      <c r="EF11" s="1488">
        <v>42278</v>
      </c>
      <c r="EG11" s="1488">
        <v>37817</v>
      </c>
      <c r="EH11" s="1488">
        <v>44201</v>
      </c>
      <c r="EI11" s="1488">
        <v>41228</v>
      </c>
      <c r="EJ11" s="1488">
        <f>+EJ12-EJ10</f>
        <v>38096</v>
      </c>
      <c r="EK11" s="1488">
        <v>51494</v>
      </c>
      <c r="EL11" s="1677"/>
      <c r="EM11" s="1677"/>
      <c r="EN11" s="1677"/>
      <c r="EO11" s="1677"/>
      <c r="EP11" s="1677"/>
      <c r="EQ11" s="1677"/>
      <c r="ER11" s="1488">
        <v>42278</v>
      </c>
      <c r="ES11" s="1488">
        <v>37817</v>
      </c>
      <c r="ET11" s="1488">
        <v>44201</v>
      </c>
      <c r="EU11" s="1488">
        <v>41228</v>
      </c>
      <c r="EV11" s="1488">
        <f>+EV12-EV10</f>
        <v>38096</v>
      </c>
      <c r="EW11" s="1488">
        <v>51494</v>
      </c>
      <c r="EX11" s="1677"/>
      <c r="EY11" s="1677"/>
      <c r="EZ11" s="1677"/>
      <c r="FA11" s="1677"/>
      <c r="FB11" s="1677"/>
      <c r="FC11" s="1677"/>
      <c r="FD11" s="1677"/>
      <c r="FE11" s="279"/>
      <c r="FF11" s="397">
        <v>78003</v>
      </c>
      <c r="FG11" s="398">
        <v>81661</v>
      </c>
      <c r="FH11" s="398">
        <v>106077</v>
      </c>
      <c r="FI11" s="399">
        <v>92938</v>
      </c>
      <c r="FJ11" s="400">
        <v>107601</v>
      </c>
      <c r="FK11" s="401">
        <v>104443</v>
      </c>
      <c r="FL11" s="401">
        <v>122310</v>
      </c>
      <c r="FM11" s="402">
        <v>107405</v>
      </c>
      <c r="FN11" s="403">
        <v>97855</v>
      </c>
      <c r="FO11" s="404">
        <v>106020</v>
      </c>
      <c r="FP11" s="405">
        <v>116218</v>
      </c>
      <c r="FQ11" s="405">
        <v>104739</v>
      </c>
      <c r="FR11" s="406">
        <v>105184</v>
      </c>
      <c r="FS11" s="407">
        <v>103779</v>
      </c>
      <c r="FT11" s="407">
        <v>113034</v>
      </c>
      <c r="FU11" s="408">
        <v>106418</v>
      </c>
      <c r="FV11" s="409">
        <v>102025</v>
      </c>
      <c r="FW11" s="410">
        <v>111395</v>
      </c>
      <c r="FX11" s="410">
        <v>119680</v>
      </c>
      <c r="FY11" s="411">
        <v>115502</v>
      </c>
      <c r="FZ11" s="407">
        <v>103210</v>
      </c>
      <c r="GA11" s="407">
        <v>125121</v>
      </c>
      <c r="GB11" s="407">
        <v>136287</v>
      </c>
      <c r="GC11" s="407">
        <v>135898</v>
      </c>
      <c r="GD11" s="412">
        <v>128713</v>
      </c>
      <c r="GE11" s="412">
        <v>139379</v>
      </c>
      <c r="GF11" s="412">
        <v>154709</v>
      </c>
      <c r="GG11" s="412">
        <v>159198</v>
      </c>
      <c r="GH11" s="413">
        <v>144839</v>
      </c>
      <c r="GI11" s="413">
        <v>149914</v>
      </c>
      <c r="GJ11" s="413">
        <v>174871</v>
      </c>
      <c r="GK11" s="413">
        <v>182521</v>
      </c>
      <c r="GL11" s="414">
        <v>156898</v>
      </c>
      <c r="GM11" s="414">
        <v>154517</v>
      </c>
      <c r="GN11" s="414">
        <v>165550</v>
      </c>
      <c r="GO11" s="1541">
        <f>+DH11+DI11+DJ11</f>
        <v>142556</v>
      </c>
      <c r="GP11" s="1541">
        <f>+DM11+DL11+DK11</f>
        <v>132550</v>
      </c>
      <c r="GQ11" s="1541">
        <f>+DP11+DO11+DN11</f>
        <v>135834</v>
      </c>
      <c r="GR11" s="1541">
        <f>+DQ11+DR11+DS11</f>
        <v>132825</v>
      </c>
      <c r="GS11" s="1542">
        <f>+DT11+DU11+DV11</f>
        <v>124296</v>
      </c>
      <c r="GT11" s="1542">
        <f>+DW11+DX11+DY11</f>
        <v>130818</v>
      </c>
      <c r="GU11" s="1543"/>
      <c r="GV11" s="279"/>
      <c r="GW11" s="407"/>
      <c r="GX11" s="412"/>
      <c r="GY11" s="412"/>
      <c r="GZ11" s="412"/>
      <c r="HA11" s="407"/>
      <c r="HB11" s="412"/>
      <c r="HC11" s="412"/>
      <c r="HD11" s="412"/>
      <c r="HE11" s="836">
        <v>358679</v>
      </c>
      <c r="HF11" s="837">
        <v>441759</v>
      </c>
      <c r="HG11" s="837">
        <v>424832</v>
      </c>
      <c r="HH11" s="837">
        <v>428415</v>
      </c>
      <c r="HI11" s="837">
        <v>448602</v>
      </c>
      <c r="HJ11" s="837">
        <v>500516</v>
      </c>
      <c r="HK11" s="837">
        <v>581999</v>
      </c>
      <c r="HL11" s="837">
        <v>649159</v>
      </c>
      <c r="HM11" s="838">
        <v>659267</v>
      </c>
      <c r="HN11" s="838">
        <f>SUM(DI11:DT11)</f>
        <v>538974</v>
      </c>
      <c r="HO11" s="1568">
        <f>SUM(DO11:EE11)</f>
        <v>464859</v>
      </c>
      <c r="HP11" s="298"/>
      <c r="HQ11" s="298"/>
      <c r="HR11" s="298"/>
      <c r="HS11" s="467"/>
      <c r="HT11" s="2287"/>
      <c r="HU11" s="1736"/>
      <c r="HV11" s="1736"/>
      <c r="HW11" s="1736"/>
      <c r="HX11" s="1736"/>
    </row>
    <row r="12" spans="1:237" s="341" customFormat="1" ht="21.95" hidden="1" customHeight="1" thickBot="1">
      <c r="A12" s="370"/>
      <c r="C12" s="371" t="s">
        <v>54</v>
      </c>
      <c r="D12" s="418">
        <v>29447</v>
      </c>
      <c r="E12" s="419">
        <v>29249</v>
      </c>
      <c r="F12" s="419">
        <v>32536</v>
      </c>
      <c r="G12" s="419">
        <v>26929</v>
      </c>
      <c r="H12" s="419">
        <v>28526</v>
      </c>
      <c r="I12" s="419">
        <v>41105</v>
      </c>
      <c r="J12" s="419">
        <v>49933</v>
      </c>
      <c r="K12" s="419">
        <v>42244</v>
      </c>
      <c r="L12" s="419">
        <v>31407</v>
      </c>
      <c r="M12" s="419">
        <v>33891</v>
      </c>
      <c r="N12" s="419">
        <v>35806</v>
      </c>
      <c r="O12" s="420">
        <v>36780</v>
      </c>
      <c r="P12" s="421">
        <v>34991</v>
      </c>
      <c r="Q12" s="422">
        <v>46490</v>
      </c>
      <c r="R12" s="422">
        <v>36805</v>
      </c>
      <c r="S12" s="422">
        <v>31105</v>
      </c>
      <c r="T12" s="422">
        <v>35598</v>
      </c>
      <c r="U12" s="422">
        <v>45584</v>
      </c>
      <c r="V12" s="422">
        <v>50484</v>
      </c>
      <c r="W12" s="422">
        <v>43576</v>
      </c>
      <c r="X12" s="422">
        <v>34318</v>
      </c>
      <c r="Y12" s="422">
        <v>36977</v>
      </c>
      <c r="Z12" s="422">
        <v>38290</v>
      </c>
      <c r="AA12" s="423">
        <v>37281</v>
      </c>
      <c r="AB12" s="378">
        <v>35904</v>
      </c>
      <c r="AC12" s="379">
        <v>32995</v>
      </c>
      <c r="AD12" s="379">
        <v>34242</v>
      </c>
      <c r="AE12" s="379">
        <v>33161</v>
      </c>
      <c r="AF12" s="379">
        <v>32773</v>
      </c>
      <c r="AG12" s="379">
        <v>46796</v>
      </c>
      <c r="AH12" s="379">
        <v>50069</v>
      </c>
      <c r="AI12" s="379">
        <v>44378</v>
      </c>
      <c r="AJ12" s="379">
        <v>33494</v>
      </c>
      <c r="AK12" s="379">
        <v>35959</v>
      </c>
      <c r="AL12" s="379">
        <v>38401</v>
      </c>
      <c r="AM12" s="379">
        <v>43693</v>
      </c>
      <c r="AN12" s="380">
        <v>38603</v>
      </c>
      <c r="AO12" s="380">
        <v>39843</v>
      </c>
      <c r="AP12" s="380">
        <v>38029</v>
      </c>
      <c r="AQ12" s="380">
        <v>31598</v>
      </c>
      <c r="AR12" s="380">
        <v>37116</v>
      </c>
      <c r="AS12" s="380">
        <v>46093</v>
      </c>
      <c r="AT12" s="380">
        <v>49766</v>
      </c>
      <c r="AU12" s="380">
        <v>42481</v>
      </c>
      <c r="AV12" s="380">
        <v>33003</v>
      </c>
      <c r="AW12" s="380">
        <v>38298</v>
      </c>
      <c r="AX12" s="380">
        <v>38171</v>
      </c>
      <c r="AY12" s="381">
        <v>41220</v>
      </c>
      <c r="AZ12" s="424">
        <v>37463</v>
      </c>
      <c r="BA12" s="425">
        <v>35978</v>
      </c>
      <c r="BB12" s="425">
        <v>39415</v>
      </c>
      <c r="BC12" s="425">
        <v>35949</v>
      </c>
      <c r="BD12" s="425">
        <v>38023</v>
      </c>
      <c r="BE12" s="425">
        <v>47844</v>
      </c>
      <c r="BF12" s="425">
        <v>51152</v>
      </c>
      <c r="BG12" s="425">
        <v>43036</v>
      </c>
      <c r="BH12" s="425">
        <v>34628</v>
      </c>
      <c r="BI12" s="425">
        <v>38582</v>
      </c>
      <c r="BJ12" s="425">
        <v>41073</v>
      </c>
      <c r="BK12" s="426">
        <v>44235</v>
      </c>
      <c r="BL12" s="427">
        <v>37773</v>
      </c>
      <c r="BM12" s="428">
        <v>35654</v>
      </c>
      <c r="BN12" s="428">
        <v>40663</v>
      </c>
      <c r="BO12" s="428">
        <v>36524</v>
      </c>
      <c r="BP12" s="428">
        <v>40720</v>
      </c>
      <c r="BQ12" s="428">
        <v>54166</v>
      </c>
      <c r="BR12" s="428">
        <v>56168</v>
      </c>
      <c r="BS12" s="428">
        <v>46212</v>
      </c>
      <c r="BT12" s="429">
        <v>39747</v>
      </c>
      <c r="BU12" s="429">
        <v>44864</v>
      </c>
      <c r="BV12" s="429">
        <v>46422</v>
      </c>
      <c r="BW12" s="430">
        <v>54545</v>
      </c>
      <c r="BX12" s="431">
        <v>46137</v>
      </c>
      <c r="BY12" s="432">
        <v>43174</v>
      </c>
      <c r="BZ12" s="432">
        <v>49027</v>
      </c>
      <c r="CA12" s="432">
        <v>41634</v>
      </c>
      <c r="CB12" s="432">
        <v>48103</v>
      </c>
      <c r="CC12" s="432">
        <v>61054</v>
      </c>
      <c r="CD12" s="432">
        <v>64119</v>
      </c>
      <c r="CE12" s="432">
        <v>52709</v>
      </c>
      <c r="CF12" s="432">
        <v>49386</v>
      </c>
      <c r="CG12" s="432">
        <v>52967</v>
      </c>
      <c r="CH12" s="432">
        <v>56261</v>
      </c>
      <c r="CI12" s="433">
        <v>64359</v>
      </c>
      <c r="CJ12" s="434">
        <v>51688</v>
      </c>
      <c r="CK12" s="435">
        <v>53622</v>
      </c>
      <c r="CL12" s="435">
        <v>51748</v>
      </c>
      <c r="CM12" s="435">
        <v>49570</v>
      </c>
      <c r="CN12" s="435">
        <v>52174</v>
      </c>
      <c r="CO12" s="435">
        <v>58795</v>
      </c>
      <c r="CP12" s="435">
        <v>71099</v>
      </c>
      <c r="CQ12" s="435">
        <v>57790</v>
      </c>
      <c r="CR12" s="435">
        <v>55854</v>
      </c>
      <c r="CS12" s="435">
        <v>59469</v>
      </c>
      <c r="CT12" s="435">
        <v>63257</v>
      </c>
      <c r="CU12" s="436">
        <v>77949</v>
      </c>
      <c r="CV12" s="437">
        <v>58224</v>
      </c>
      <c r="CW12" s="438">
        <v>53321</v>
      </c>
      <c r="CX12" s="439">
        <v>59393</v>
      </c>
      <c r="CY12" s="439">
        <v>53854</v>
      </c>
      <c r="CZ12" s="439">
        <v>56638</v>
      </c>
      <c r="DA12" s="439">
        <v>67138</v>
      </c>
      <c r="DB12" s="439">
        <v>73006</v>
      </c>
      <c r="DC12" s="439">
        <v>52994</v>
      </c>
      <c r="DD12" s="440">
        <v>51643</v>
      </c>
      <c r="DE12" s="439">
        <v>56449</v>
      </c>
      <c r="DF12" s="383"/>
      <c r="DG12" s="383"/>
      <c r="DH12" s="1489">
        <v>52833</v>
      </c>
      <c r="DI12" s="1490">
        <v>51438</v>
      </c>
      <c r="DJ12" s="1490">
        <v>54420</v>
      </c>
      <c r="DK12" s="1491">
        <v>40983</v>
      </c>
      <c r="DL12" s="1491">
        <v>46162</v>
      </c>
      <c r="DM12" s="1491">
        <v>61277</v>
      </c>
      <c r="DN12" s="1491">
        <v>66352</v>
      </c>
      <c r="DO12" s="1491">
        <v>47805</v>
      </c>
      <c r="DP12" s="1491">
        <v>40169</v>
      </c>
      <c r="DQ12" s="1491">
        <v>53831</v>
      </c>
      <c r="DR12" s="1491">
        <v>48311</v>
      </c>
      <c r="DS12" s="1492">
        <v>64045</v>
      </c>
      <c r="DT12" s="1493">
        <v>50614</v>
      </c>
      <c r="DU12" s="1493">
        <v>47432</v>
      </c>
      <c r="DV12" s="1493">
        <v>53021</v>
      </c>
      <c r="DW12" s="1493">
        <f>SUM(DW10:DW11)</f>
        <v>50208</v>
      </c>
      <c r="DX12" s="1493">
        <v>47035</v>
      </c>
      <c r="DY12" s="1493">
        <v>65866</v>
      </c>
      <c r="DZ12" s="1678"/>
      <c r="EA12" s="1678"/>
      <c r="EB12" s="1678"/>
      <c r="EC12" s="1678"/>
      <c r="ED12" s="1678"/>
      <c r="EE12" s="1678"/>
      <c r="EF12" s="1493">
        <v>50614</v>
      </c>
      <c r="EG12" s="1493">
        <v>47432</v>
      </c>
      <c r="EH12" s="1493">
        <v>53021</v>
      </c>
      <c r="EI12" s="1493">
        <f>SUM(EI10:EI11)</f>
        <v>50208</v>
      </c>
      <c r="EJ12" s="1493">
        <v>47035</v>
      </c>
      <c r="EK12" s="1493">
        <v>65866</v>
      </c>
      <c r="EL12" s="1678"/>
      <c r="EM12" s="1678"/>
      <c r="EN12" s="1678"/>
      <c r="EO12" s="1678"/>
      <c r="EP12" s="1678"/>
      <c r="EQ12" s="1678"/>
      <c r="ER12" s="1493">
        <v>50614</v>
      </c>
      <c r="ES12" s="1493">
        <v>47432</v>
      </c>
      <c r="ET12" s="1493">
        <v>53021</v>
      </c>
      <c r="EU12" s="1493">
        <f>SUM(EU10:EU11)</f>
        <v>50208</v>
      </c>
      <c r="EV12" s="1493">
        <v>47035</v>
      </c>
      <c r="EW12" s="1493">
        <v>65866</v>
      </c>
      <c r="EX12" s="1678"/>
      <c r="EY12" s="1678"/>
      <c r="EZ12" s="1678"/>
      <c r="FA12" s="1678"/>
      <c r="FB12" s="1678"/>
      <c r="FC12" s="1678"/>
      <c r="FD12" s="1677"/>
      <c r="FE12" s="279"/>
      <c r="FF12" s="441">
        <v>91232</v>
      </c>
      <c r="FG12" s="442">
        <v>96560</v>
      </c>
      <c r="FH12" s="442">
        <v>123584</v>
      </c>
      <c r="FI12" s="443">
        <v>106477</v>
      </c>
      <c r="FJ12" s="444">
        <v>118286</v>
      </c>
      <c r="FK12" s="445">
        <v>112287</v>
      </c>
      <c r="FL12" s="445">
        <v>128378</v>
      </c>
      <c r="FM12" s="446">
        <v>112548</v>
      </c>
      <c r="FN12" s="447">
        <v>103141</v>
      </c>
      <c r="FO12" s="448">
        <v>112730</v>
      </c>
      <c r="FP12" s="448">
        <v>127941</v>
      </c>
      <c r="FQ12" s="448">
        <v>118053</v>
      </c>
      <c r="FR12" s="449">
        <v>116475</v>
      </c>
      <c r="FS12" s="450">
        <v>114807</v>
      </c>
      <c r="FT12" s="450">
        <v>125250</v>
      </c>
      <c r="FU12" s="408">
        <v>117689</v>
      </c>
      <c r="FV12" s="451">
        <v>112856</v>
      </c>
      <c r="FW12" s="452">
        <v>121816</v>
      </c>
      <c r="FX12" s="452">
        <v>128816</v>
      </c>
      <c r="FY12" s="453">
        <v>123890</v>
      </c>
      <c r="FZ12" s="407">
        <v>114090</v>
      </c>
      <c r="GA12" s="407">
        <v>131410</v>
      </c>
      <c r="GB12" s="407">
        <v>142127</v>
      </c>
      <c r="GC12" s="407">
        <v>145831</v>
      </c>
      <c r="GD12" s="412">
        <v>138338</v>
      </c>
      <c r="GE12" s="412">
        <v>150791</v>
      </c>
      <c r="GF12" s="412">
        <v>166214</v>
      </c>
      <c r="GG12" s="412">
        <v>173587</v>
      </c>
      <c r="GH12" s="413">
        <v>157058</v>
      </c>
      <c r="GI12" s="413">
        <v>160539</v>
      </c>
      <c r="GJ12" s="413">
        <v>188358</v>
      </c>
      <c r="GK12" s="413">
        <v>200675</v>
      </c>
      <c r="GL12" s="414">
        <v>170938</v>
      </c>
      <c r="GM12" s="414">
        <v>166941</v>
      </c>
      <c r="GN12" s="414">
        <v>182449</v>
      </c>
      <c r="GO12" s="1541">
        <f>+DH12+DI12+DJ12</f>
        <v>158691</v>
      </c>
      <c r="GP12" s="1541">
        <f>+DM12+DL12+DK12</f>
        <v>148422</v>
      </c>
      <c r="GQ12" s="1541">
        <f>+DP12+DO12+DN12</f>
        <v>154326</v>
      </c>
      <c r="GR12" s="1541">
        <f>+DQ12+DR12+DS12</f>
        <v>166187</v>
      </c>
      <c r="GS12" s="1542">
        <f>+DT12+DU12+DV12</f>
        <v>151067</v>
      </c>
      <c r="GT12" s="1542">
        <f>+DW12+DX12+DY12</f>
        <v>163109</v>
      </c>
      <c r="GU12" s="1543"/>
      <c r="GV12" s="279"/>
      <c r="GW12" s="407"/>
      <c r="GX12" s="412"/>
      <c r="GY12" s="412"/>
      <c r="GZ12" s="412"/>
      <c r="HA12" s="407"/>
      <c r="HB12" s="412"/>
      <c r="HC12" s="412"/>
      <c r="HD12" s="412"/>
      <c r="HE12" s="839">
        <v>417853</v>
      </c>
      <c r="HF12" s="840">
        <v>471499</v>
      </c>
      <c r="HG12" s="840">
        <v>461865</v>
      </c>
      <c r="HH12" s="840">
        <v>474221</v>
      </c>
      <c r="HI12" s="840">
        <v>487378</v>
      </c>
      <c r="HJ12" s="840">
        <v>533458</v>
      </c>
      <c r="HK12" s="840">
        <v>628930</v>
      </c>
      <c r="HL12" s="837">
        <v>703015</v>
      </c>
      <c r="HM12" s="838">
        <v>723866</v>
      </c>
      <c r="HN12" s="838">
        <f>SUM(DI12:DT12)</f>
        <v>625407</v>
      </c>
      <c r="HO12" s="1568">
        <f>SUM(DO12:EE12)</f>
        <v>568337</v>
      </c>
      <c r="HP12" s="298"/>
      <c r="HQ12" s="298"/>
      <c r="HR12" s="298"/>
      <c r="HS12" s="467"/>
      <c r="HT12" s="2287"/>
      <c r="HU12" s="1736"/>
      <c r="HV12" s="1736"/>
      <c r="HW12" s="1736"/>
      <c r="HX12" s="1736"/>
    </row>
    <row r="13" spans="1:237" s="341" customFormat="1" ht="18.75" hidden="1" customHeight="1">
      <c r="A13" s="370"/>
      <c r="C13" s="454"/>
      <c r="D13" s="455"/>
      <c r="E13" s="455"/>
      <c r="F13" s="455"/>
      <c r="G13" s="455"/>
      <c r="H13" s="455"/>
      <c r="I13" s="455"/>
      <c r="J13" s="455"/>
      <c r="K13" s="455"/>
      <c r="L13" s="455"/>
      <c r="M13" s="417"/>
      <c r="N13" s="417"/>
      <c r="O13" s="417"/>
      <c r="P13" s="456"/>
      <c r="Q13" s="455"/>
      <c r="R13" s="455"/>
      <c r="S13" s="455"/>
      <c r="T13" s="455"/>
      <c r="U13" s="455"/>
      <c r="V13" s="455"/>
      <c r="W13" s="455"/>
      <c r="X13" s="455"/>
      <c r="Y13" s="417"/>
      <c r="Z13" s="417"/>
      <c r="AA13" s="417"/>
      <c r="AB13" s="417"/>
      <c r="AC13" s="417"/>
      <c r="AD13" s="417"/>
      <c r="AE13" s="417"/>
      <c r="AF13" s="417"/>
      <c r="AG13" s="417"/>
      <c r="AH13" s="417"/>
      <c r="AI13" s="417"/>
      <c r="AJ13" s="417"/>
      <c r="AK13" s="417"/>
      <c r="AL13" s="417"/>
      <c r="AM13" s="417"/>
      <c r="AN13" s="456"/>
      <c r="AO13" s="455"/>
      <c r="AP13" s="457"/>
      <c r="AQ13" s="455"/>
      <c r="AR13" s="455"/>
      <c r="AS13" s="457"/>
      <c r="AT13" s="455"/>
      <c r="AU13" s="455"/>
      <c r="AV13" s="457"/>
      <c r="AW13" s="417"/>
      <c r="AX13" s="417"/>
      <c r="AY13" s="457"/>
      <c r="AZ13" s="456"/>
      <c r="BA13" s="458"/>
      <c r="BB13" s="458"/>
      <c r="BC13" s="458"/>
      <c r="BD13" s="458"/>
      <c r="BE13" s="458"/>
      <c r="BF13" s="458"/>
      <c r="BG13" s="458"/>
      <c r="BH13" s="458"/>
      <c r="BI13" s="456"/>
      <c r="BJ13" s="456"/>
      <c r="BK13" s="456"/>
      <c r="BL13" s="456"/>
      <c r="BM13" s="456"/>
      <c r="BN13" s="456"/>
      <c r="BO13" s="456"/>
      <c r="BP13" s="456"/>
      <c r="BQ13" s="456"/>
      <c r="BR13" s="456"/>
      <c r="BS13" s="456"/>
      <c r="BT13" s="456"/>
      <c r="BU13" s="456"/>
      <c r="BV13" s="456"/>
      <c r="BW13" s="456"/>
      <c r="BX13" s="456"/>
      <c r="BY13" s="456"/>
      <c r="BZ13" s="456"/>
      <c r="CA13" s="456"/>
      <c r="CB13" s="456"/>
      <c r="CC13" s="456"/>
      <c r="CD13" s="456"/>
      <c r="CE13" s="456"/>
      <c r="CF13" s="456"/>
      <c r="CG13" s="456"/>
      <c r="CH13" s="456"/>
      <c r="CI13" s="456"/>
      <c r="CJ13" s="456"/>
      <c r="CK13" s="456"/>
      <c r="CL13" s="456"/>
      <c r="CM13" s="456"/>
      <c r="CN13" s="456"/>
      <c r="CO13" s="456"/>
      <c r="CP13" s="456"/>
      <c r="CQ13" s="456"/>
      <c r="CR13" s="456"/>
      <c r="CS13" s="456"/>
      <c r="CT13" s="456"/>
      <c r="CU13" s="456"/>
      <c r="CV13" s="456"/>
      <c r="CW13" s="456"/>
      <c r="CX13" s="456"/>
      <c r="CY13" s="456"/>
      <c r="CZ13" s="456"/>
      <c r="DA13" s="456"/>
      <c r="DB13" s="456"/>
      <c r="DC13" s="456"/>
      <c r="DD13" s="456"/>
      <c r="DE13" s="456"/>
      <c r="DF13" s="456"/>
      <c r="DG13" s="456"/>
      <c r="DH13" s="1494"/>
      <c r="DI13" s="1494"/>
      <c r="DJ13" s="1494"/>
      <c r="DK13" s="1494"/>
      <c r="DL13" s="1494"/>
      <c r="DM13" s="1494"/>
      <c r="DN13" s="1494"/>
      <c r="DO13" s="1494"/>
      <c r="DP13" s="1494"/>
      <c r="DQ13" s="1494"/>
      <c r="DR13" s="1494"/>
      <c r="DS13" s="1494"/>
      <c r="DT13" s="1495"/>
      <c r="DU13" s="1495"/>
      <c r="DV13" s="1495"/>
      <c r="DW13" s="1495"/>
      <c r="DX13" s="1495"/>
      <c r="DY13" s="1495"/>
      <c r="DZ13" s="1495"/>
      <c r="EA13" s="1495"/>
      <c r="EB13" s="1495"/>
      <c r="EC13" s="1495"/>
      <c r="ED13" s="1495"/>
      <c r="EE13" s="1495"/>
      <c r="EF13" s="1495"/>
      <c r="EG13" s="1495"/>
      <c r="EH13" s="1495"/>
      <c r="EI13" s="1495"/>
      <c r="EJ13" s="1495"/>
      <c r="EK13" s="1495"/>
      <c r="EL13" s="1495"/>
      <c r="EM13" s="1495"/>
      <c r="EN13" s="1495"/>
      <c r="EO13" s="1495"/>
      <c r="EP13" s="1495"/>
      <c r="EQ13" s="1495"/>
      <c r="ER13" s="1495"/>
      <c r="ES13" s="1495"/>
      <c r="ET13" s="1495"/>
      <c r="EU13" s="1495"/>
      <c r="EV13" s="1495"/>
      <c r="EW13" s="1495"/>
      <c r="EX13" s="1495"/>
      <c r="EY13" s="1495"/>
      <c r="EZ13" s="1495"/>
      <c r="FA13" s="1495"/>
      <c r="FB13" s="1495"/>
      <c r="FC13" s="1495"/>
      <c r="FD13" s="2431"/>
      <c r="FE13" s="314"/>
      <c r="FF13" s="459"/>
      <c r="FG13" s="460"/>
      <c r="FH13" s="460"/>
      <c r="FI13" s="460"/>
      <c r="FJ13" s="460"/>
      <c r="FK13" s="460"/>
      <c r="FL13" s="460"/>
      <c r="FM13" s="460"/>
      <c r="FN13" s="460"/>
      <c r="FO13" s="460"/>
      <c r="FP13" s="460"/>
      <c r="FQ13" s="460"/>
      <c r="FR13" s="460"/>
      <c r="FS13" s="460"/>
      <c r="FT13" s="460"/>
      <c r="FU13" s="460"/>
      <c r="FV13" s="460"/>
      <c r="FW13" s="460"/>
      <c r="FX13" s="461"/>
      <c r="FY13" s="460"/>
      <c r="FZ13" s="279"/>
      <c r="GA13" s="279"/>
      <c r="GB13" s="279"/>
      <c r="GC13" s="279"/>
      <c r="GD13" s="315"/>
      <c r="GE13" s="315"/>
      <c r="GF13" s="315"/>
      <c r="GG13" s="316" t="s">
        <v>563</v>
      </c>
      <c r="GH13" s="315">
        <v>13.532073616793653</v>
      </c>
      <c r="GI13" s="315">
        <v>6.4645767983500377</v>
      </c>
      <c r="GJ13" s="315">
        <v>13.322584138520213</v>
      </c>
      <c r="GK13" s="315">
        <v>15.604855202290494</v>
      </c>
      <c r="GL13" s="315">
        <v>8.8374995224694146</v>
      </c>
      <c r="GM13" s="315">
        <v>3.9878160446994286</v>
      </c>
      <c r="GN13" s="315">
        <v>-3.1371112456067749</v>
      </c>
      <c r="GO13" s="1544">
        <f t="shared" ref="GO13:GT13" si="0">+GO12/GK12*100-100</f>
        <v>-20.921390307711476</v>
      </c>
      <c r="GP13" s="1544">
        <f t="shared" si="0"/>
        <v>-13.17202728474652</v>
      </c>
      <c r="GQ13" s="1544">
        <f t="shared" si="0"/>
        <v>-7.5565618991140582</v>
      </c>
      <c r="GR13" s="1544">
        <f t="shared" si="0"/>
        <v>-8.9131757367812412</v>
      </c>
      <c r="GS13" s="1545">
        <f t="shared" si="0"/>
        <v>-4.8043052220982929</v>
      </c>
      <c r="GT13" s="1545">
        <f t="shared" si="0"/>
        <v>9.8954332915605505</v>
      </c>
      <c r="GU13" s="1479"/>
      <c r="GV13" s="279"/>
      <c r="GW13" s="279"/>
      <c r="GX13" s="315"/>
      <c r="GY13" s="315"/>
      <c r="GZ13" s="315"/>
      <c r="HA13" s="279"/>
      <c r="HB13" s="315"/>
      <c r="HC13" s="315"/>
      <c r="HD13" s="315"/>
      <c r="HE13" s="841" t="s">
        <v>564</v>
      </c>
      <c r="HF13" s="842">
        <v>12.838486261915079</v>
      </c>
      <c r="HG13" s="842">
        <v>-2.043270505345717</v>
      </c>
      <c r="HH13" s="842">
        <v>2.6752406006083902</v>
      </c>
      <c r="HI13" s="842">
        <v>2.7744448263573389</v>
      </c>
      <c r="HJ13" s="842">
        <v>9.4546737850292857</v>
      </c>
      <c r="HK13" s="842">
        <v>17.896816619115285</v>
      </c>
      <c r="HL13" s="842">
        <v>11.779530313389415</v>
      </c>
      <c r="HM13" s="843">
        <v>2.9659395603223118</v>
      </c>
      <c r="HN13" s="843">
        <f>+HN12/HM12*100-100</f>
        <v>-13.601826857457041</v>
      </c>
      <c r="HO13" s="1569">
        <f>+HO12/HN12*100-100</f>
        <v>-9.1252576322298893</v>
      </c>
      <c r="HP13" s="298"/>
      <c r="HQ13" s="298"/>
      <c r="HR13" s="298"/>
      <c r="HS13" s="467"/>
      <c r="HT13" s="2287"/>
      <c r="HU13" s="1736"/>
      <c r="HV13" s="1736"/>
      <c r="HW13" s="1736"/>
      <c r="HX13" s="1736"/>
    </row>
    <row r="14" spans="1:237" s="276" customFormat="1" ht="19.5" hidden="1" customHeight="1" thickBot="1">
      <c r="A14" s="275"/>
      <c r="C14" s="333"/>
      <c r="D14" s="462"/>
      <c r="E14" s="462"/>
      <c r="F14" s="462"/>
      <c r="G14" s="462"/>
      <c r="H14" s="462"/>
      <c r="I14" s="462"/>
      <c r="J14" s="462"/>
      <c r="K14" s="462"/>
      <c r="L14" s="462"/>
      <c r="M14" s="462"/>
      <c r="N14" s="462"/>
      <c r="O14" s="462"/>
      <c r="P14" s="462"/>
      <c r="Q14" s="462"/>
      <c r="R14" s="462"/>
      <c r="S14" s="462"/>
      <c r="T14" s="462"/>
      <c r="U14" s="462"/>
      <c r="V14" s="462"/>
      <c r="W14" s="462"/>
      <c r="X14" s="462"/>
      <c r="Y14" s="462"/>
      <c r="Z14" s="462"/>
      <c r="AA14" s="462"/>
      <c r="AB14" s="417"/>
      <c r="AC14" s="417"/>
      <c r="AD14" s="417"/>
      <c r="AE14" s="417"/>
      <c r="AF14" s="417"/>
      <c r="AG14" s="417"/>
      <c r="AH14" s="417"/>
      <c r="AI14" s="417"/>
      <c r="AJ14" s="417"/>
      <c r="AK14" s="417"/>
      <c r="AL14" s="417"/>
      <c r="AM14" s="417"/>
      <c r="AN14" s="462"/>
      <c r="AO14" s="462"/>
      <c r="AP14" s="462"/>
      <c r="AQ14" s="462"/>
      <c r="AR14" s="462"/>
      <c r="AS14" s="462"/>
      <c r="AT14" s="462"/>
      <c r="AU14" s="462"/>
      <c r="AV14" s="462"/>
      <c r="AW14" s="462"/>
      <c r="AX14" s="457"/>
      <c r="AY14" s="455"/>
      <c r="AZ14" s="462"/>
      <c r="BA14" s="462"/>
      <c r="BB14" s="462"/>
      <c r="BC14" s="462"/>
      <c r="BD14" s="462"/>
      <c r="BE14" s="462"/>
      <c r="BF14" s="462"/>
      <c r="BG14" s="462"/>
      <c r="BH14" s="462"/>
      <c r="BI14" s="462"/>
      <c r="BJ14" s="462"/>
      <c r="BK14" s="462"/>
      <c r="BL14" s="462"/>
      <c r="BM14" s="462"/>
      <c r="BN14" s="462"/>
      <c r="BO14" s="462"/>
      <c r="BP14" s="462"/>
      <c r="BQ14" s="462"/>
      <c r="BR14" s="462"/>
      <c r="BS14" s="462"/>
      <c r="BT14" s="462"/>
      <c r="BU14" s="462"/>
      <c r="BV14" s="462"/>
      <c r="BW14" s="462"/>
      <c r="BX14" s="462"/>
      <c r="BY14" s="462"/>
      <c r="BZ14" s="462"/>
      <c r="CA14" s="462"/>
      <c r="CB14" s="462"/>
      <c r="CC14" s="462"/>
      <c r="CD14" s="462"/>
      <c r="CE14" s="462"/>
      <c r="CF14" s="462"/>
      <c r="CG14" s="462"/>
      <c r="CH14" s="462"/>
      <c r="CI14" s="462"/>
      <c r="CJ14" s="462"/>
      <c r="CK14" s="462"/>
      <c r="CL14" s="462"/>
      <c r="CM14" s="462"/>
      <c r="CN14" s="462"/>
      <c r="CO14" s="462"/>
      <c r="CP14" s="462"/>
      <c r="CQ14" s="462"/>
      <c r="CR14" s="462"/>
      <c r="CS14" s="462"/>
      <c r="CT14" s="462"/>
      <c r="CU14" s="462"/>
      <c r="CV14" s="462"/>
      <c r="CW14" s="462"/>
      <c r="CX14" s="462"/>
      <c r="CY14" s="462"/>
      <c r="CZ14" s="462"/>
      <c r="DA14" s="462"/>
      <c r="DB14" s="462"/>
      <c r="DC14" s="462"/>
      <c r="DD14" s="462"/>
      <c r="DE14" s="456"/>
      <c r="DF14" s="456"/>
      <c r="DG14" s="456"/>
      <c r="DH14" s="1496"/>
      <c r="DI14" s="1496"/>
      <c r="DJ14" s="1496"/>
      <c r="DK14" s="1496"/>
      <c r="DL14" s="1496"/>
      <c r="DM14" s="1496"/>
      <c r="DN14" s="1496"/>
      <c r="DO14" s="1496"/>
      <c r="DP14" s="1496"/>
      <c r="DQ14" s="1496"/>
      <c r="DR14" s="1496"/>
      <c r="DS14" s="1496"/>
      <c r="DT14" s="1494"/>
      <c r="DU14" s="1494"/>
      <c r="DV14" s="1494"/>
      <c r="DW14" s="1494"/>
      <c r="DX14" s="1494"/>
      <c r="DY14" s="1494"/>
      <c r="DZ14" s="1494"/>
      <c r="EA14" s="1494"/>
      <c r="EB14" s="1494"/>
      <c r="EC14" s="1494"/>
      <c r="ED14" s="1494"/>
      <c r="EE14" s="1494"/>
      <c r="EF14" s="1494"/>
      <c r="EG14" s="1494"/>
      <c r="EH14" s="1494"/>
      <c r="EI14" s="1494"/>
      <c r="EJ14" s="1494"/>
      <c r="EK14" s="1494"/>
      <c r="EL14" s="1494"/>
      <c r="EM14" s="1494"/>
      <c r="EN14" s="1494"/>
      <c r="EO14" s="1494"/>
      <c r="EP14" s="1494"/>
      <c r="EQ14" s="1494"/>
      <c r="ER14" s="1494"/>
      <c r="ES14" s="1494"/>
      <c r="ET14" s="1494"/>
      <c r="EU14" s="1494"/>
      <c r="EV14" s="1494"/>
      <c r="EW14" s="1494"/>
      <c r="EX14" s="1494"/>
      <c r="EY14" s="1494"/>
      <c r="EZ14" s="1494"/>
      <c r="FA14" s="1494"/>
      <c r="FB14" s="1494"/>
      <c r="FC14" s="1494"/>
      <c r="FD14" s="2432"/>
      <c r="FE14" s="279"/>
      <c r="FF14" s="463"/>
      <c r="FG14" s="463"/>
      <c r="FH14" s="463"/>
      <c r="FI14" s="463"/>
      <c r="FJ14" s="463"/>
      <c r="FK14" s="463"/>
      <c r="FL14" s="463"/>
      <c r="FM14" s="463"/>
      <c r="FN14" s="463"/>
      <c r="FO14" s="463"/>
      <c r="FP14" s="464"/>
      <c r="FQ14" s="463"/>
      <c r="FR14" s="463"/>
      <c r="FS14" s="463"/>
      <c r="FT14" s="465"/>
      <c r="FU14" s="463"/>
      <c r="FV14" s="463"/>
      <c r="FW14" s="463"/>
      <c r="FX14" s="463"/>
      <c r="FY14" s="463"/>
      <c r="FZ14" s="279"/>
      <c r="GA14" s="279"/>
      <c r="GB14" s="279"/>
      <c r="GC14" s="279"/>
      <c r="GD14" s="279"/>
      <c r="GE14" s="279"/>
      <c r="GF14" s="279"/>
      <c r="GG14" s="279"/>
      <c r="GH14" s="279"/>
      <c r="GI14" s="279"/>
      <c r="GJ14" s="279"/>
      <c r="GK14" s="279"/>
      <c r="GL14" s="279"/>
      <c r="GM14" s="279"/>
      <c r="GN14" s="279"/>
      <c r="GO14" s="1546"/>
      <c r="GP14" s="1546"/>
      <c r="GQ14" s="1546"/>
      <c r="GR14" s="1546"/>
      <c r="GS14" s="1547"/>
      <c r="GT14" s="1547"/>
      <c r="GU14" s="1479"/>
      <c r="GV14" s="279"/>
      <c r="GW14" s="279"/>
      <c r="GX14" s="279"/>
      <c r="GY14" s="279"/>
      <c r="GZ14" s="279"/>
      <c r="HA14" s="279"/>
      <c r="HB14" s="279"/>
      <c r="HC14" s="279"/>
      <c r="HD14" s="279"/>
      <c r="HE14" s="844"/>
      <c r="HF14" s="844"/>
      <c r="HG14" s="844"/>
      <c r="HH14" s="844"/>
      <c r="HI14" s="844"/>
      <c r="HJ14" s="844"/>
      <c r="HK14" s="844"/>
      <c r="HL14" s="844"/>
      <c r="HM14" s="844"/>
      <c r="HN14" s="844"/>
      <c r="HO14" s="1570"/>
      <c r="HP14" s="298"/>
      <c r="HQ14" s="298"/>
      <c r="HR14" s="298"/>
      <c r="HS14" s="467"/>
      <c r="HT14" s="2287"/>
      <c r="HU14" s="1735"/>
      <c r="HV14" s="1735"/>
      <c r="HW14" s="1735"/>
      <c r="HX14" s="1735"/>
    </row>
    <row r="15" spans="1:237" s="276" customFormat="1" ht="18" hidden="1" customHeight="1">
      <c r="A15" s="275"/>
      <c r="C15" s="337" t="s">
        <v>552</v>
      </c>
      <c r="D15" s="3869">
        <v>2007</v>
      </c>
      <c r="E15" s="3870"/>
      <c r="F15" s="3870"/>
      <c r="G15" s="3870"/>
      <c r="H15" s="3870"/>
      <c r="I15" s="3870"/>
      <c r="J15" s="3870"/>
      <c r="K15" s="3870"/>
      <c r="L15" s="3870"/>
      <c r="M15" s="3870"/>
      <c r="N15" s="3870"/>
      <c r="O15" s="3871"/>
      <c r="P15" s="3872">
        <v>2008</v>
      </c>
      <c r="Q15" s="3873"/>
      <c r="R15" s="3873"/>
      <c r="S15" s="3873"/>
      <c r="T15" s="3873"/>
      <c r="U15" s="3873"/>
      <c r="V15" s="3873"/>
      <c r="W15" s="3873"/>
      <c r="X15" s="3873"/>
      <c r="Y15" s="3873"/>
      <c r="Z15" s="3873"/>
      <c r="AA15" s="3873"/>
      <c r="AB15" s="3874">
        <v>2009</v>
      </c>
      <c r="AC15" s="3875"/>
      <c r="AD15" s="3875"/>
      <c r="AE15" s="3875"/>
      <c r="AF15" s="3875"/>
      <c r="AG15" s="3875"/>
      <c r="AH15" s="3875"/>
      <c r="AI15" s="3875"/>
      <c r="AJ15" s="3875"/>
      <c r="AK15" s="3875"/>
      <c r="AL15" s="3875"/>
      <c r="AM15" s="3876"/>
      <c r="AN15" s="3877">
        <v>2010</v>
      </c>
      <c r="AO15" s="3878"/>
      <c r="AP15" s="3878"/>
      <c r="AQ15" s="3878"/>
      <c r="AR15" s="3878"/>
      <c r="AS15" s="3878"/>
      <c r="AT15" s="3878"/>
      <c r="AU15" s="3878"/>
      <c r="AV15" s="3878"/>
      <c r="AW15" s="3878"/>
      <c r="AX15" s="3878"/>
      <c r="AY15" s="3878"/>
      <c r="AZ15" s="3879">
        <v>2011</v>
      </c>
      <c r="BA15" s="3880"/>
      <c r="BB15" s="3880"/>
      <c r="BC15" s="3880"/>
      <c r="BD15" s="3880"/>
      <c r="BE15" s="3880"/>
      <c r="BF15" s="3880"/>
      <c r="BG15" s="3880"/>
      <c r="BH15" s="3880"/>
      <c r="BI15" s="3880"/>
      <c r="BJ15" s="3880"/>
      <c r="BK15" s="3881"/>
      <c r="BL15" s="3862">
        <v>2012</v>
      </c>
      <c r="BM15" s="3863"/>
      <c r="BN15" s="3863"/>
      <c r="BO15" s="288"/>
      <c r="BP15" s="288"/>
      <c r="BQ15" s="288"/>
      <c r="BR15" s="288"/>
      <c r="BS15" s="288"/>
      <c r="BT15" s="289"/>
      <c r="BU15" s="289"/>
      <c r="BV15" s="289"/>
      <c r="BW15" s="317"/>
      <c r="BX15" s="318">
        <v>2013</v>
      </c>
      <c r="BY15" s="319"/>
      <c r="BZ15" s="319"/>
      <c r="CA15" s="319"/>
      <c r="CB15" s="319"/>
      <c r="CC15" s="319"/>
      <c r="CD15" s="319"/>
      <c r="CE15" s="319"/>
      <c r="CF15" s="319"/>
      <c r="CG15" s="319"/>
      <c r="CH15" s="319"/>
      <c r="CI15" s="319"/>
      <c r="CJ15" s="293">
        <v>2014</v>
      </c>
      <c r="CK15" s="294"/>
      <c r="CL15" s="294"/>
      <c r="CM15" s="294"/>
      <c r="CN15" s="294"/>
      <c r="CO15" s="294"/>
      <c r="CP15" s="294"/>
      <c r="CQ15" s="294"/>
      <c r="CR15" s="294"/>
      <c r="CS15" s="294"/>
      <c r="CT15" s="294"/>
      <c r="CU15" s="295"/>
      <c r="CV15" s="296">
        <v>2015</v>
      </c>
      <c r="CW15" s="297"/>
      <c r="CX15" s="297"/>
      <c r="CY15" s="297"/>
      <c r="CZ15" s="297"/>
      <c r="DA15" s="297"/>
      <c r="DB15" s="297"/>
      <c r="DC15" s="297"/>
      <c r="DD15" s="297"/>
      <c r="DE15" s="320"/>
      <c r="DF15" s="287"/>
      <c r="DG15" s="287"/>
      <c r="DH15" s="3912">
        <v>2016</v>
      </c>
      <c r="DI15" s="3913"/>
      <c r="DJ15" s="3913"/>
      <c r="DK15" s="3913"/>
      <c r="DL15" s="3913"/>
      <c r="DM15" s="3913"/>
      <c r="DN15" s="3913"/>
      <c r="DO15" s="3913"/>
      <c r="DP15" s="3913"/>
      <c r="DQ15" s="3913"/>
      <c r="DR15" s="3913"/>
      <c r="DS15" s="3914"/>
      <c r="DT15" s="1497">
        <v>2017</v>
      </c>
      <c r="DU15" s="1497"/>
      <c r="DV15" s="1497"/>
      <c r="DW15" s="1497"/>
      <c r="DX15" s="1497"/>
      <c r="DY15" s="1497"/>
      <c r="DZ15" s="1522"/>
      <c r="EA15" s="1522"/>
      <c r="EB15" s="1522"/>
      <c r="EC15" s="1522"/>
      <c r="ED15" s="1522"/>
      <c r="EE15" s="1522"/>
      <c r="EF15" s="1497">
        <v>2017</v>
      </c>
      <c r="EG15" s="1497"/>
      <c r="EH15" s="1497"/>
      <c r="EI15" s="1497"/>
      <c r="EJ15" s="1497"/>
      <c r="EK15" s="1497"/>
      <c r="EL15" s="1522"/>
      <c r="EM15" s="1522"/>
      <c r="EN15" s="1522"/>
      <c r="EO15" s="1522"/>
      <c r="EP15" s="1522"/>
      <c r="EQ15" s="1522"/>
      <c r="ER15" s="1497">
        <v>2017</v>
      </c>
      <c r="ES15" s="1497"/>
      <c r="ET15" s="1497"/>
      <c r="EU15" s="1497"/>
      <c r="EV15" s="1497"/>
      <c r="EW15" s="1497"/>
      <c r="EX15" s="1522"/>
      <c r="EY15" s="1522"/>
      <c r="EZ15" s="1522"/>
      <c r="FA15" s="1522"/>
      <c r="FB15" s="1522"/>
      <c r="FC15" s="1522"/>
      <c r="FD15" s="2430"/>
      <c r="FE15" s="279"/>
      <c r="FF15" s="3864">
        <v>2007</v>
      </c>
      <c r="FG15" s="3865"/>
      <c r="FH15" s="3865"/>
      <c r="FI15" s="3865"/>
      <c r="FJ15" s="3866">
        <v>2008</v>
      </c>
      <c r="FK15" s="3867"/>
      <c r="FL15" s="3867"/>
      <c r="FM15" s="3868"/>
      <c r="FN15" s="3887">
        <v>2009</v>
      </c>
      <c r="FO15" s="3888"/>
      <c r="FP15" s="3888"/>
      <c r="FQ15" s="3888"/>
      <c r="FR15" s="3889">
        <v>2010</v>
      </c>
      <c r="FS15" s="3890"/>
      <c r="FT15" s="3890"/>
      <c r="FU15" s="3891"/>
      <c r="FV15" s="3892">
        <v>2011</v>
      </c>
      <c r="FW15" s="3893"/>
      <c r="FX15" s="3893"/>
      <c r="FY15" s="3894"/>
      <c r="FZ15" s="3903">
        <v>2012</v>
      </c>
      <c r="GA15" s="3904"/>
      <c r="GB15" s="3904"/>
      <c r="GC15" s="3904"/>
      <c r="GD15" s="338">
        <v>2013</v>
      </c>
      <c r="GE15" s="338"/>
      <c r="GF15" s="338"/>
      <c r="GG15" s="338"/>
      <c r="GH15" s="468">
        <v>2014</v>
      </c>
      <c r="GI15" s="468"/>
      <c r="GJ15" s="468"/>
      <c r="GK15" s="468"/>
      <c r="GL15" s="340">
        <v>2015</v>
      </c>
      <c r="GM15" s="340"/>
      <c r="GN15" s="340"/>
      <c r="GO15" s="1537">
        <v>2016</v>
      </c>
      <c r="GP15" s="1537"/>
      <c r="GQ15" s="1537"/>
      <c r="GR15" s="1537"/>
      <c r="GS15" s="1538">
        <v>2017</v>
      </c>
      <c r="GT15" s="1538"/>
      <c r="GU15" s="1479"/>
      <c r="GV15" s="279"/>
      <c r="GW15" s="279"/>
      <c r="GX15" s="338"/>
      <c r="GY15" s="338"/>
      <c r="GZ15" s="338"/>
      <c r="HA15" s="279"/>
      <c r="HB15" s="338"/>
      <c r="HC15" s="338"/>
      <c r="HD15" s="338"/>
      <c r="HE15" s="832">
        <v>2007</v>
      </c>
      <c r="HF15" s="833">
        <v>2008</v>
      </c>
      <c r="HG15" s="833">
        <v>2009</v>
      </c>
      <c r="HH15" s="833">
        <v>2010</v>
      </c>
      <c r="HI15" s="833">
        <v>2011</v>
      </c>
      <c r="HJ15" s="833">
        <v>2012</v>
      </c>
      <c r="HK15" s="833">
        <v>2013</v>
      </c>
      <c r="HL15" s="833">
        <v>2014</v>
      </c>
      <c r="HM15" s="3901" t="s">
        <v>553</v>
      </c>
      <c r="HN15" s="3901">
        <v>2016</v>
      </c>
      <c r="HO15" s="3917" t="str">
        <f>+HO7</f>
        <v>jul 2016 - jun 2017</v>
      </c>
      <c r="HP15" s="298"/>
      <c r="HQ15" s="298"/>
      <c r="HR15" s="298"/>
      <c r="HS15" s="467"/>
      <c r="HT15" s="2287"/>
      <c r="HU15" s="1735"/>
      <c r="HV15" s="1735"/>
      <c r="HW15" s="1735"/>
      <c r="HX15" s="1735"/>
    </row>
    <row r="16" spans="1:237" s="276" customFormat="1" ht="6.75" hidden="1" customHeight="1">
      <c r="A16" s="275"/>
      <c r="C16" s="341"/>
      <c r="D16" s="299"/>
      <c r="E16" s="287"/>
      <c r="F16" s="287"/>
      <c r="G16" s="287"/>
      <c r="H16" s="287"/>
      <c r="I16" s="287"/>
      <c r="J16" s="287"/>
      <c r="K16" s="287"/>
      <c r="L16" s="287"/>
      <c r="M16" s="287"/>
      <c r="N16" s="287"/>
      <c r="O16" s="287"/>
      <c r="P16" s="300"/>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301"/>
      <c r="BA16" s="287"/>
      <c r="BB16" s="287"/>
      <c r="BC16" s="287"/>
      <c r="BD16" s="287"/>
      <c r="BE16" s="287"/>
      <c r="BF16" s="287"/>
      <c r="BG16" s="287"/>
      <c r="BH16" s="287"/>
      <c r="BI16" s="287"/>
      <c r="BJ16" s="287"/>
      <c r="BK16" s="302"/>
      <c r="BL16" s="301"/>
      <c r="BM16" s="287"/>
      <c r="BN16" s="287"/>
      <c r="BO16" s="287"/>
      <c r="BP16" s="287"/>
      <c r="BQ16" s="287"/>
      <c r="BR16" s="287"/>
      <c r="BS16" s="287"/>
      <c r="BT16" s="287"/>
      <c r="BU16" s="287"/>
      <c r="BV16" s="287"/>
      <c r="BW16" s="302"/>
      <c r="BX16" s="301"/>
      <c r="BY16" s="287"/>
      <c r="BZ16" s="287"/>
      <c r="CA16" s="287"/>
      <c r="CB16" s="287"/>
      <c r="CC16" s="287"/>
      <c r="CD16" s="287"/>
      <c r="CE16" s="287"/>
      <c r="CF16" s="287"/>
      <c r="CG16" s="287"/>
      <c r="CH16" s="287"/>
      <c r="CI16" s="287"/>
      <c r="CJ16" s="306"/>
      <c r="CK16" s="307"/>
      <c r="CL16" s="307"/>
      <c r="CM16" s="307"/>
      <c r="CN16" s="307"/>
      <c r="CO16" s="307"/>
      <c r="CP16" s="307"/>
      <c r="CQ16" s="307"/>
      <c r="CR16" s="307"/>
      <c r="CS16" s="307"/>
      <c r="CT16" s="307"/>
      <c r="CU16" s="308"/>
      <c r="CV16" s="309"/>
      <c r="CW16" s="310"/>
      <c r="CX16" s="310"/>
      <c r="CY16" s="310"/>
      <c r="CZ16" s="310"/>
      <c r="DA16" s="310"/>
      <c r="DB16" s="310"/>
      <c r="DC16" s="310"/>
      <c r="DD16" s="310"/>
      <c r="DE16" s="321"/>
      <c r="DF16" s="310"/>
      <c r="DG16" s="310"/>
      <c r="DH16" s="1481"/>
      <c r="DI16" s="1481"/>
      <c r="DJ16" s="1481"/>
      <c r="DK16" s="1481"/>
      <c r="DL16" s="1481"/>
      <c r="DM16" s="1481"/>
      <c r="DN16" s="1481"/>
      <c r="DO16" s="1481"/>
      <c r="DP16" s="1481"/>
      <c r="DQ16" s="1481"/>
      <c r="DR16" s="1481"/>
      <c r="DS16" s="1481"/>
      <c r="DT16" s="1482"/>
      <c r="DU16" s="1482"/>
      <c r="DV16" s="1482"/>
      <c r="DW16" s="1482"/>
      <c r="DX16" s="1482"/>
      <c r="DY16" s="1482"/>
      <c r="DZ16" s="1524"/>
      <c r="EA16" s="1524"/>
      <c r="EB16" s="1524"/>
      <c r="EC16" s="1524"/>
      <c r="ED16" s="1524"/>
      <c r="EE16" s="1524"/>
      <c r="EF16" s="1482"/>
      <c r="EG16" s="1482"/>
      <c r="EH16" s="1482"/>
      <c r="EI16" s="1482"/>
      <c r="EJ16" s="1482"/>
      <c r="EK16" s="1482"/>
      <c r="EL16" s="1524"/>
      <c r="EM16" s="1524"/>
      <c r="EN16" s="1524"/>
      <c r="EO16" s="1524"/>
      <c r="EP16" s="1524"/>
      <c r="EQ16" s="1524"/>
      <c r="ER16" s="1482"/>
      <c r="ES16" s="1482"/>
      <c r="ET16" s="1482"/>
      <c r="EU16" s="1482"/>
      <c r="EV16" s="1482"/>
      <c r="EW16" s="1482"/>
      <c r="EX16" s="1524"/>
      <c r="EY16" s="1524"/>
      <c r="EZ16" s="1524"/>
      <c r="FA16" s="1524"/>
      <c r="FB16" s="1524"/>
      <c r="FC16" s="1524"/>
      <c r="FD16" s="2430"/>
      <c r="FE16" s="311"/>
      <c r="FF16" s="287"/>
      <c r="FG16" s="287"/>
      <c r="FH16" s="287"/>
      <c r="FI16" s="287"/>
      <c r="FJ16" s="287"/>
      <c r="FK16" s="287"/>
      <c r="FL16" s="287"/>
      <c r="FM16" s="287"/>
      <c r="FN16" s="287"/>
      <c r="FO16" s="287"/>
      <c r="FP16" s="287"/>
      <c r="FQ16" s="287"/>
      <c r="FR16" s="287"/>
      <c r="FS16" s="287"/>
      <c r="FT16" s="287"/>
      <c r="FU16" s="287"/>
      <c r="FV16" s="312"/>
      <c r="FW16" s="312"/>
      <c r="FX16" s="312"/>
      <c r="FY16" s="312"/>
      <c r="FZ16" s="287"/>
      <c r="GA16" s="287"/>
      <c r="GB16" s="287"/>
      <c r="GC16" s="287"/>
      <c r="GD16" s="287"/>
      <c r="GE16" s="287"/>
      <c r="GF16" s="287"/>
      <c r="GG16" s="287"/>
      <c r="GH16" s="313"/>
      <c r="GI16" s="313"/>
      <c r="GJ16" s="313"/>
      <c r="GK16" s="313"/>
      <c r="GL16" s="313"/>
      <c r="GM16" s="313"/>
      <c r="GN16" s="313"/>
      <c r="GO16" s="1523"/>
      <c r="GP16" s="1523"/>
      <c r="GQ16" s="1523"/>
      <c r="GR16" s="1523"/>
      <c r="GS16" s="1535"/>
      <c r="GT16" s="1535"/>
      <c r="GU16" s="1523"/>
      <c r="GV16" s="287"/>
      <c r="GW16" s="287"/>
      <c r="GX16" s="287"/>
      <c r="GY16" s="287"/>
      <c r="GZ16" s="287"/>
      <c r="HA16" s="287"/>
      <c r="HB16" s="287"/>
      <c r="HC16" s="287"/>
      <c r="HD16" s="287"/>
      <c r="HE16" s="834"/>
      <c r="HF16" s="835"/>
      <c r="HG16" s="835"/>
      <c r="HH16" s="835"/>
      <c r="HI16" s="835"/>
      <c r="HJ16" s="835"/>
      <c r="HK16" s="835"/>
      <c r="HL16" s="835"/>
      <c r="HM16" s="3901"/>
      <c r="HN16" s="3901"/>
      <c r="HO16" s="3918"/>
      <c r="HP16" s="298"/>
      <c r="HQ16" s="298"/>
      <c r="HR16" s="298"/>
      <c r="HS16" s="467"/>
      <c r="HT16" s="2287"/>
      <c r="HU16" s="1735"/>
      <c r="HV16" s="1735"/>
      <c r="HW16" s="1735"/>
      <c r="HX16" s="1735"/>
    </row>
    <row r="17" spans="1:232" s="276" customFormat="1" ht="21" hidden="1" customHeight="1">
      <c r="A17" s="275"/>
      <c r="C17" s="322" t="s">
        <v>565</v>
      </c>
      <c r="D17" s="342" t="s">
        <v>37</v>
      </c>
      <c r="E17" s="343" t="s">
        <v>38</v>
      </c>
      <c r="F17" s="343" t="s">
        <v>39</v>
      </c>
      <c r="G17" s="343" t="s">
        <v>40</v>
      </c>
      <c r="H17" s="343" t="s">
        <v>41</v>
      </c>
      <c r="I17" s="343" t="s">
        <v>42</v>
      </c>
      <c r="J17" s="343" t="s">
        <v>43</v>
      </c>
      <c r="K17" s="343" t="s">
        <v>44</v>
      </c>
      <c r="L17" s="343" t="s">
        <v>45</v>
      </c>
      <c r="M17" s="343" t="s">
        <v>46</v>
      </c>
      <c r="N17" s="343" t="s">
        <v>47</v>
      </c>
      <c r="O17" s="344" t="s">
        <v>48</v>
      </c>
      <c r="P17" s="342" t="s">
        <v>37</v>
      </c>
      <c r="Q17" s="343" t="s">
        <v>38</v>
      </c>
      <c r="R17" s="343" t="s">
        <v>39</v>
      </c>
      <c r="S17" s="343" t="s">
        <v>40</v>
      </c>
      <c r="T17" s="343" t="s">
        <v>41</v>
      </c>
      <c r="U17" s="343" t="s">
        <v>42</v>
      </c>
      <c r="V17" s="343" t="s">
        <v>43</v>
      </c>
      <c r="W17" s="343" t="s">
        <v>44</v>
      </c>
      <c r="X17" s="343" t="s">
        <v>45</v>
      </c>
      <c r="Y17" s="343" t="s">
        <v>46</v>
      </c>
      <c r="Z17" s="343" t="s">
        <v>47</v>
      </c>
      <c r="AA17" s="344" t="s">
        <v>48</v>
      </c>
      <c r="AB17" s="345" t="s">
        <v>37</v>
      </c>
      <c r="AC17" s="346" t="s">
        <v>38</v>
      </c>
      <c r="AD17" s="346" t="s">
        <v>39</v>
      </c>
      <c r="AE17" s="346" t="s">
        <v>40</v>
      </c>
      <c r="AF17" s="346" t="s">
        <v>41</v>
      </c>
      <c r="AG17" s="346" t="s">
        <v>42</v>
      </c>
      <c r="AH17" s="346" t="s">
        <v>43</v>
      </c>
      <c r="AI17" s="346" t="s">
        <v>44</v>
      </c>
      <c r="AJ17" s="346" t="s">
        <v>45</v>
      </c>
      <c r="AK17" s="346" t="s">
        <v>46</v>
      </c>
      <c r="AL17" s="346" t="s">
        <v>47</v>
      </c>
      <c r="AM17" s="346" t="s">
        <v>48</v>
      </c>
      <c r="AN17" s="346" t="s">
        <v>37</v>
      </c>
      <c r="AO17" s="346" t="s">
        <v>38</v>
      </c>
      <c r="AP17" s="346" t="s">
        <v>39</v>
      </c>
      <c r="AQ17" s="346" t="s">
        <v>40</v>
      </c>
      <c r="AR17" s="346" t="s">
        <v>41</v>
      </c>
      <c r="AS17" s="346" t="s">
        <v>41</v>
      </c>
      <c r="AT17" s="346" t="s">
        <v>43</v>
      </c>
      <c r="AU17" s="346" t="s">
        <v>44</v>
      </c>
      <c r="AV17" s="346" t="s">
        <v>45</v>
      </c>
      <c r="AW17" s="346" t="s">
        <v>46</v>
      </c>
      <c r="AX17" s="346" t="s">
        <v>47</v>
      </c>
      <c r="AY17" s="347" t="s">
        <v>48</v>
      </c>
      <c r="AZ17" s="348" t="s">
        <v>37</v>
      </c>
      <c r="BA17" s="349" t="s">
        <v>38</v>
      </c>
      <c r="BB17" s="349" t="s">
        <v>39</v>
      </c>
      <c r="BC17" s="349" t="s">
        <v>40</v>
      </c>
      <c r="BD17" s="349" t="s">
        <v>41</v>
      </c>
      <c r="BE17" s="349" t="s">
        <v>42</v>
      </c>
      <c r="BF17" s="349" t="s">
        <v>43</v>
      </c>
      <c r="BG17" s="349" t="s">
        <v>44</v>
      </c>
      <c r="BH17" s="349" t="s">
        <v>45</v>
      </c>
      <c r="BI17" s="349" t="s">
        <v>46</v>
      </c>
      <c r="BJ17" s="349" t="s">
        <v>47</v>
      </c>
      <c r="BK17" s="350" t="s">
        <v>48</v>
      </c>
      <c r="BL17" s="351" t="s">
        <v>37</v>
      </c>
      <c r="BM17" s="352" t="s">
        <v>38</v>
      </c>
      <c r="BN17" s="352" t="s">
        <v>39</v>
      </c>
      <c r="BO17" s="352" t="s">
        <v>40</v>
      </c>
      <c r="BP17" s="352" t="s">
        <v>41</v>
      </c>
      <c r="BQ17" s="352" t="s">
        <v>42</v>
      </c>
      <c r="BR17" s="352" t="s">
        <v>43</v>
      </c>
      <c r="BS17" s="352" t="s">
        <v>44</v>
      </c>
      <c r="BT17" s="353" t="s">
        <v>45</v>
      </c>
      <c r="BU17" s="353" t="s">
        <v>46</v>
      </c>
      <c r="BV17" s="353" t="s">
        <v>47</v>
      </c>
      <c r="BW17" s="469" t="s">
        <v>48</v>
      </c>
      <c r="BX17" s="470" t="s">
        <v>37</v>
      </c>
      <c r="BY17" s="355" t="s">
        <v>38</v>
      </c>
      <c r="BZ17" s="355" t="s">
        <v>39</v>
      </c>
      <c r="CA17" s="355" t="s">
        <v>40</v>
      </c>
      <c r="CB17" s="355" t="s">
        <v>41</v>
      </c>
      <c r="CC17" s="355" t="s">
        <v>42</v>
      </c>
      <c r="CD17" s="355" t="s">
        <v>43</v>
      </c>
      <c r="CE17" s="355" t="s">
        <v>44</v>
      </c>
      <c r="CF17" s="355" t="s">
        <v>45</v>
      </c>
      <c r="CG17" s="355" t="s">
        <v>46</v>
      </c>
      <c r="CH17" s="355" t="s">
        <v>47</v>
      </c>
      <c r="CI17" s="355" t="s">
        <v>48</v>
      </c>
      <c r="CJ17" s="356" t="s">
        <v>37</v>
      </c>
      <c r="CK17" s="346" t="s">
        <v>38</v>
      </c>
      <c r="CL17" s="346" t="s">
        <v>39</v>
      </c>
      <c r="CM17" s="346" t="s">
        <v>40</v>
      </c>
      <c r="CN17" s="346" t="s">
        <v>41</v>
      </c>
      <c r="CO17" s="346" t="s">
        <v>42</v>
      </c>
      <c r="CP17" s="346" t="s">
        <v>43</v>
      </c>
      <c r="CQ17" s="346" t="s">
        <v>44</v>
      </c>
      <c r="CR17" s="346" t="s">
        <v>45</v>
      </c>
      <c r="CS17" s="346" t="s">
        <v>46</v>
      </c>
      <c r="CT17" s="346" t="s">
        <v>47</v>
      </c>
      <c r="CU17" s="357" t="s">
        <v>48</v>
      </c>
      <c r="CV17" s="355" t="s">
        <v>37</v>
      </c>
      <c r="CW17" s="355" t="s">
        <v>38</v>
      </c>
      <c r="CX17" s="355" t="s">
        <v>39</v>
      </c>
      <c r="CY17" s="355" t="s">
        <v>40</v>
      </c>
      <c r="CZ17" s="355" t="s">
        <v>41</v>
      </c>
      <c r="DA17" s="355" t="s">
        <v>42</v>
      </c>
      <c r="DB17" s="355" t="s">
        <v>43</v>
      </c>
      <c r="DC17" s="355" t="s">
        <v>44</v>
      </c>
      <c r="DD17" s="355" t="s">
        <v>45</v>
      </c>
      <c r="DE17" s="355" t="s">
        <v>46</v>
      </c>
      <c r="DF17" s="355"/>
      <c r="DG17" s="355"/>
      <c r="DH17" s="1498" t="s">
        <v>37</v>
      </c>
      <c r="DI17" s="1498" t="s">
        <v>38</v>
      </c>
      <c r="DJ17" s="1498" t="s">
        <v>39</v>
      </c>
      <c r="DK17" s="1498" t="s">
        <v>40</v>
      </c>
      <c r="DL17" s="1498" t="s">
        <v>41</v>
      </c>
      <c r="DM17" s="1498" t="s">
        <v>42</v>
      </c>
      <c r="DN17" s="1498" t="s">
        <v>43</v>
      </c>
      <c r="DO17" s="1498" t="s">
        <v>44</v>
      </c>
      <c r="DP17" s="1498" t="s">
        <v>202</v>
      </c>
      <c r="DQ17" s="1498" t="s">
        <v>46</v>
      </c>
      <c r="DR17" s="1498" t="s">
        <v>47</v>
      </c>
      <c r="DS17" s="1483" t="s">
        <v>48</v>
      </c>
      <c r="DT17" s="1484" t="s">
        <v>37</v>
      </c>
      <c r="DU17" s="1484" t="s">
        <v>38</v>
      </c>
      <c r="DV17" s="1484" t="s">
        <v>39</v>
      </c>
      <c r="DW17" s="1484" t="s">
        <v>40</v>
      </c>
      <c r="DX17" s="1484" t="s">
        <v>41</v>
      </c>
      <c r="DY17" s="1484" t="s">
        <v>42</v>
      </c>
      <c r="DZ17" s="1498"/>
      <c r="EA17" s="1498"/>
      <c r="EB17" s="1498"/>
      <c r="EC17" s="1498"/>
      <c r="ED17" s="1498"/>
      <c r="EE17" s="1498"/>
      <c r="EF17" s="1484" t="s">
        <v>37</v>
      </c>
      <c r="EG17" s="1484" t="s">
        <v>38</v>
      </c>
      <c r="EH17" s="1484" t="s">
        <v>39</v>
      </c>
      <c r="EI17" s="1484" t="s">
        <v>40</v>
      </c>
      <c r="EJ17" s="1484" t="s">
        <v>41</v>
      </c>
      <c r="EK17" s="1484" t="s">
        <v>42</v>
      </c>
      <c r="EL17" s="1498"/>
      <c r="EM17" s="1498"/>
      <c r="EN17" s="1498"/>
      <c r="EO17" s="1498"/>
      <c r="EP17" s="1498"/>
      <c r="EQ17" s="1498"/>
      <c r="ER17" s="1484" t="s">
        <v>37</v>
      </c>
      <c r="ES17" s="1484" t="s">
        <v>38</v>
      </c>
      <c r="ET17" s="1484" t="s">
        <v>39</v>
      </c>
      <c r="EU17" s="1484" t="s">
        <v>40</v>
      </c>
      <c r="EV17" s="1484" t="s">
        <v>41</v>
      </c>
      <c r="EW17" s="1484" t="s">
        <v>42</v>
      </c>
      <c r="EX17" s="1498"/>
      <c r="EY17" s="1498"/>
      <c r="EZ17" s="1498"/>
      <c r="FA17" s="1498"/>
      <c r="FB17" s="1498"/>
      <c r="FC17" s="1498"/>
      <c r="FD17" s="1498"/>
      <c r="FE17" s="279"/>
      <c r="FF17" s="358" t="s">
        <v>186</v>
      </c>
      <c r="FG17" s="359" t="s">
        <v>554</v>
      </c>
      <c r="FH17" s="359" t="s">
        <v>555</v>
      </c>
      <c r="FI17" s="360" t="s">
        <v>556</v>
      </c>
      <c r="FJ17" s="358" t="s">
        <v>186</v>
      </c>
      <c r="FK17" s="359" t="s">
        <v>554</v>
      </c>
      <c r="FL17" s="359" t="s">
        <v>555</v>
      </c>
      <c r="FM17" s="360" t="s">
        <v>556</v>
      </c>
      <c r="FN17" s="361" t="s">
        <v>186</v>
      </c>
      <c r="FO17" s="362" t="s">
        <v>554</v>
      </c>
      <c r="FP17" s="362" t="s">
        <v>557</v>
      </c>
      <c r="FQ17" s="362" t="s">
        <v>558</v>
      </c>
      <c r="FR17" s="363" t="s">
        <v>186</v>
      </c>
      <c r="FS17" s="364" t="s">
        <v>559</v>
      </c>
      <c r="FT17" s="364" t="s">
        <v>560</v>
      </c>
      <c r="FU17" s="365" t="s">
        <v>556</v>
      </c>
      <c r="FV17" s="366" t="s">
        <v>186</v>
      </c>
      <c r="FW17" s="367" t="s">
        <v>554</v>
      </c>
      <c r="FX17" s="367" t="s">
        <v>557</v>
      </c>
      <c r="FY17" s="368" t="s">
        <v>558</v>
      </c>
      <c r="FZ17" s="369" t="s">
        <v>186</v>
      </c>
      <c r="GA17" s="369" t="s">
        <v>554</v>
      </c>
      <c r="GB17" s="369" t="s">
        <v>557</v>
      </c>
      <c r="GC17" s="369" t="s">
        <v>558</v>
      </c>
      <c r="GD17" s="369" t="s">
        <v>186</v>
      </c>
      <c r="GE17" s="369" t="s">
        <v>554</v>
      </c>
      <c r="GF17" s="369" t="s">
        <v>557</v>
      </c>
      <c r="GG17" s="369" t="s">
        <v>558</v>
      </c>
      <c r="GH17" s="369" t="s">
        <v>186</v>
      </c>
      <c r="GI17" s="369" t="s">
        <v>554</v>
      </c>
      <c r="GJ17" s="369" t="s">
        <v>557</v>
      </c>
      <c r="GK17" s="369" t="s">
        <v>558</v>
      </c>
      <c r="GL17" s="369" t="s">
        <v>186</v>
      </c>
      <c r="GM17" s="369" t="s">
        <v>554</v>
      </c>
      <c r="GN17" s="369" t="s">
        <v>557</v>
      </c>
      <c r="GO17" s="1539" t="s">
        <v>186</v>
      </c>
      <c r="GP17" s="1539" t="s">
        <v>554</v>
      </c>
      <c r="GQ17" s="60" t="s">
        <v>557</v>
      </c>
      <c r="GR17" s="60" t="s">
        <v>558</v>
      </c>
      <c r="GS17" s="1540" t="s">
        <v>186</v>
      </c>
      <c r="GT17" s="1539" t="s">
        <v>554</v>
      </c>
      <c r="GU17" s="1479"/>
      <c r="GV17" s="279"/>
      <c r="GW17" s="369"/>
      <c r="GX17" s="369"/>
      <c r="GY17" s="369"/>
      <c r="GZ17" s="369"/>
      <c r="HA17" s="369"/>
      <c r="HB17" s="369"/>
      <c r="HC17" s="369"/>
      <c r="HD17" s="369"/>
      <c r="HE17" s="834" t="s">
        <v>49</v>
      </c>
      <c r="HF17" s="834" t="s">
        <v>49</v>
      </c>
      <c r="HG17" s="834" t="s">
        <v>49</v>
      </c>
      <c r="HH17" s="834" t="s">
        <v>49</v>
      </c>
      <c r="HI17" s="834" t="s">
        <v>49</v>
      </c>
      <c r="HJ17" s="834" t="s">
        <v>49</v>
      </c>
      <c r="HK17" s="834" t="s">
        <v>49</v>
      </c>
      <c r="HL17" s="834" t="s">
        <v>49</v>
      </c>
      <c r="HM17" s="3901"/>
      <c r="HN17" s="3901" t="s">
        <v>49</v>
      </c>
      <c r="HO17" s="3919"/>
      <c r="HP17" s="298"/>
      <c r="HQ17" s="298"/>
      <c r="HR17" s="298"/>
      <c r="HS17" s="467"/>
      <c r="HT17" s="2287"/>
      <c r="HU17" s="1735"/>
      <c r="HV17" s="1735"/>
      <c r="HW17" s="1735"/>
      <c r="HX17" s="1735"/>
    </row>
    <row r="18" spans="1:232" s="341" customFormat="1" ht="21.95" hidden="1" customHeight="1">
      <c r="A18" s="370"/>
      <c r="C18" s="371" t="s">
        <v>566</v>
      </c>
      <c r="D18" s="372">
        <v>12868</v>
      </c>
      <c r="E18" s="373">
        <v>12562</v>
      </c>
      <c r="F18" s="373">
        <v>14092</v>
      </c>
      <c r="G18" s="373">
        <v>11643</v>
      </c>
      <c r="H18" s="373">
        <v>12324</v>
      </c>
      <c r="I18" s="373">
        <v>19252</v>
      </c>
      <c r="J18" s="373">
        <v>23995</v>
      </c>
      <c r="K18" s="373">
        <v>19628</v>
      </c>
      <c r="L18" s="373">
        <v>13637</v>
      </c>
      <c r="M18" s="373">
        <v>14520</v>
      </c>
      <c r="N18" s="373">
        <v>15315</v>
      </c>
      <c r="O18" s="374">
        <v>16747</v>
      </c>
      <c r="P18" s="375">
        <v>15605</v>
      </c>
      <c r="Q18" s="376">
        <v>20308</v>
      </c>
      <c r="R18" s="376">
        <v>16291</v>
      </c>
      <c r="S18" s="376">
        <v>13109</v>
      </c>
      <c r="T18" s="376">
        <v>15719</v>
      </c>
      <c r="U18" s="376">
        <v>20911</v>
      </c>
      <c r="V18" s="376">
        <v>23376</v>
      </c>
      <c r="W18" s="376">
        <v>19940</v>
      </c>
      <c r="X18" s="376">
        <v>14171</v>
      </c>
      <c r="Y18" s="376">
        <v>15742</v>
      </c>
      <c r="Z18" s="376">
        <v>16268</v>
      </c>
      <c r="AA18" s="377">
        <v>16664</v>
      </c>
      <c r="AB18" s="378">
        <v>16075</v>
      </c>
      <c r="AC18" s="379">
        <v>14263</v>
      </c>
      <c r="AD18" s="379">
        <v>14215</v>
      </c>
      <c r="AE18" s="379">
        <v>14651</v>
      </c>
      <c r="AF18" s="379">
        <v>14336</v>
      </c>
      <c r="AG18" s="379">
        <v>21832</v>
      </c>
      <c r="AH18" s="379">
        <v>23427</v>
      </c>
      <c r="AI18" s="379">
        <v>24201</v>
      </c>
      <c r="AJ18" s="379">
        <v>19444</v>
      </c>
      <c r="AK18" s="379">
        <v>15000</v>
      </c>
      <c r="AL18" s="379">
        <v>15985</v>
      </c>
      <c r="AM18" s="379">
        <v>19929</v>
      </c>
      <c r="AN18" s="380">
        <v>17091</v>
      </c>
      <c r="AO18" s="380">
        <v>21797</v>
      </c>
      <c r="AP18" s="380">
        <v>21549</v>
      </c>
      <c r="AQ18" s="380">
        <v>13103</v>
      </c>
      <c r="AR18" s="380">
        <v>16089</v>
      </c>
      <c r="AS18" s="380">
        <v>21338</v>
      </c>
      <c r="AT18" s="380">
        <v>23713</v>
      </c>
      <c r="AU18" s="380">
        <v>19170</v>
      </c>
      <c r="AV18" s="380">
        <v>14087</v>
      </c>
      <c r="AW18" s="380">
        <v>16499</v>
      </c>
      <c r="AX18" s="380">
        <v>16347.786779532433</v>
      </c>
      <c r="AY18" s="381">
        <v>18623</v>
      </c>
      <c r="AZ18" s="382">
        <v>16587</v>
      </c>
      <c r="BA18" s="383">
        <v>20821</v>
      </c>
      <c r="BB18" s="383">
        <v>22885</v>
      </c>
      <c r="BC18" s="383">
        <v>15391</v>
      </c>
      <c r="BD18" s="383">
        <v>16262</v>
      </c>
      <c r="BE18" s="383">
        <v>21880</v>
      </c>
      <c r="BF18" s="383">
        <v>27019</v>
      </c>
      <c r="BG18" s="383">
        <v>19435</v>
      </c>
      <c r="BH18" s="383">
        <v>14314</v>
      </c>
      <c r="BI18" s="383">
        <v>16555</v>
      </c>
      <c r="BJ18" s="383">
        <v>17105</v>
      </c>
      <c r="BK18" s="384">
        <v>20064</v>
      </c>
      <c r="BL18" s="385">
        <v>17211</v>
      </c>
      <c r="BM18" s="386">
        <v>15331</v>
      </c>
      <c r="BN18" s="386">
        <v>17436</v>
      </c>
      <c r="BO18" s="386">
        <v>15593</v>
      </c>
      <c r="BP18" s="386">
        <v>17369</v>
      </c>
      <c r="BQ18" s="386">
        <v>24678</v>
      </c>
      <c r="BR18" s="386">
        <v>26169</v>
      </c>
      <c r="BS18" s="386">
        <v>20841</v>
      </c>
      <c r="BT18" s="387">
        <v>16564</v>
      </c>
      <c r="BU18" s="387">
        <v>18394</v>
      </c>
      <c r="BV18" s="387">
        <v>19333</v>
      </c>
      <c r="BW18" s="471">
        <v>24973</v>
      </c>
      <c r="BX18" s="472">
        <v>20547</v>
      </c>
      <c r="BY18" s="390">
        <v>18859</v>
      </c>
      <c r="BZ18" s="390">
        <v>21576</v>
      </c>
      <c r="CA18" s="390">
        <v>17079</v>
      </c>
      <c r="CB18" s="390">
        <v>20813</v>
      </c>
      <c r="CC18" s="390">
        <v>28058</v>
      </c>
      <c r="CD18" s="390">
        <v>30365</v>
      </c>
      <c r="CE18" s="390">
        <v>24398</v>
      </c>
      <c r="CF18" s="390">
        <v>21281</v>
      </c>
      <c r="CG18" s="390">
        <v>23371</v>
      </c>
      <c r="CH18" s="390">
        <v>24766</v>
      </c>
      <c r="CI18" s="391">
        <v>29503</v>
      </c>
      <c r="CJ18" s="392">
        <v>23092</v>
      </c>
      <c r="CK18" s="393">
        <v>24049</v>
      </c>
      <c r="CL18" s="393">
        <v>22503</v>
      </c>
      <c r="CM18" s="393">
        <v>22329</v>
      </c>
      <c r="CN18" s="393">
        <v>22922</v>
      </c>
      <c r="CO18" s="393">
        <v>27404</v>
      </c>
      <c r="CP18" s="393">
        <v>33880</v>
      </c>
      <c r="CQ18" s="393">
        <v>26950</v>
      </c>
      <c r="CR18" s="393">
        <v>24091</v>
      </c>
      <c r="CS18" s="393">
        <v>26083</v>
      </c>
      <c r="CT18" s="393">
        <v>27482</v>
      </c>
      <c r="CU18" s="394">
        <v>35990</v>
      </c>
      <c r="CV18" s="395">
        <v>26300</v>
      </c>
      <c r="CW18" s="390">
        <v>23090</v>
      </c>
      <c r="CX18" s="391">
        <v>26552</v>
      </c>
      <c r="CY18" s="391">
        <v>23326</v>
      </c>
      <c r="CZ18" s="391">
        <v>25293</v>
      </c>
      <c r="DA18" s="391">
        <v>31330</v>
      </c>
      <c r="DB18" s="391">
        <v>35269</v>
      </c>
      <c r="DC18" s="391">
        <v>24631</v>
      </c>
      <c r="DD18" s="396">
        <v>22572</v>
      </c>
      <c r="DE18" s="396">
        <v>24944</v>
      </c>
      <c r="DF18" s="383"/>
      <c r="DG18" s="383"/>
      <c r="DH18" s="1485">
        <v>24158</v>
      </c>
      <c r="DI18" s="1486">
        <v>23213</v>
      </c>
      <c r="DJ18" s="1486">
        <v>25544</v>
      </c>
      <c r="DK18" s="1487">
        <v>18204</v>
      </c>
      <c r="DL18" s="1487">
        <v>20971</v>
      </c>
      <c r="DM18" s="1487">
        <v>30083</v>
      </c>
      <c r="DN18" s="1487">
        <v>31893</v>
      </c>
      <c r="DO18" s="1487">
        <v>21838</v>
      </c>
      <c r="DP18" s="1487">
        <v>17458</v>
      </c>
      <c r="DQ18" s="1487">
        <v>23703</v>
      </c>
      <c r="DR18" s="1487">
        <v>21331</v>
      </c>
      <c r="DS18" s="1486">
        <v>30660</v>
      </c>
      <c r="DT18" s="1488">
        <v>23300</v>
      </c>
      <c r="DU18" s="1488">
        <v>21614</v>
      </c>
      <c r="DV18" s="1488">
        <v>24393</v>
      </c>
      <c r="DW18" s="1488">
        <v>23604</v>
      </c>
      <c r="DX18" s="1488">
        <v>21781</v>
      </c>
      <c r="DY18" s="1488">
        <v>32335</v>
      </c>
      <c r="DZ18" s="1677"/>
      <c r="EA18" s="1677"/>
      <c r="EB18" s="1677"/>
      <c r="EC18" s="1677"/>
      <c r="ED18" s="1677"/>
      <c r="EE18" s="1677"/>
      <c r="EF18" s="1488">
        <v>23300</v>
      </c>
      <c r="EG18" s="1488">
        <v>21614</v>
      </c>
      <c r="EH18" s="1488">
        <v>24393</v>
      </c>
      <c r="EI18" s="1488">
        <v>23604</v>
      </c>
      <c r="EJ18" s="1488">
        <v>21781</v>
      </c>
      <c r="EK18" s="1488">
        <v>32335</v>
      </c>
      <c r="EL18" s="1677"/>
      <c r="EM18" s="1677"/>
      <c r="EN18" s="1677"/>
      <c r="EO18" s="1677"/>
      <c r="EP18" s="1677"/>
      <c r="EQ18" s="1677"/>
      <c r="ER18" s="1488">
        <v>23300</v>
      </c>
      <c r="ES18" s="1488">
        <v>21614</v>
      </c>
      <c r="ET18" s="1488">
        <v>24393</v>
      </c>
      <c r="EU18" s="1488">
        <v>23604</v>
      </c>
      <c r="EV18" s="1488">
        <v>21781</v>
      </c>
      <c r="EW18" s="1488">
        <v>32335</v>
      </c>
      <c r="EX18" s="1677"/>
      <c r="EY18" s="1677"/>
      <c r="EZ18" s="1677"/>
      <c r="FA18" s="1677"/>
      <c r="FB18" s="1677"/>
      <c r="FC18" s="1677"/>
      <c r="FD18" s="1677"/>
      <c r="FE18" s="279"/>
      <c r="FF18" s="397">
        <v>39522</v>
      </c>
      <c r="FG18" s="398">
        <v>43219</v>
      </c>
      <c r="FH18" s="398">
        <v>57260</v>
      </c>
      <c r="FI18" s="399">
        <v>46582</v>
      </c>
      <c r="FJ18" s="400">
        <v>52204</v>
      </c>
      <c r="FK18" s="401">
        <v>49739</v>
      </c>
      <c r="FL18" s="401">
        <v>57487</v>
      </c>
      <c r="FM18" s="402">
        <v>48674</v>
      </c>
      <c r="FN18" s="403">
        <v>44553</v>
      </c>
      <c r="FO18" s="404">
        <v>50819</v>
      </c>
      <c r="FP18" s="405">
        <v>67072</v>
      </c>
      <c r="FQ18" s="405">
        <v>50914</v>
      </c>
      <c r="FR18" s="406">
        <v>60437</v>
      </c>
      <c r="FS18" s="407">
        <v>50530</v>
      </c>
      <c r="FT18" s="407">
        <v>56970</v>
      </c>
      <c r="FU18" s="408">
        <v>51469.786779532435</v>
      </c>
      <c r="FV18" s="409">
        <v>60293</v>
      </c>
      <c r="FW18" s="410">
        <v>53533</v>
      </c>
      <c r="FX18" s="410">
        <v>60768</v>
      </c>
      <c r="FY18" s="411">
        <v>53724</v>
      </c>
      <c r="FZ18" s="407">
        <v>49978</v>
      </c>
      <c r="GA18" s="407">
        <v>57640</v>
      </c>
      <c r="GB18" s="407">
        <v>63574</v>
      </c>
      <c r="GC18" s="407">
        <v>62700</v>
      </c>
      <c r="GD18" s="412">
        <v>60982</v>
      </c>
      <c r="GE18" s="412">
        <v>65950</v>
      </c>
      <c r="GF18" s="412">
        <v>76044</v>
      </c>
      <c r="GG18" s="412">
        <v>77640</v>
      </c>
      <c r="GH18" s="413">
        <v>69644</v>
      </c>
      <c r="GI18" s="413">
        <v>72655</v>
      </c>
      <c r="GJ18" s="413">
        <v>86913</v>
      </c>
      <c r="GK18" s="413">
        <v>89555</v>
      </c>
      <c r="GL18" s="414">
        <v>75942</v>
      </c>
      <c r="GM18" s="414">
        <v>73563</v>
      </c>
      <c r="GN18" s="414">
        <v>84844</v>
      </c>
      <c r="GO18" s="1541">
        <f>+DH18+DI18+DJ18</f>
        <v>72915</v>
      </c>
      <c r="GP18" s="1541">
        <f>+DM18+DL18+DK18</f>
        <v>69258</v>
      </c>
      <c r="GQ18" s="1541">
        <f>+DP18+DO18+DN18</f>
        <v>71189</v>
      </c>
      <c r="GR18" s="1541">
        <f>+DQ18+DR18+DS18</f>
        <v>75694</v>
      </c>
      <c r="GS18" s="1542">
        <f>+DT18+DU18+DV18</f>
        <v>69307</v>
      </c>
      <c r="GT18" s="1542">
        <f>+DW18+DX18+DY18</f>
        <v>77720</v>
      </c>
      <c r="GU18" s="1543"/>
      <c r="GV18" s="279"/>
      <c r="GW18" s="407"/>
      <c r="GX18" s="412"/>
      <c r="GY18" s="412"/>
      <c r="GZ18" s="412"/>
      <c r="HA18" s="407"/>
      <c r="HB18" s="412"/>
      <c r="HC18" s="412"/>
      <c r="HD18" s="412"/>
      <c r="HE18" s="836">
        <v>186583</v>
      </c>
      <c r="HF18" s="837">
        <v>208104</v>
      </c>
      <c r="HG18" s="837">
        <v>213358</v>
      </c>
      <c r="HH18" s="837">
        <v>219406.78677953244</v>
      </c>
      <c r="HI18" s="837">
        <v>228318</v>
      </c>
      <c r="HJ18" s="837">
        <v>233892</v>
      </c>
      <c r="HK18" s="837">
        <v>280616</v>
      </c>
      <c r="HL18" s="837">
        <v>316775</v>
      </c>
      <c r="HM18" s="838">
        <v>326779</v>
      </c>
      <c r="HN18" s="838">
        <f>SUM(DI18:DT18)</f>
        <v>288198</v>
      </c>
      <c r="HO18" s="1568">
        <f>SUM(DO18:EE18)</f>
        <v>262017</v>
      </c>
      <c r="HP18" s="298"/>
      <c r="HQ18" s="298"/>
      <c r="HR18" s="298"/>
      <c r="HS18" s="467"/>
      <c r="HT18" s="2287"/>
      <c r="HU18" s="1736"/>
      <c r="HV18" s="1736"/>
      <c r="HW18" s="1736"/>
      <c r="HX18" s="1736"/>
    </row>
    <row r="19" spans="1:232" s="341" customFormat="1" ht="21.95" hidden="1" customHeight="1">
      <c r="A19" s="370"/>
      <c r="C19" s="371" t="s">
        <v>567</v>
      </c>
      <c r="D19" s="372">
        <v>16579</v>
      </c>
      <c r="E19" s="373">
        <v>16687</v>
      </c>
      <c r="F19" s="373">
        <v>18444</v>
      </c>
      <c r="G19" s="373">
        <v>15286</v>
      </c>
      <c r="H19" s="373">
        <v>16202</v>
      </c>
      <c r="I19" s="373">
        <v>21853</v>
      </c>
      <c r="J19" s="373">
        <v>25938</v>
      </c>
      <c r="K19" s="373">
        <v>22616</v>
      </c>
      <c r="L19" s="373">
        <v>17770</v>
      </c>
      <c r="M19" s="373">
        <v>19371</v>
      </c>
      <c r="N19" s="373">
        <v>20491</v>
      </c>
      <c r="O19" s="374">
        <v>20033</v>
      </c>
      <c r="P19" s="375">
        <v>19386</v>
      </c>
      <c r="Q19" s="376">
        <v>26182</v>
      </c>
      <c r="R19" s="376">
        <v>20514</v>
      </c>
      <c r="S19" s="376">
        <v>17996</v>
      </c>
      <c r="T19" s="376">
        <v>19879</v>
      </c>
      <c r="U19" s="376">
        <v>24673</v>
      </c>
      <c r="V19" s="376">
        <v>27108</v>
      </c>
      <c r="W19" s="376">
        <v>23636</v>
      </c>
      <c r="X19" s="376">
        <v>20147</v>
      </c>
      <c r="Y19" s="376">
        <v>21235</v>
      </c>
      <c r="Z19" s="376">
        <v>22022</v>
      </c>
      <c r="AA19" s="377">
        <v>20617</v>
      </c>
      <c r="AB19" s="378">
        <v>19829</v>
      </c>
      <c r="AC19" s="379">
        <v>18732</v>
      </c>
      <c r="AD19" s="379">
        <v>20027</v>
      </c>
      <c r="AE19" s="379">
        <v>18510</v>
      </c>
      <c r="AF19" s="379">
        <v>18437</v>
      </c>
      <c r="AG19" s="379">
        <v>24964</v>
      </c>
      <c r="AH19" s="379">
        <v>26642</v>
      </c>
      <c r="AI19" s="379">
        <v>20177</v>
      </c>
      <c r="AJ19" s="379">
        <v>14050</v>
      </c>
      <c r="AK19" s="379">
        <v>20959</v>
      </c>
      <c r="AL19" s="379">
        <v>22416</v>
      </c>
      <c r="AM19" s="379">
        <v>23764</v>
      </c>
      <c r="AN19" s="380">
        <v>21512</v>
      </c>
      <c r="AO19" s="380">
        <v>18046</v>
      </c>
      <c r="AP19" s="380">
        <v>16480</v>
      </c>
      <c r="AQ19" s="380">
        <v>18495</v>
      </c>
      <c r="AR19" s="380">
        <v>21027</v>
      </c>
      <c r="AS19" s="380">
        <v>24755</v>
      </c>
      <c r="AT19" s="380">
        <v>26053</v>
      </c>
      <c r="AU19" s="380">
        <v>23311</v>
      </c>
      <c r="AV19" s="380">
        <v>18916</v>
      </c>
      <c r="AW19" s="380">
        <v>21799</v>
      </c>
      <c r="AX19" s="380">
        <v>21823.213220467565</v>
      </c>
      <c r="AY19" s="381">
        <v>22597</v>
      </c>
      <c r="AZ19" s="382">
        <v>20876</v>
      </c>
      <c r="BA19" s="383">
        <v>15157</v>
      </c>
      <c r="BB19" s="383">
        <v>16530</v>
      </c>
      <c r="BC19" s="383">
        <v>20558</v>
      </c>
      <c r="BD19" s="383">
        <v>21761</v>
      </c>
      <c r="BE19" s="383">
        <v>25964</v>
      </c>
      <c r="BF19" s="383">
        <v>24133</v>
      </c>
      <c r="BG19" s="383">
        <v>23601</v>
      </c>
      <c r="BH19" s="383">
        <v>20314</v>
      </c>
      <c r="BI19" s="383">
        <v>22027</v>
      </c>
      <c r="BJ19" s="383">
        <v>23968</v>
      </c>
      <c r="BK19" s="384">
        <v>24171</v>
      </c>
      <c r="BL19" s="385">
        <v>20562</v>
      </c>
      <c r="BM19" s="386">
        <v>20323</v>
      </c>
      <c r="BN19" s="386">
        <v>23227</v>
      </c>
      <c r="BO19" s="386">
        <v>20931</v>
      </c>
      <c r="BP19" s="386">
        <v>23351</v>
      </c>
      <c r="BQ19" s="386">
        <v>29488</v>
      </c>
      <c r="BR19" s="386">
        <v>29999</v>
      </c>
      <c r="BS19" s="386">
        <v>25371</v>
      </c>
      <c r="BT19" s="387">
        <v>23183</v>
      </c>
      <c r="BU19" s="387">
        <v>26470</v>
      </c>
      <c r="BV19" s="387">
        <v>27089</v>
      </c>
      <c r="BW19" s="471">
        <v>29572</v>
      </c>
      <c r="BX19" s="472">
        <v>25590</v>
      </c>
      <c r="BY19" s="390">
        <v>24315</v>
      </c>
      <c r="BZ19" s="390">
        <v>27451</v>
      </c>
      <c r="CA19" s="390">
        <v>24555</v>
      </c>
      <c r="CB19" s="390">
        <v>27290</v>
      </c>
      <c r="CC19" s="390">
        <v>32996</v>
      </c>
      <c r="CD19" s="390">
        <v>33754</v>
      </c>
      <c r="CE19" s="390">
        <v>28311</v>
      </c>
      <c r="CF19" s="390">
        <v>28105</v>
      </c>
      <c r="CG19" s="390">
        <v>29596</v>
      </c>
      <c r="CH19" s="390">
        <v>31495</v>
      </c>
      <c r="CI19" s="391">
        <v>34856</v>
      </c>
      <c r="CJ19" s="392">
        <v>28596</v>
      </c>
      <c r="CK19" s="393">
        <v>29573</v>
      </c>
      <c r="CL19" s="393">
        <v>29245</v>
      </c>
      <c r="CM19" s="393">
        <v>27241</v>
      </c>
      <c r="CN19" s="393">
        <v>29252</v>
      </c>
      <c r="CO19" s="393">
        <v>31391</v>
      </c>
      <c r="CP19" s="393">
        <v>37219</v>
      </c>
      <c r="CQ19" s="393">
        <v>30840</v>
      </c>
      <c r="CR19" s="393">
        <v>31763</v>
      </c>
      <c r="CS19" s="393">
        <v>33386</v>
      </c>
      <c r="CT19" s="393">
        <v>35775</v>
      </c>
      <c r="CU19" s="394">
        <v>41959</v>
      </c>
      <c r="CV19" s="395">
        <v>31924</v>
      </c>
      <c r="CW19" s="390">
        <v>30231</v>
      </c>
      <c r="CX19" s="391">
        <v>32841</v>
      </c>
      <c r="CY19" s="391">
        <v>30528</v>
      </c>
      <c r="CZ19" s="391">
        <v>31345</v>
      </c>
      <c r="DA19" s="391">
        <v>35808</v>
      </c>
      <c r="DB19" s="391">
        <v>37737</v>
      </c>
      <c r="DC19" s="391">
        <v>28363</v>
      </c>
      <c r="DD19" s="396">
        <v>29071</v>
      </c>
      <c r="DE19" s="396">
        <v>31505</v>
      </c>
      <c r="DF19" s="383"/>
      <c r="DG19" s="383"/>
      <c r="DH19" s="1485">
        <v>28675</v>
      </c>
      <c r="DI19" s="1486">
        <v>28225</v>
      </c>
      <c r="DJ19" s="1486">
        <v>28876</v>
      </c>
      <c r="DK19" s="1487">
        <v>22779</v>
      </c>
      <c r="DL19" s="1487">
        <v>25191</v>
      </c>
      <c r="DM19" s="1487">
        <v>31194</v>
      </c>
      <c r="DN19" s="1487">
        <v>34459</v>
      </c>
      <c r="DO19" s="1487">
        <v>25967</v>
      </c>
      <c r="DP19" s="1487">
        <v>22711</v>
      </c>
      <c r="DQ19" s="1487">
        <v>30128</v>
      </c>
      <c r="DR19" s="1487">
        <v>26980</v>
      </c>
      <c r="DS19" s="1486">
        <v>33385</v>
      </c>
      <c r="DT19" s="1488">
        <v>27314</v>
      </c>
      <c r="DU19" s="1488">
        <v>25818</v>
      </c>
      <c r="DV19" s="1488">
        <v>28628</v>
      </c>
      <c r="DW19" s="1488">
        <v>26604</v>
      </c>
      <c r="DX19" s="1488">
        <v>25254</v>
      </c>
      <c r="DY19" s="1488">
        <v>33531</v>
      </c>
      <c r="DZ19" s="1677"/>
      <c r="EA19" s="1677"/>
      <c r="EB19" s="1677"/>
      <c r="EC19" s="1677"/>
      <c r="ED19" s="1677"/>
      <c r="EE19" s="1677"/>
      <c r="EF19" s="1488">
        <v>27314</v>
      </c>
      <c r="EG19" s="1488">
        <v>25818</v>
      </c>
      <c r="EH19" s="1488">
        <v>28628</v>
      </c>
      <c r="EI19" s="1488">
        <v>26604</v>
      </c>
      <c r="EJ19" s="1488">
        <v>25254</v>
      </c>
      <c r="EK19" s="1488">
        <v>33531</v>
      </c>
      <c r="EL19" s="1677"/>
      <c r="EM19" s="1677"/>
      <c r="EN19" s="1677"/>
      <c r="EO19" s="1677"/>
      <c r="EP19" s="1677"/>
      <c r="EQ19" s="1677"/>
      <c r="ER19" s="1488">
        <v>27314</v>
      </c>
      <c r="ES19" s="1488">
        <v>25818</v>
      </c>
      <c r="ET19" s="1488">
        <v>28628</v>
      </c>
      <c r="EU19" s="1488">
        <v>26604</v>
      </c>
      <c r="EV19" s="1488">
        <v>25254</v>
      </c>
      <c r="EW19" s="1488">
        <v>33531</v>
      </c>
      <c r="EX19" s="1677"/>
      <c r="EY19" s="1677"/>
      <c r="EZ19" s="1677"/>
      <c r="FA19" s="1677"/>
      <c r="FB19" s="1677"/>
      <c r="FC19" s="1677"/>
      <c r="FD19" s="1677"/>
      <c r="FE19" s="279"/>
      <c r="FF19" s="397">
        <v>51710</v>
      </c>
      <c r="FG19" s="398">
        <v>53341</v>
      </c>
      <c r="FH19" s="398">
        <v>66324</v>
      </c>
      <c r="FI19" s="399">
        <v>59895</v>
      </c>
      <c r="FJ19" s="400">
        <v>66082</v>
      </c>
      <c r="FK19" s="401">
        <v>62548</v>
      </c>
      <c r="FL19" s="401">
        <v>70891</v>
      </c>
      <c r="FM19" s="402">
        <v>63874</v>
      </c>
      <c r="FN19" s="403">
        <v>58588</v>
      </c>
      <c r="FO19" s="404">
        <v>61911</v>
      </c>
      <c r="FP19" s="405">
        <v>60869</v>
      </c>
      <c r="FQ19" s="405">
        <v>67139</v>
      </c>
      <c r="FR19" s="406">
        <v>56038</v>
      </c>
      <c r="FS19" s="407">
        <v>64277</v>
      </c>
      <c r="FT19" s="407">
        <v>68280</v>
      </c>
      <c r="FU19" s="408">
        <v>66219.213220467558</v>
      </c>
      <c r="FV19" s="409">
        <v>52563</v>
      </c>
      <c r="FW19" s="410">
        <v>68283</v>
      </c>
      <c r="FX19" s="410">
        <v>68048</v>
      </c>
      <c r="FY19" s="411">
        <v>70166</v>
      </c>
      <c r="FZ19" s="407">
        <v>64112</v>
      </c>
      <c r="GA19" s="407">
        <v>73770</v>
      </c>
      <c r="GB19" s="407">
        <v>78553</v>
      </c>
      <c r="GC19" s="407">
        <v>83131</v>
      </c>
      <c r="GD19" s="412">
        <v>77356</v>
      </c>
      <c r="GE19" s="412">
        <v>84841</v>
      </c>
      <c r="GF19" s="412">
        <v>90170</v>
      </c>
      <c r="GG19" s="412">
        <v>95947</v>
      </c>
      <c r="GH19" s="413">
        <v>87414</v>
      </c>
      <c r="GI19" s="413">
        <v>87884</v>
      </c>
      <c r="GJ19" s="413">
        <v>101445</v>
      </c>
      <c r="GK19" s="413">
        <v>111120</v>
      </c>
      <c r="GL19" s="414">
        <v>94996</v>
      </c>
      <c r="GM19" s="414">
        <v>93378</v>
      </c>
      <c r="GN19" s="414">
        <v>97605</v>
      </c>
      <c r="GO19" s="1541">
        <f>+DH19+DI19+DJ19</f>
        <v>85776</v>
      </c>
      <c r="GP19" s="1541">
        <f>+DM19+DL19+DK19</f>
        <v>79164</v>
      </c>
      <c r="GQ19" s="1541">
        <f>+DP19+DO19+DN19</f>
        <v>83137</v>
      </c>
      <c r="GR19" s="1541">
        <f>+DQ19+DR19+DS19</f>
        <v>90493</v>
      </c>
      <c r="GS19" s="1542">
        <f>+DT19+DU19+DV19</f>
        <v>81760</v>
      </c>
      <c r="GT19" s="1542">
        <f>+DW19+DX19+DY19</f>
        <v>85389</v>
      </c>
      <c r="GU19" s="1543"/>
      <c r="GV19" s="279"/>
      <c r="GW19" s="407"/>
      <c r="GX19" s="412"/>
      <c r="GY19" s="412"/>
      <c r="GZ19" s="412"/>
      <c r="HA19" s="407"/>
      <c r="HB19" s="412"/>
      <c r="HC19" s="412"/>
      <c r="HD19" s="412"/>
      <c r="HE19" s="836">
        <v>231270</v>
      </c>
      <c r="HF19" s="837">
        <v>263395</v>
      </c>
      <c r="HG19" s="837">
        <v>248507</v>
      </c>
      <c r="HH19" s="837">
        <v>254814.21322046756</v>
      </c>
      <c r="HI19" s="837">
        <v>259060</v>
      </c>
      <c r="HJ19" s="837">
        <v>299566</v>
      </c>
      <c r="HK19" s="837">
        <v>348314</v>
      </c>
      <c r="HL19" s="837">
        <v>386240</v>
      </c>
      <c r="HM19" s="838">
        <v>397087</v>
      </c>
      <c r="HN19" s="838">
        <f>SUM(DI19:DT19)</f>
        <v>337209</v>
      </c>
      <c r="HO19" s="1568">
        <f>SUM(DO19:EE19)</f>
        <v>306320</v>
      </c>
      <c r="HP19" s="298"/>
      <c r="HQ19" s="298"/>
      <c r="HR19" s="298"/>
      <c r="HS19" s="467"/>
      <c r="HT19" s="2287"/>
      <c r="HU19" s="1736"/>
      <c r="HV19" s="1736"/>
      <c r="HW19" s="1736"/>
      <c r="HX19" s="1736"/>
    </row>
    <row r="20" spans="1:232" s="341" customFormat="1" ht="21.95" hidden="1" customHeight="1" thickBot="1">
      <c r="A20" s="370"/>
      <c r="C20" s="371" t="s">
        <v>33</v>
      </c>
      <c r="D20" s="418">
        <v>29447</v>
      </c>
      <c r="E20" s="419">
        <v>29249</v>
      </c>
      <c r="F20" s="419">
        <v>32536</v>
      </c>
      <c r="G20" s="419">
        <v>26929</v>
      </c>
      <c r="H20" s="419">
        <v>28526</v>
      </c>
      <c r="I20" s="419">
        <v>41105</v>
      </c>
      <c r="J20" s="419">
        <v>49933</v>
      </c>
      <c r="K20" s="419">
        <v>42244</v>
      </c>
      <c r="L20" s="419">
        <v>31407</v>
      </c>
      <c r="M20" s="419">
        <v>33891</v>
      </c>
      <c r="N20" s="419">
        <v>35806</v>
      </c>
      <c r="O20" s="420">
        <v>36780</v>
      </c>
      <c r="P20" s="421">
        <v>34991</v>
      </c>
      <c r="Q20" s="422">
        <v>46490</v>
      </c>
      <c r="R20" s="422">
        <v>36805</v>
      </c>
      <c r="S20" s="422">
        <v>31105</v>
      </c>
      <c r="T20" s="422">
        <v>35598</v>
      </c>
      <c r="U20" s="422">
        <v>45584</v>
      </c>
      <c r="V20" s="422">
        <v>50484</v>
      </c>
      <c r="W20" s="422">
        <v>43576</v>
      </c>
      <c r="X20" s="422">
        <v>34318</v>
      </c>
      <c r="Y20" s="422">
        <v>36977</v>
      </c>
      <c r="Z20" s="422">
        <v>38290</v>
      </c>
      <c r="AA20" s="423">
        <v>37281</v>
      </c>
      <c r="AB20" s="378">
        <v>35904</v>
      </c>
      <c r="AC20" s="379">
        <v>32995</v>
      </c>
      <c r="AD20" s="379">
        <v>34242</v>
      </c>
      <c r="AE20" s="379">
        <v>33161</v>
      </c>
      <c r="AF20" s="379">
        <v>32773</v>
      </c>
      <c r="AG20" s="379">
        <v>46796</v>
      </c>
      <c r="AH20" s="379">
        <v>50069</v>
      </c>
      <c r="AI20" s="379">
        <v>44378</v>
      </c>
      <c r="AJ20" s="379">
        <v>33494</v>
      </c>
      <c r="AK20" s="379">
        <v>35959</v>
      </c>
      <c r="AL20" s="379">
        <v>38401</v>
      </c>
      <c r="AM20" s="379">
        <v>43693</v>
      </c>
      <c r="AN20" s="380">
        <v>38603</v>
      </c>
      <c r="AO20" s="380">
        <v>39843</v>
      </c>
      <c r="AP20" s="380">
        <v>38029</v>
      </c>
      <c r="AQ20" s="380">
        <v>31598</v>
      </c>
      <c r="AR20" s="380">
        <v>37116</v>
      </c>
      <c r="AS20" s="380">
        <v>46093</v>
      </c>
      <c r="AT20" s="380">
        <v>49766</v>
      </c>
      <c r="AU20" s="380">
        <v>42481</v>
      </c>
      <c r="AV20" s="380">
        <v>33003</v>
      </c>
      <c r="AW20" s="380">
        <v>38298</v>
      </c>
      <c r="AX20" s="380">
        <v>38171</v>
      </c>
      <c r="AY20" s="381">
        <v>41220</v>
      </c>
      <c r="AZ20" s="424">
        <v>37463</v>
      </c>
      <c r="BA20" s="425">
        <v>35978</v>
      </c>
      <c r="BB20" s="425">
        <v>39415</v>
      </c>
      <c r="BC20" s="425">
        <v>35949</v>
      </c>
      <c r="BD20" s="425">
        <v>38023</v>
      </c>
      <c r="BE20" s="425">
        <v>47844</v>
      </c>
      <c r="BF20" s="425">
        <v>51152</v>
      </c>
      <c r="BG20" s="425">
        <v>43036</v>
      </c>
      <c r="BH20" s="425">
        <v>34628</v>
      </c>
      <c r="BI20" s="425">
        <v>38582</v>
      </c>
      <c r="BJ20" s="425">
        <v>41073</v>
      </c>
      <c r="BK20" s="426">
        <v>44235</v>
      </c>
      <c r="BL20" s="427">
        <v>37773</v>
      </c>
      <c r="BM20" s="428">
        <v>35654</v>
      </c>
      <c r="BN20" s="428">
        <v>40663</v>
      </c>
      <c r="BO20" s="428">
        <v>36524</v>
      </c>
      <c r="BP20" s="428">
        <v>40720</v>
      </c>
      <c r="BQ20" s="428">
        <v>54166</v>
      </c>
      <c r="BR20" s="428">
        <v>56168</v>
      </c>
      <c r="BS20" s="428">
        <v>46212</v>
      </c>
      <c r="BT20" s="429">
        <v>39747</v>
      </c>
      <c r="BU20" s="429">
        <v>44864</v>
      </c>
      <c r="BV20" s="429">
        <v>46422</v>
      </c>
      <c r="BW20" s="473">
        <v>54545</v>
      </c>
      <c r="BX20" s="474">
        <v>46137</v>
      </c>
      <c r="BY20" s="475">
        <v>43174</v>
      </c>
      <c r="BZ20" s="475">
        <v>49027</v>
      </c>
      <c r="CA20" s="475">
        <v>41634</v>
      </c>
      <c r="CB20" s="475">
        <v>48103</v>
      </c>
      <c r="CC20" s="475">
        <v>61054</v>
      </c>
      <c r="CD20" s="475">
        <v>64119</v>
      </c>
      <c r="CE20" s="475">
        <v>52709</v>
      </c>
      <c r="CF20" s="475">
        <v>49386</v>
      </c>
      <c r="CG20" s="475">
        <v>52967</v>
      </c>
      <c r="CH20" s="432">
        <v>56261</v>
      </c>
      <c r="CI20" s="433">
        <v>64359</v>
      </c>
      <c r="CJ20" s="434">
        <v>51688</v>
      </c>
      <c r="CK20" s="435">
        <v>53622</v>
      </c>
      <c r="CL20" s="435">
        <v>51748</v>
      </c>
      <c r="CM20" s="435">
        <v>49570</v>
      </c>
      <c r="CN20" s="435">
        <v>52174</v>
      </c>
      <c r="CO20" s="435">
        <v>58795</v>
      </c>
      <c r="CP20" s="435">
        <v>71099</v>
      </c>
      <c r="CQ20" s="435">
        <v>57790</v>
      </c>
      <c r="CR20" s="435">
        <v>55854</v>
      </c>
      <c r="CS20" s="435">
        <v>59469</v>
      </c>
      <c r="CT20" s="435">
        <v>63257</v>
      </c>
      <c r="CU20" s="436">
        <v>77949</v>
      </c>
      <c r="CV20" s="437">
        <v>58224</v>
      </c>
      <c r="CW20" s="438">
        <v>53321</v>
      </c>
      <c r="CX20" s="439">
        <v>59393</v>
      </c>
      <c r="CY20" s="439">
        <v>53854</v>
      </c>
      <c r="CZ20" s="439">
        <v>56638</v>
      </c>
      <c r="DA20" s="439">
        <v>67138</v>
      </c>
      <c r="DB20" s="439">
        <v>73006</v>
      </c>
      <c r="DC20" s="439">
        <v>52994</v>
      </c>
      <c r="DD20" s="440">
        <v>51643</v>
      </c>
      <c r="DE20" s="440">
        <v>56449</v>
      </c>
      <c r="DF20" s="383"/>
      <c r="DG20" s="383"/>
      <c r="DH20" s="1489">
        <v>52833</v>
      </c>
      <c r="DI20" s="1490">
        <v>51438</v>
      </c>
      <c r="DJ20" s="1490">
        <v>54420</v>
      </c>
      <c r="DK20" s="1491">
        <v>40983</v>
      </c>
      <c r="DL20" s="1491">
        <v>46162</v>
      </c>
      <c r="DM20" s="1491">
        <v>61277</v>
      </c>
      <c r="DN20" s="1491">
        <v>66352</v>
      </c>
      <c r="DO20" s="1491">
        <v>47805</v>
      </c>
      <c r="DP20" s="1491">
        <v>40169</v>
      </c>
      <c r="DQ20" s="1491">
        <v>53831</v>
      </c>
      <c r="DR20" s="1491">
        <v>48311</v>
      </c>
      <c r="DS20" s="1492">
        <v>64045</v>
      </c>
      <c r="DT20" s="1493">
        <v>50614</v>
      </c>
      <c r="DU20" s="1493">
        <v>47432</v>
      </c>
      <c r="DV20" s="1493">
        <v>53021</v>
      </c>
      <c r="DW20" s="1493">
        <v>50208</v>
      </c>
      <c r="DX20" s="1493">
        <v>47035</v>
      </c>
      <c r="DY20" s="1493">
        <v>65866</v>
      </c>
      <c r="DZ20" s="1678"/>
      <c r="EA20" s="1678"/>
      <c r="EB20" s="1678"/>
      <c r="EC20" s="1678"/>
      <c r="ED20" s="1678"/>
      <c r="EE20" s="1678"/>
      <c r="EF20" s="1493">
        <v>50614</v>
      </c>
      <c r="EG20" s="1493">
        <v>47432</v>
      </c>
      <c r="EH20" s="1493">
        <v>53021</v>
      </c>
      <c r="EI20" s="1493">
        <v>50208</v>
      </c>
      <c r="EJ20" s="1493">
        <v>47035</v>
      </c>
      <c r="EK20" s="1493">
        <v>65866</v>
      </c>
      <c r="EL20" s="1678"/>
      <c r="EM20" s="1678"/>
      <c r="EN20" s="1678"/>
      <c r="EO20" s="1678"/>
      <c r="EP20" s="1678"/>
      <c r="EQ20" s="1678"/>
      <c r="ER20" s="1493">
        <v>50614</v>
      </c>
      <c r="ES20" s="1493">
        <v>47432</v>
      </c>
      <c r="ET20" s="1493">
        <v>53021</v>
      </c>
      <c r="EU20" s="1493">
        <v>50208</v>
      </c>
      <c r="EV20" s="1493">
        <v>47035</v>
      </c>
      <c r="EW20" s="1493">
        <v>65866</v>
      </c>
      <c r="EX20" s="1678"/>
      <c r="EY20" s="1678"/>
      <c r="EZ20" s="1678"/>
      <c r="FA20" s="1678"/>
      <c r="FB20" s="1678"/>
      <c r="FC20" s="1678"/>
      <c r="FD20" s="1677"/>
      <c r="FE20" s="279"/>
      <c r="FF20" s="441">
        <v>91232</v>
      </c>
      <c r="FG20" s="442">
        <v>96560</v>
      </c>
      <c r="FH20" s="442">
        <v>123584</v>
      </c>
      <c r="FI20" s="443">
        <v>106477</v>
      </c>
      <c r="FJ20" s="444">
        <v>118286</v>
      </c>
      <c r="FK20" s="445">
        <v>112287</v>
      </c>
      <c r="FL20" s="445">
        <v>128378</v>
      </c>
      <c r="FM20" s="446">
        <v>112548</v>
      </c>
      <c r="FN20" s="447">
        <v>103141</v>
      </c>
      <c r="FO20" s="448">
        <v>112730</v>
      </c>
      <c r="FP20" s="448">
        <v>127941</v>
      </c>
      <c r="FQ20" s="448">
        <v>118053</v>
      </c>
      <c r="FR20" s="449">
        <v>116475</v>
      </c>
      <c r="FS20" s="450">
        <v>114807</v>
      </c>
      <c r="FT20" s="450">
        <v>125250</v>
      </c>
      <c r="FU20" s="476">
        <v>117689</v>
      </c>
      <c r="FV20" s="451">
        <v>112856</v>
      </c>
      <c r="FW20" s="452">
        <v>121816</v>
      </c>
      <c r="FX20" s="452">
        <v>128816</v>
      </c>
      <c r="FY20" s="453">
        <v>123890</v>
      </c>
      <c r="FZ20" s="407">
        <v>114090</v>
      </c>
      <c r="GA20" s="407">
        <v>131410</v>
      </c>
      <c r="GB20" s="407">
        <v>142127</v>
      </c>
      <c r="GC20" s="407">
        <v>145831</v>
      </c>
      <c r="GD20" s="412">
        <v>138338</v>
      </c>
      <c r="GE20" s="412">
        <v>150791</v>
      </c>
      <c r="GF20" s="412">
        <v>166214</v>
      </c>
      <c r="GG20" s="412">
        <v>173587</v>
      </c>
      <c r="GH20" s="413">
        <v>157058</v>
      </c>
      <c r="GI20" s="413">
        <v>160539</v>
      </c>
      <c r="GJ20" s="413">
        <v>188358</v>
      </c>
      <c r="GK20" s="413">
        <v>200675</v>
      </c>
      <c r="GL20" s="414">
        <v>170938</v>
      </c>
      <c r="GM20" s="414">
        <v>166941</v>
      </c>
      <c r="GN20" s="414">
        <v>182449</v>
      </c>
      <c r="GO20" s="1541">
        <f>+DH20+DI20+DJ20</f>
        <v>158691</v>
      </c>
      <c r="GP20" s="1541">
        <f>+DM20+DL20+DK20</f>
        <v>148422</v>
      </c>
      <c r="GQ20" s="1541">
        <f>+DP20+DO20+DN20</f>
        <v>154326</v>
      </c>
      <c r="GR20" s="1541">
        <f>+DQ20+DR20+DS20</f>
        <v>166187</v>
      </c>
      <c r="GS20" s="1542">
        <f>+DT20+DU20+DV20</f>
        <v>151067</v>
      </c>
      <c r="GT20" s="1542">
        <f>+DW20+DX20+DY20</f>
        <v>163109</v>
      </c>
      <c r="GU20" s="1543"/>
      <c r="GV20" s="279"/>
      <c r="GW20" s="407"/>
      <c r="GX20" s="412"/>
      <c r="GY20" s="412"/>
      <c r="GZ20" s="412"/>
      <c r="HA20" s="407"/>
      <c r="HB20" s="412"/>
      <c r="HC20" s="412"/>
      <c r="HD20" s="412"/>
      <c r="HE20" s="839">
        <v>417853</v>
      </c>
      <c r="HF20" s="840">
        <v>471499</v>
      </c>
      <c r="HG20" s="840">
        <v>461865</v>
      </c>
      <c r="HH20" s="840">
        <v>474221</v>
      </c>
      <c r="HI20" s="840">
        <v>487378</v>
      </c>
      <c r="HJ20" s="840">
        <v>533458</v>
      </c>
      <c r="HK20" s="840">
        <v>628930</v>
      </c>
      <c r="HL20" s="840">
        <v>703015</v>
      </c>
      <c r="HM20" s="838">
        <v>723866</v>
      </c>
      <c r="HN20" s="838">
        <f>SUM(DI20:DT20)</f>
        <v>625407</v>
      </c>
      <c r="HO20" s="1568">
        <f>SUM(DO20:EE20)</f>
        <v>568337</v>
      </c>
      <c r="HP20" s="298"/>
      <c r="HQ20" s="298"/>
      <c r="HR20" s="298"/>
      <c r="HS20" s="467"/>
      <c r="HT20" s="2287"/>
      <c r="HU20" s="1736"/>
      <c r="HV20" s="1736"/>
      <c r="HW20" s="1736"/>
      <c r="HX20" s="1736"/>
    </row>
    <row r="21" spans="1:232" s="276" customFormat="1" ht="18.75" hidden="1" customHeight="1">
      <c r="A21" s="275"/>
      <c r="C21" s="477"/>
      <c r="D21" s="478"/>
      <c r="E21" s="463"/>
      <c r="F21" s="463"/>
      <c r="G21" s="463"/>
      <c r="H21" s="463"/>
      <c r="I21" s="463"/>
      <c r="J21" s="463"/>
      <c r="K21" s="463"/>
      <c r="L21" s="463"/>
      <c r="M21" s="463"/>
      <c r="N21" s="463"/>
      <c r="O21" s="463"/>
      <c r="P21" s="479"/>
      <c r="Q21" s="479"/>
      <c r="R21" s="479"/>
      <c r="S21" s="479"/>
      <c r="T21" s="479"/>
      <c r="U21" s="479"/>
      <c r="V21" s="479"/>
      <c r="W21" s="479"/>
      <c r="X21" s="479"/>
      <c r="Y21" s="479"/>
      <c r="Z21" s="479"/>
      <c r="AA21" s="479"/>
      <c r="AB21" s="480"/>
      <c r="AC21" s="480"/>
      <c r="AD21" s="480"/>
      <c r="AE21" s="480"/>
      <c r="AF21" s="480"/>
      <c r="AG21" s="480"/>
      <c r="AH21" s="480"/>
      <c r="AI21" s="480"/>
      <c r="AJ21" s="480"/>
      <c r="AK21" s="480"/>
      <c r="AL21" s="480"/>
      <c r="AM21" s="480"/>
      <c r="AN21" s="479"/>
      <c r="AO21" s="479"/>
      <c r="AP21" s="479"/>
      <c r="AQ21" s="479"/>
      <c r="AR21" s="479"/>
      <c r="AS21" s="479"/>
      <c r="AT21" s="479"/>
      <c r="AU21" s="479"/>
      <c r="AV21" s="479"/>
      <c r="AW21" s="479"/>
      <c r="AX21" s="479"/>
      <c r="AY21" s="479"/>
      <c r="AZ21" s="463"/>
      <c r="BA21" s="463"/>
      <c r="BB21" s="463"/>
      <c r="BC21" s="463"/>
      <c r="BD21" s="463"/>
      <c r="BE21" s="463"/>
      <c r="BF21" s="463"/>
      <c r="BG21" s="463"/>
      <c r="BH21" s="463"/>
      <c r="BI21" s="463"/>
      <c r="BJ21" s="463"/>
      <c r="BK21" s="463"/>
      <c r="BL21" s="463"/>
      <c r="BM21" s="463"/>
      <c r="BN21" s="463"/>
      <c r="BO21" s="463"/>
      <c r="BP21" s="463"/>
      <c r="BQ21" s="463"/>
      <c r="BR21" s="463"/>
      <c r="BS21" s="463"/>
      <c r="BT21" s="463"/>
      <c r="BU21" s="463"/>
      <c r="BV21" s="463"/>
      <c r="BW21" s="463"/>
      <c r="BX21" s="463"/>
      <c r="BY21" s="463"/>
      <c r="BZ21" s="463"/>
      <c r="CA21" s="481">
        <v>0</v>
      </c>
      <c r="CB21" s="481">
        <v>0</v>
      </c>
      <c r="CC21" s="481">
        <v>0</v>
      </c>
      <c r="CD21" s="481">
        <v>0</v>
      </c>
      <c r="CE21" s="481">
        <v>0</v>
      </c>
      <c r="CF21" s="481">
        <v>0</v>
      </c>
      <c r="CG21" s="481">
        <v>0</v>
      </c>
      <c r="CH21" s="481"/>
      <c r="CI21" s="481"/>
      <c r="CJ21" s="481"/>
      <c r="CK21" s="481"/>
      <c r="CL21" s="481"/>
      <c r="CM21" s="481"/>
      <c r="CN21" s="481"/>
      <c r="CO21" s="481"/>
      <c r="CP21" s="481"/>
      <c r="CQ21" s="481"/>
      <c r="CR21" s="481"/>
      <c r="CS21" s="481"/>
      <c r="CT21" s="481"/>
      <c r="CU21" s="481"/>
      <c r="CV21" s="481">
        <v>0</v>
      </c>
      <c r="CW21" s="481"/>
      <c r="CX21" s="481"/>
      <c r="CY21" s="481"/>
      <c r="CZ21" s="481"/>
      <c r="DA21" s="481"/>
      <c r="DB21" s="481"/>
      <c r="DC21" s="481"/>
      <c r="DD21" s="481"/>
      <c r="DE21" s="481"/>
      <c r="DF21" s="481"/>
      <c r="DG21" s="481"/>
      <c r="DH21" s="1499"/>
      <c r="DI21" s="1499"/>
      <c r="DJ21" s="1499"/>
      <c r="DK21" s="1499"/>
      <c r="DL21" s="1499"/>
      <c r="DM21" s="1499"/>
      <c r="DN21" s="1499"/>
      <c r="DO21" s="1499">
        <v>10</v>
      </c>
      <c r="DP21" s="1499"/>
      <c r="DQ21" s="1499"/>
      <c r="DR21" s="1499"/>
      <c r="DS21" s="1499"/>
      <c r="DT21" s="1499"/>
      <c r="DU21" s="1499"/>
      <c r="DV21" s="1499"/>
      <c r="DW21" s="1499"/>
      <c r="DX21" s="1499"/>
      <c r="DY21" s="1499"/>
      <c r="DZ21" s="1499"/>
      <c r="EA21" s="1499"/>
      <c r="EB21" s="1499"/>
      <c r="EC21" s="1499"/>
      <c r="ED21" s="1499"/>
      <c r="EE21" s="1499"/>
      <c r="EF21" s="1499"/>
      <c r="EG21" s="1499"/>
      <c r="EH21" s="1499"/>
      <c r="EI21" s="1499"/>
      <c r="EJ21" s="1499"/>
      <c r="EK21" s="1499"/>
      <c r="EL21" s="1499"/>
      <c r="EM21" s="1499"/>
      <c r="EN21" s="1499"/>
      <c r="EO21" s="1499"/>
      <c r="EP21" s="1499"/>
      <c r="EQ21" s="1499"/>
      <c r="ER21" s="1499"/>
      <c r="ES21" s="1499"/>
      <c r="ET21" s="1499"/>
      <c r="EU21" s="1499"/>
      <c r="EV21" s="1499"/>
      <c r="EW21" s="1499"/>
      <c r="EX21" s="1499"/>
      <c r="EY21" s="1499"/>
      <c r="EZ21" s="1499"/>
      <c r="FA21" s="1499"/>
      <c r="FB21" s="1499"/>
      <c r="FC21" s="1499"/>
      <c r="FD21" s="2433"/>
      <c r="FE21" s="279"/>
      <c r="FF21" s="477"/>
      <c r="FG21" s="477"/>
      <c r="FH21" s="477"/>
      <c r="FI21" s="477"/>
      <c r="FJ21" s="482"/>
      <c r="FK21" s="482"/>
      <c r="FL21" s="482"/>
      <c r="FM21" s="482"/>
      <c r="FN21" s="482"/>
      <c r="FO21" s="479"/>
      <c r="FP21" s="482"/>
      <c r="FQ21" s="482"/>
      <c r="FR21" s="482"/>
      <c r="FS21" s="482"/>
      <c r="FT21" s="482"/>
      <c r="FU21" s="482"/>
      <c r="FV21" s="479"/>
      <c r="FW21" s="479"/>
      <c r="FX21" s="479"/>
      <c r="FY21" s="479"/>
      <c r="FZ21" s="279"/>
      <c r="GA21" s="279"/>
      <c r="GB21" s="279"/>
      <c r="GC21" s="279"/>
      <c r="GD21" s="481">
        <v>0</v>
      </c>
      <c r="GE21" s="481">
        <v>0</v>
      </c>
      <c r="GF21" s="481"/>
      <c r="GG21" s="481"/>
      <c r="GH21" s="481"/>
      <c r="GI21" s="481"/>
      <c r="GJ21" s="481"/>
      <c r="GK21" s="481"/>
      <c r="GL21" s="481"/>
      <c r="GM21" s="481"/>
      <c r="GN21" s="481"/>
      <c r="GO21" s="1542"/>
      <c r="GP21" s="1548"/>
      <c r="GQ21" s="1548"/>
      <c r="GR21" s="1548"/>
      <c r="GS21" s="1549"/>
      <c r="GT21" s="1549"/>
      <c r="GU21" s="1479"/>
      <c r="GV21" s="279"/>
      <c r="GW21" s="279"/>
      <c r="GX21" s="481"/>
      <c r="GY21" s="481"/>
      <c r="GZ21" s="481"/>
      <c r="HA21" s="279"/>
      <c r="HB21" s="481"/>
      <c r="HC21" s="481"/>
      <c r="HD21" s="481"/>
      <c r="HE21" s="845" t="s">
        <v>564</v>
      </c>
      <c r="HF21" s="846">
        <v>12.838486261915079</v>
      </c>
      <c r="HG21" s="846">
        <v>-2.043270505345717</v>
      </c>
      <c r="HH21" s="846">
        <v>2.6752406006083902</v>
      </c>
      <c r="HI21" s="846">
        <v>2.7744448263573389</v>
      </c>
      <c r="HJ21" s="846">
        <v>9.4546737850292857</v>
      </c>
      <c r="HK21" s="846">
        <v>17.896816619115285</v>
      </c>
      <c r="HL21" s="846">
        <v>11.779530313389415</v>
      </c>
      <c r="HM21" s="843">
        <v>2.9659395603223118</v>
      </c>
      <c r="HN21" s="843">
        <f>+HN20/HM20*100-100</f>
        <v>-13.601826857457041</v>
      </c>
      <c r="HO21" s="1569">
        <f>+HO20/HN20*100-100</f>
        <v>-9.1252576322298893</v>
      </c>
      <c r="HP21" s="298"/>
      <c r="HQ21" s="298"/>
      <c r="HR21" s="298"/>
      <c r="HS21" s="467"/>
      <c r="HT21" s="2287"/>
      <c r="HU21" s="1735"/>
      <c r="HV21" s="1735"/>
      <c r="HW21" s="1735"/>
      <c r="HX21" s="1735"/>
    </row>
    <row r="22" spans="1:232" s="276" customFormat="1" ht="19.5" hidden="1" customHeight="1" thickBot="1">
      <c r="A22" s="275"/>
      <c r="C22" s="322"/>
      <c r="D22" s="483"/>
      <c r="E22" s="463"/>
      <c r="F22" s="463"/>
      <c r="G22" s="463"/>
      <c r="H22" s="463"/>
      <c r="I22" s="463"/>
      <c r="J22" s="463"/>
      <c r="K22" s="463"/>
      <c r="L22" s="463"/>
      <c r="M22" s="463"/>
      <c r="N22" s="463"/>
      <c r="O22" s="484"/>
      <c r="P22" s="479"/>
      <c r="Q22" s="479"/>
      <c r="R22" s="479"/>
      <c r="S22" s="479"/>
      <c r="T22" s="479"/>
      <c r="U22" s="479"/>
      <c r="V22" s="479"/>
      <c r="W22" s="479"/>
      <c r="X22" s="479"/>
      <c r="Y22" s="479"/>
      <c r="Z22" s="479"/>
      <c r="AA22" s="485"/>
      <c r="AB22" s="479"/>
      <c r="AC22" s="479"/>
      <c r="AD22" s="479"/>
      <c r="AE22" s="479"/>
      <c r="AF22" s="479"/>
      <c r="AG22" s="479"/>
      <c r="AH22" s="479"/>
      <c r="AI22" s="479"/>
      <c r="AJ22" s="479"/>
      <c r="AK22" s="479"/>
      <c r="AL22" s="479"/>
      <c r="AM22" s="479"/>
      <c r="AN22" s="479"/>
      <c r="AO22" s="479"/>
      <c r="AP22" s="479"/>
      <c r="AQ22" s="479"/>
      <c r="AR22" s="479"/>
      <c r="AS22" s="479"/>
      <c r="AT22" s="479"/>
      <c r="AU22" s="479"/>
      <c r="AV22" s="479"/>
      <c r="AW22" s="479"/>
      <c r="AX22" s="479"/>
      <c r="AY22" s="479"/>
      <c r="AZ22" s="463"/>
      <c r="BA22" s="463"/>
      <c r="BB22" s="463"/>
      <c r="BC22" s="463"/>
      <c r="BD22" s="463"/>
      <c r="BE22" s="463"/>
      <c r="BF22" s="463"/>
      <c r="BG22" s="463"/>
      <c r="BH22" s="463"/>
      <c r="BI22" s="463"/>
      <c r="BJ22" s="463"/>
      <c r="BK22" s="463"/>
      <c r="BL22" s="463"/>
      <c r="BM22" s="463"/>
      <c r="BN22" s="463"/>
      <c r="BO22" s="463"/>
      <c r="BP22" s="463"/>
      <c r="BQ22" s="463"/>
      <c r="BR22" s="463"/>
      <c r="BS22" s="463"/>
      <c r="BT22" s="463"/>
      <c r="BU22" s="463"/>
      <c r="BV22" s="463"/>
      <c r="BW22" s="463"/>
      <c r="BX22" s="463"/>
      <c r="BY22" s="463"/>
      <c r="BZ22" s="463"/>
      <c r="CA22" s="463"/>
      <c r="CB22" s="463"/>
      <c r="CC22" s="463"/>
      <c r="CD22" s="463"/>
      <c r="CE22" s="463"/>
      <c r="CF22" s="463"/>
      <c r="CG22" s="463"/>
      <c r="CH22" s="463"/>
      <c r="CI22" s="463"/>
      <c r="CJ22" s="463"/>
      <c r="CK22" s="463"/>
      <c r="CL22" s="463"/>
      <c r="CM22" s="463"/>
      <c r="CN22" s="463"/>
      <c r="CO22" s="463"/>
      <c r="CP22" s="463"/>
      <c r="CQ22" s="463"/>
      <c r="CR22" s="463"/>
      <c r="CS22" s="463"/>
      <c r="CT22" s="463"/>
      <c r="CU22" s="463"/>
      <c r="CV22" s="463"/>
      <c r="CW22" s="463"/>
      <c r="CX22" s="463"/>
      <c r="CY22" s="463"/>
      <c r="CZ22" s="463"/>
      <c r="DA22" s="463"/>
      <c r="DB22" s="463"/>
      <c r="DC22" s="463"/>
      <c r="DD22" s="463"/>
      <c r="DE22" s="463"/>
      <c r="DF22" s="463"/>
      <c r="DG22" s="463"/>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2434"/>
      <c r="FE22" s="279"/>
      <c r="FF22" s="477"/>
      <c r="FG22" s="477"/>
      <c r="FH22" s="477"/>
      <c r="FI22" s="477"/>
      <c r="FJ22" s="482"/>
      <c r="FK22" s="482"/>
      <c r="FL22" s="482"/>
      <c r="FM22" s="482"/>
      <c r="FN22" s="482"/>
      <c r="FO22" s="479"/>
      <c r="FP22" s="482"/>
      <c r="FQ22" s="482"/>
      <c r="FR22" s="482"/>
      <c r="FS22" s="482"/>
      <c r="FT22" s="482"/>
      <c r="FU22" s="482"/>
      <c r="FV22" s="479"/>
      <c r="FW22" s="479"/>
      <c r="FX22" s="479"/>
      <c r="FY22" s="479"/>
      <c r="FZ22" s="279"/>
      <c r="GA22" s="279"/>
      <c r="GB22" s="279"/>
      <c r="GC22" s="279"/>
      <c r="GD22" s="279"/>
      <c r="GE22" s="279"/>
      <c r="GF22" s="279"/>
      <c r="GG22" s="279"/>
      <c r="GH22" s="279"/>
      <c r="GI22" s="279"/>
      <c r="GJ22" s="279"/>
      <c r="GK22" s="279"/>
      <c r="GL22" s="279"/>
      <c r="GM22" s="279"/>
      <c r="GN22" s="279"/>
      <c r="GO22" s="1546"/>
      <c r="GP22" s="1546"/>
      <c r="GQ22" s="1546"/>
      <c r="GR22" s="1546"/>
      <c r="GS22" s="1547"/>
      <c r="GT22" s="1547"/>
      <c r="GU22" s="1479"/>
      <c r="GV22" s="279"/>
      <c r="GW22" s="279"/>
      <c r="GX22" s="279"/>
      <c r="GY22" s="279"/>
      <c r="GZ22" s="279"/>
      <c r="HA22" s="279"/>
      <c r="HB22" s="279"/>
      <c r="HC22" s="279"/>
      <c r="HD22" s="279"/>
      <c r="HE22" s="847"/>
      <c r="HF22" s="847"/>
      <c r="HG22" s="847"/>
      <c r="HH22" s="847"/>
      <c r="HI22" s="847"/>
      <c r="HJ22" s="847"/>
      <c r="HK22" s="847"/>
      <c r="HL22" s="847"/>
      <c r="HM22" s="847"/>
      <c r="HN22" s="847"/>
      <c r="HO22" s="1571"/>
      <c r="HP22" s="298"/>
      <c r="HQ22" s="298"/>
      <c r="HR22" s="298"/>
      <c r="HS22" s="467"/>
      <c r="HT22" s="2287"/>
      <c r="HU22" s="1735"/>
      <c r="HV22" s="1735"/>
      <c r="HW22" s="1735"/>
      <c r="HX22" s="1735"/>
    </row>
    <row r="23" spans="1:232" s="276" customFormat="1" ht="18" hidden="1" customHeight="1">
      <c r="A23" s="275"/>
      <c r="C23" s="337" t="s">
        <v>552</v>
      </c>
      <c r="D23" s="3869">
        <v>2007</v>
      </c>
      <c r="E23" s="3870"/>
      <c r="F23" s="3870"/>
      <c r="G23" s="3870"/>
      <c r="H23" s="3870"/>
      <c r="I23" s="3870"/>
      <c r="J23" s="3870"/>
      <c r="K23" s="3870"/>
      <c r="L23" s="3870"/>
      <c r="M23" s="3870"/>
      <c r="N23" s="3870"/>
      <c r="O23" s="3871"/>
      <c r="P23" s="3872">
        <v>2008</v>
      </c>
      <c r="Q23" s="3873"/>
      <c r="R23" s="3873"/>
      <c r="S23" s="3873"/>
      <c r="T23" s="3873"/>
      <c r="U23" s="3873"/>
      <c r="V23" s="3873"/>
      <c r="W23" s="3873"/>
      <c r="X23" s="3873"/>
      <c r="Y23" s="3873"/>
      <c r="Z23" s="3873"/>
      <c r="AA23" s="3873"/>
      <c r="AB23" s="3874">
        <v>2009</v>
      </c>
      <c r="AC23" s="3875"/>
      <c r="AD23" s="3875"/>
      <c r="AE23" s="3875"/>
      <c r="AF23" s="3875"/>
      <c r="AG23" s="3875"/>
      <c r="AH23" s="3875"/>
      <c r="AI23" s="3875"/>
      <c r="AJ23" s="3875"/>
      <c r="AK23" s="3875"/>
      <c r="AL23" s="3875"/>
      <c r="AM23" s="3876"/>
      <c r="AN23" s="3877">
        <v>2010</v>
      </c>
      <c r="AO23" s="3878"/>
      <c r="AP23" s="3878"/>
      <c r="AQ23" s="3878"/>
      <c r="AR23" s="3878"/>
      <c r="AS23" s="3878"/>
      <c r="AT23" s="3878"/>
      <c r="AU23" s="3878"/>
      <c r="AV23" s="3878"/>
      <c r="AW23" s="3878"/>
      <c r="AX23" s="3878"/>
      <c r="AY23" s="3878"/>
      <c r="AZ23" s="3879">
        <v>2011</v>
      </c>
      <c r="BA23" s="3880"/>
      <c r="BB23" s="3880"/>
      <c r="BC23" s="3880"/>
      <c r="BD23" s="3880"/>
      <c r="BE23" s="3880"/>
      <c r="BF23" s="3880"/>
      <c r="BG23" s="3880"/>
      <c r="BH23" s="3880"/>
      <c r="BI23" s="3880"/>
      <c r="BJ23" s="3880"/>
      <c r="BK23" s="3881"/>
      <c r="BL23" s="3862">
        <v>2012</v>
      </c>
      <c r="BM23" s="3863"/>
      <c r="BN23" s="3863"/>
      <c r="BO23" s="288"/>
      <c r="BP23" s="288"/>
      <c r="BQ23" s="288"/>
      <c r="BR23" s="288"/>
      <c r="BS23" s="288"/>
      <c r="BT23" s="289"/>
      <c r="BU23" s="289"/>
      <c r="BV23" s="289"/>
      <c r="BW23" s="317"/>
      <c r="BX23" s="318">
        <v>2013</v>
      </c>
      <c r="BY23" s="319"/>
      <c r="BZ23" s="319"/>
      <c r="CA23" s="319"/>
      <c r="CB23" s="319"/>
      <c r="CC23" s="319"/>
      <c r="CD23" s="319"/>
      <c r="CE23" s="319"/>
      <c r="CF23" s="319"/>
      <c r="CG23" s="319"/>
      <c r="CH23" s="319"/>
      <c r="CI23" s="319"/>
      <c r="CJ23" s="293">
        <v>2014</v>
      </c>
      <c r="CK23" s="294"/>
      <c r="CL23" s="294"/>
      <c r="CM23" s="294"/>
      <c r="CN23" s="294"/>
      <c r="CO23" s="294"/>
      <c r="CP23" s="294"/>
      <c r="CQ23" s="294"/>
      <c r="CR23" s="294"/>
      <c r="CS23" s="294"/>
      <c r="CT23" s="294"/>
      <c r="CU23" s="295"/>
      <c r="CV23" s="296">
        <v>2015</v>
      </c>
      <c r="CW23" s="297"/>
      <c r="CX23" s="297"/>
      <c r="CY23" s="297"/>
      <c r="CZ23" s="297"/>
      <c r="DA23" s="297"/>
      <c r="DB23" s="297"/>
      <c r="DC23" s="297"/>
      <c r="DD23" s="297"/>
      <c r="DE23" s="320"/>
      <c r="DF23" s="287"/>
      <c r="DG23" s="287"/>
      <c r="DH23" s="3912">
        <v>2016</v>
      </c>
      <c r="DI23" s="3913"/>
      <c r="DJ23" s="3913"/>
      <c r="DK23" s="3913"/>
      <c r="DL23" s="3913"/>
      <c r="DM23" s="3913"/>
      <c r="DN23" s="3913"/>
      <c r="DO23" s="3913"/>
      <c r="DP23" s="3913"/>
      <c r="DQ23" s="3913"/>
      <c r="DR23" s="3913"/>
      <c r="DS23" s="3914"/>
      <c r="DT23" s="1497">
        <v>2017</v>
      </c>
      <c r="DU23" s="1497"/>
      <c r="DV23" s="1497"/>
      <c r="DW23" s="1497"/>
      <c r="DX23" s="1497"/>
      <c r="DY23" s="1497"/>
      <c r="DZ23" s="1522"/>
      <c r="EA23" s="1522"/>
      <c r="EB23" s="1522"/>
      <c r="EC23" s="1522"/>
      <c r="ED23" s="1522"/>
      <c r="EE23" s="1522"/>
      <c r="EF23" s="1497">
        <v>2017</v>
      </c>
      <c r="EG23" s="1497"/>
      <c r="EH23" s="1497"/>
      <c r="EI23" s="1497"/>
      <c r="EJ23" s="1497"/>
      <c r="EK23" s="1497"/>
      <c r="EL23" s="1522"/>
      <c r="EM23" s="1522"/>
      <c r="EN23" s="1522"/>
      <c r="EO23" s="1522"/>
      <c r="EP23" s="1522"/>
      <c r="EQ23" s="1522"/>
      <c r="ER23" s="1497">
        <v>2017</v>
      </c>
      <c r="ES23" s="1497"/>
      <c r="ET23" s="1497"/>
      <c r="EU23" s="1497"/>
      <c r="EV23" s="1497"/>
      <c r="EW23" s="1497"/>
      <c r="EX23" s="1522"/>
      <c r="EY23" s="1522"/>
      <c r="EZ23" s="1522"/>
      <c r="FA23" s="1522"/>
      <c r="FB23" s="1522"/>
      <c r="FC23" s="1522"/>
      <c r="FD23" s="2430"/>
      <c r="FE23" s="279"/>
      <c r="FF23" s="3864">
        <v>2007</v>
      </c>
      <c r="FG23" s="3865"/>
      <c r="FH23" s="3865"/>
      <c r="FI23" s="3865"/>
      <c r="FJ23" s="3866">
        <v>2008</v>
      </c>
      <c r="FK23" s="3867"/>
      <c r="FL23" s="3867"/>
      <c r="FM23" s="3868"/>
      <c r="FN23" s="3887">
        <v>2009</v>
      </c>
      <c r="FO23" s="3888"/>
      <c r="FP23" s="3888"/>
      <c r="FQ23" s="3888"/>
      <c r="FR23" s="3889">
        <v>2010</v>
      </c>
      <c r="FS23" s="3890"/>
      <c r="FT23" s="3890"/>
      <c r="FU23" s="3891"/>
      <c r="FV23" s="3892">
        <v>2011</v>
      </c>
      <c r="FW23" s="3893"/>
      <c r="FX23" s="3893"/>
      <c r="FY23" s="3894"/>
      <c r="FZ23" s="3903">
        <v>2012</v>
      </c>
      <c r="GA23" s="3904"/>
      <c r="GB23" s="3904"/>
      <c r="GC23" s="3904"/>
      <c r="GD23" s="338">
        <v>2013</v>
      </c>
      <c r="GE23" s="338"/>
      <c r="GF23" s="338"/>
      <c r="GG23" s="338"/>
      <c r="GH23" s="339">
        <v>2014</v>
      </c>
      <c r="GI23" s="339"/>
      <c r="GJ23" s="339"/>
      <c r="GK23" s="339"/>
      <c r="GL23" s="340">
        <v>2015</v>
      </c>
      <c r="GM23" s="340"/>
      <c r="GN23" s="340"/>
      <c r="GO23" s="1537">
        <v>2016</v>
      </c>
      <c r="GP23" s="1537"/>
      <c r="GQ23" s="1537"/>
      <c r="GR23" s="1537"/>
      <c r="GS23" s="1538">
        <v>2017</v>
      </c>
      <c r="GT23" s="1538"/>
      <c r="GU23" s="1479"/>
      <c r="GV23" s="279"/>
      <c r="GW23" s="279"/>
      <c r="GX23" s="338"/>
      <c r="GY23" s="338"/>
      <c r="GZ23" s="338"/>
      <c r="HA23" s="279"/>
      <c r="HB23" s="338"/>
      <c r="HC23" s="338"/>
      <c r="HD23" s="338"/>
      <c r="HE23" s="832">
        <v>2007</v>
      </c>
      <c r="HF23" s="833">
        <v>2008</v>
      </c>
      <c r="HG23" s="833">
        <v>2009</v>
      </c>
      <c r="HH23" s="833">
        <v>2010</v>
      </c>
      <c r="HI23" s="833">
        <v>2011</v>
      </c>
      <c r="HJ23" s="833">
        <v>2012</v>
      </c>
      <c r="HK23" s="833">
        <v>2013</v>
      </c>
      <c r="HL23" s="833">
        <v>2014</v>
      </c>
      <c r="HM23" s="3901" t="s">
        <v>553</v>
      </c>
      <c r="HN23" s="3901">
        <v>2016</v>
      </c>
      <c r="HO23" s="3917" t="str">
        <f>+HO15</f>
        <v>jul 2016 - jun 2017</v>
      </c>
      <c r="HP23" s="298"/>
      <c r="HQ23" s="298"/>
      <c r="HR23" s="298"/>
      <c r="HS23" s="467"/>
      <c r="HT23" s="2287"/>
      <c r="HU23" s="1735"/>
      <c r="HV23" s="1735"/>
      <c r="HW23" s="1735"/>
      <c r="HX23" s="1735"/>
    </row>
    <row r="24" spans="1:232" s="276" customFormat="1" ht="6.75" hidden="1" customHeight="1">
      <c r="A24" s="275"/>
      <c r="C24" s="341"/>
      <c r="D24" s="299"/>
      <c r="E24" s="287"/>
      <c r="F24" s="287"/>
      <c r="G24" s="287"/>
      <c r="H24" s="287"/>
      <c r="I24" s="287"/>
      <c r="J24" s="287"/>
      <c r="K24" s="287"/>
      <c r="L24" s="287"/>
      <c r="M24" s="287"/>
      <c r="N24" s="287"/>
      <c r="O24" s="287"/>
      <c r="P24" s="300"/>
      <c r="Q24" s="287"/>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301"/>
      <c r="BA24" s="287"/>
      <c r="BB24" s="287"/>
      <c r="BC24" s="287"/>
      <c r="BD24" s="287"/>
      <c r="BE24" s="287"/>
      <c r="BF24" s="287"/>
      <c r="BG24" s="287"/>
      <c r="BH24" s="287"/>
      <c r="BI24" s="287"/>
      <c r="BJ24" s="287"/>
      <c r="BK24" s="302"/>
      <c r="BL24" s="301"/>
      <c r="BM24" s="287"/>
      <c r="BN24" s="287"/>
      <c r="BO24" s="287"/>
      <c r="BP24" s="287"/>
      <c r="BQ24" s="287"/>
      <c r="BR24" s="287"/>
      <c r="BS24" s="287"/>
      <c r="BT24" s="287"/>
      <c r="BU24" s="287"/>
      <c r="BV24" s="287"/>
      <c r="BW24" s="302"/>
      <c r="BX24" s="301"/>
      <c r="BY24" s="287"/>
      <c r="BZ24" s="287"/>
      <c r="CA24" s="287"/>
      <c r="CB24" s="287"/>
      <c r="CC24" s="287"/>
      <c r="CD24" s="287"/>
      <c r="CE24" s="287"/>
      <c r="CF24" s="287"/>
      <c r="CG24" s="287"/>
      <c r="CH24" s="287"/>
      <c r="CI24" s="287"/>
      <c r="CJ24" s="306"/>
      <c r="CK24" s="307"/>
      <c r="CL24" s="307"/>
      <c r="CM24" s="307"/>
      <c r="CN24" s="307"/>
      <c r="CO24" s="307"/>
      <c r="CP24" s="307"/>
      <c r="CQ24" s="307"/>
      <c r="CR24" s="307"/>
      <c r="CS24" s="307"/>
      <c r="CT24" s="307"/>
      <c r="CU24" s="308"/>
      <c r="CV24" s="309"/>
      <c r="CW24" s="310"/>
      <c r="CX24" s="310"/>
      <c r="CY24" s="310"/>
      <c r="CZ24" s="310"/>
      <c r="DA24" s="310"/>
      <c r="DB24" s="310"/>
      <c r="DC24" s="310"/>
      <c r="DD24" s="310"/>
      <c r="DE24" s="321"/>
      <c r="DF24" s="310"/>
      <c r="DG24" s="310"/>
      <c r="DH24" s="1481"/>
      <c r="DI24" s="1481"/>
      <c r="DJ24" s="1481"/>
      <c r="DK24" s="1481"/>
      <c r="DL24" s="1481"/>
      <c r="DM24" s="1481"/>
      <c r="DN24" s="1481"/>
      <c r="DO24" s="1481"/>
      <c r="DP24" s="1481"/>
      <c r="DQ24" s="1481"/>
      <c r="DR24" s="1481"/>
      <c r="DS24" s="1500"/>
      <c r="DT24" s="1482"/>
      <c r="DU24" s="1482"/>
      <c r="DV24" s="1482"/>
      <c r="DW24" s="1482"/>
      <c r="DX24" s="1482"/>
      <c r="DY24" s="1482"/>
      <c r="DZ24" s="1524"/>
      <c r="EA24" s="1524"/>
      <c r="EB24" s="1524"/>
      <c r="EC24" s="1524"/>
      <c r="ED24" s="1524"/>
      <c r="EE24" s="1524"/>
      <c r="EF24" s="1482"/>
      <c r="EG24" s="1482"/>
      <c r="EH24" s="1482"/>
      <c r="EI24" s="1482"/>
      <c r="EJ24" s="1482"/>
      <c r="EK24" s="1482"/>
      <c r="EL24" s="1524"/>
      <c r="EM24" s="1524"/>
      <c r="EN24" s="1524"/>
      <c r="EO24" s="1524"/>
      <c r="EP24" s="1524"/>
      <c r="EQ24" s="1524"/>
      <c r="ER24" s="1482"/>
      <c r="ES24" s="1482"/>
      <c r="ET24" s="1482"/>
      <c r="EU24" s="1482"/>
      <c r="EV24" s="1482"/>
      <c r="EW24" s="1482"/>
      <c r="EX24" s="1524"/>
      <c r="EY24" s="1524"/>
      <c r="EZ24" s="1524"/>
      <c r="FA24" s="1524"/>
      <c r="FB24" s="1524"/>
      <c r="FC24" s="1524"/>
      <c r="FD24" s="2430"/>
      <c r="FE24" s="311"/>
      <c r="FF24" s="287"/>
      <c r="FG24" s="287"/>
      <c r="FH24" s="287"/>
      <c r="FI24" s="287"/>
      <c r="FJ24" s="287"/>
      <c r="FK24" s="287"/>
      <c r="FL24" s="287"/>
      <c r="FM24" s="287"/>
      <c r="FN24" s="287"/>
      <c r="FO24" s="287"/>
      <c r="FP24" s="287"/>
      <c r="FQ24" s="287"/>
      <c r="FR24" s="287"/>
      <c r="FS24" s="287"/>
      <c r="FT24" s="287"/>
      <c r="FU24" s="287"/>
      <c r="FV24" s="312"/>
      <c r="FW24" s="312"/>
      <c r="FX24" s="312"/>
      <c r="FY24" s="312"/>
      <c r="FZ24" s="287"/>
      <c r="GA24" s="287"/>
      <c r="GB24" s="287"/>
      <c r="GC24" s="287"/>
      <c r="GD24" s="287"/>
      <c r="GE24" s="287"/>
      <c r="GF24" s="287"/>
      <c r="GG24" s="287"/>
      <c r="GH24" s="323"/>
      <c r="GI24" s="323"/>
      <c r="GJ24" s="323"/>
      <c r="GK24" s="323"/>
      <c r="GL24" s="313"/>
      <c r="GM24" s="313"/>
      <c r="GN24" s="313"/>
      <c r="GO24" s="1523"/>
      <c r="GP24" s="1523"/>
      <c r="GQ24" s="1523"/>
      <c r="GR24" s="1523"/>
      <c r="GS24" s="1535"/>
      <c r="GT24" s="1535"/>
      <c r="GU24" s="1523"/>
      <c r="GV24" s="287"/>
      <c r="GW24" s="287"/>
      <c r="GX24" s="287"/>
      <c r="GY24" s="287"/>
      <c r="GZ24" s="287"/>
      <c r="HA24" s="287"/>
      <c r="HB24" s="287"/>
      <c r="HC24" s="287"/>
      <c r="HD24" s="287"/>
      <c r="HE24" s="834"/>
      <c r="HF24" s="835"/>
      <c r="HG24" s="835"/>
      <c r="HH24" s="835"/>
      <c r="HI24" s="835"/>
      <c r="HJ24" s="835"/>
      <c r="HK24" s="835"/>
      <c r="HL24" s="835"/>
      <c r="HM24" s="3901"/>
      <c r="HN24" s="3901"/>
      <c r="HO24" s="3918"/>
      <c r="HP24" s="298"/>
      <c r="HQ24" s="298"/>
      <c r="HR24" s="298"/>
      <c r="HS24" s="467"/>
      <c r="HT24" s="2287"/>
      <c r="HU24" s="1735"/>
      <c r="HV24" s="1735"/>
      <c r="HW24" s="1735"/>
      <c r="HX24" s="1735"/>
    </row>
    <row r="25" spans="1:232" s="276" customFormat="1" ht="21" hidden="1" customHeight="1">
      <c r="A25" s="275"/>
      <c r="C25" s="322" t="s">
        <v>93</v>
      </c>
      <c r="D25" s="342" t="s">
        <v>37</v>
      </c>
      <c r="E25" s="343" t="s">
        <v>38</v>
      </c>
      <c r="F25" s="343" t="s">
        <v>39</v>
      </c>
      <c r="G25" s="343" t="s">
        <v>40</v>
      </c>
      <c r="H25" s="343" t="s">
        <v>41</v>
      </c>
      <c r="I25" s="343" t="s">
        <v>42</v>
      </c>
      <c r="J25" s="343" t="s">
        <v>43</v>
      </c>
      <c r="K25" s="343" t="s">
        <v>44</v>
      </c>
      <c r="L25" s="343" t="s">
        <v>45</v>
      </c>
      <c r="M25" s="343" t="s">
        <v>46</v>
      </c>
      <c r="N25" s="343" t="s">
        <v>47</v>
      </c>
      <c r="O25" s="344" t="s">
        <v>48</v>
      </c>
      <c r="P25" s="342" t="s">
        <v>37</v>
      </c>
      <c r="Q25" s="343" t="s">
        <v>38</v>
      </c>
      <c r="R25" s="343" t="s">
        <v>39</v>
      </c>
      <c r="S25" s="343" t="s">
        <v>40</v>
      </c>
      <c r="T25" s="343" t="s">
        <v>41</v>
      </c>
      <c r="U25" s="343" t="s">
        <v>42</v>
      </c>
      <c r="V25" s="343" t="s">
        <v>43</v>
      </c>
      <c r="W25" s="343" t="s">
        <v>44</v>
      </c>
      <c r="X25" s="343" t="s">
        <v>45</v>
      </c>
      <c r="Y25" s="343" t="s">
        <v>46</v>
      </c>
      <c r="Z25" s="343" t="s">
        <v>47</v>
      </c>
      <c r="AA25" s="344" t="s">
        <v>48</v>
      </c>
      <c r="AB25" s="345" t="s">
        <v>37</v>
      </c>
      <c r="AC25" s="346" t="s">
        <v>38</v>
      </c>
      <c r="AD25" s="346" t="s">
        <v>39</v>
      </c>
      <c r="AE25" s="346" t="s">
        <v>40</v>
      </c>
      <c r="AF25" s="346" t="s">
        <v>41</v>
      </c>
      <c r="AG25" s="346" t="s">
        <v>42</v>
      </c>
      <c r="AH25" s="346" t="s">
        <v>43</v>
      </c>
      <c r="AI25" s="346" t="s">
        <v>44</v>
      </c>
      <c r="AJ25" s="346" t="s">
        <v>45</v>
      </c>
      <c r="AK25" s="346" t="s">
        <v>46</v>
      </c>
      <c r="AL25" s="346" t="s">
        <v>47</v>
      </c>
      <c r="AM25" s="346" t="s">
        <v>48</v>
      </c>
      <c r="AN25" s="346" t="s">
        <v>37</v>
      </c>
      <c r="AO25" s="346" t="s">
        <v>38</v>
      </c>
      <c r="AP25" s="346" t="s">
        <v>39</v>
      </c>
      <c r="AQ25" s="346" t="s">
        <v>40</v>
      </c>
      <c r="AR25" s="346" t="s">
        <v>41</v>
      </c>
      <c r="AS25" s="346" t="s">
        <v>41</v>
      </c>
      <c r="AT25" s="346" t="s">
        <v>43</v>
      </c>
      <c r="AU25" s="346" t="s">
        <v>44</v>
      </c>
      <c r="AV25" s="346" t="s">
        <v>45</v>
      </c>
      <c r="AW25" s="346" t="s">
        <v>46</v>
      </c>
      <c r="AX25" s="346" t="s">
        <v>47</v>
      </c>
      <c r="AY25" s="347" t="s">
        <v>48</v>
      </c>
      <c r="AZ25" s="348" t="s">
        <v>37</v>
      </c>
      <c r="BA25" s="349" t="s">
        <v>38</v>
      </c>
      <c r="BB25" s="349" t="s">
        <v>39</v>
      </c>
      <c r="BC25" s="349" t="s">
        <v>40</v>
      </c>
      <c r="BD25" s="349" t="s">
        <v>41</v>
      </c>
      <c r="BE25" s="349" t="s">
        <v>42</v>
      </c>
      <c r="BF25" s="349" t="s">
        <v>43</v>
      </c>
      <c r="BG25" s="349" t="s">
        <v>44</v>
      </c>
      <c r="BH25" s="349" t="s">
        <v>45</v>
      </c>
      <c r="BI25" s="349" t="s">
        <v>46</v>
      </c>
      <c r="BJ25" s="349" t="s">
        <v>47</v>
      </c>
      <c r="BK25" s="350" t="s">
        <v>48</v>
      </c>
      <c r="BL25" s="351" t="s">
        <v>37</v>
      </c>
      <c r="BM25" s="352" t="s">
        <v>38</v>
      </c>
      <c r="BN25" s="352" t="s">
        <v>39</v>
      </c>
      <c r="BO25" s="352" t="s">
        <v>40</v>
      </c>
      <c r="BP25" s="352" t="s">
        <v>41</v>
      </c>
      <c r="BQ25" s="352" t="s">
        <v>42</v>
      </c>
      <c r="BR25" s="352" t="s">
        <v>43</v>
      </c>
      <c r="BS25" s="352" t="s">
        <v>44</v>
      </c>
      <c r="BT25" s="353" t="s">
        <v>45</v>
      </c>
      <c r="BU25" s="353" t="s">
        <v>46</v>
      </c>
      <c r="BV25" s="353" t="s">
        <v>47</v>
      </c>
      <c r="BW25" s="469" t="s">
        <v>48</v>
      </c>
      <c r="BX25" s="470" t="s">
        <v>37</v>
      </c>
      <c r="BY25" s="355" t="s">
        <v>38</v>
      </c>
      <c r="BZ25" s="355" t="s">
        <v>39</v>
      </c>
      <c r="CA25" s="355" t="s">
        <v>40</v>
      </c>
      <c r="CB25" s="355" t="s">
        <v>41</v>
      </c>
      <c r="CC25" s="355" t="s">
        <v>42</v>
      </c>
      <c r="CD25" s="355" t="s">
        <v>43</v>
      </c>
      <c r="CE25" s="355" t="s">
        <v>44</v>
      </c>
      <c r="CF25" s="355" t="s">
        <v>45</v>
      </c>
      <c r="CG25" s="355" t="s">
        <v>46</v>
      </c>
      <c r="CH25" s="355" t="s">
        <v>47</v>
      </c>
      <c r="CI25" s="355" t="s">
        <v>48</v>
      </c>
      <c r="CJ25" s="356" t="s">
        <v>37</v>
      </c>
      <c r="CK25" s="346" t="s">
        <v>38</v>
      </c>
      <c r="CL25" s="346" t="s">
        <v>39</v>
      </c>
      <c r="CM25" s="346" t="s">
        <v>40</v>
      </c>
      <c r="CN25" s="346" t="s">
        <v>41</v>
      </c>
      <c r="CO25" s="346" t="s">
        <v>42</v>
      </c>
      <c r="CP25" s="346" t="s">
        <v>43</v>
      </c>
      <c r="CQ25" s="346" t="s">
        <v>44</v>
      </c>
      <c r="CR25" s="346" t="s">
        <v>45</v>
      </c>
      <c r="CS25" s="346" t="s">
        <v>46</v>
      </c>
      <c r="CT25" s="346" t="s">
        <v>47</v>
      </c>
      <c r="CU25" s="357" t="s">
        <v>48</v>
      </c>
      <c r="CV25" s="355" t="s">
        <v>37</v>
      </c>
      <c r="CW25" s="355" t="s">
        <v>38</v>
      </c>
      <c r="CX25" s="355" t="s">
        <v>39</v>
      </c>
      <c r="CY25" s="355" t="s">
        <v>40</v>
      </c>
      <c r="CZ25" s="355" t="s">
        <v>41</v>
      </c>
      <c r="DA25" s="355" t="s">
        <v>42</v>
      </c>
      <c r="DB25" s="355" t="s">
        <v>43</v>
      </c>
      <c r="DC25" s="355" t="s">
        <v>44</v>
      </c>
      <c r="DD25" s="355" t="s">
        <v>45</v>
      </c>
      <c r="DE25" s="355" t="s">
        <v>46</v>
      </c>
      <c r="DF25" s="355"/>
      <c r="DG25" s="355"/>
      <c r="DH25" s="1498" t="s">
        <v>37</v>
      </c>
      <c r="DI25" s="1498" t="s">
        <v>38</v>
      </c>
      <c r="DJ25" s="1498" t="s">
        <v>39</v>
      </c>
      <c r="DK25" s="1498" t="s">
        <v>40</v>
      </c>
      <c r="DL25" s="1498" t="s">
        <v>41</v>
      </c>
      <c r="DM25" s="1498" t="s">
        <v>42</v>
      </c>
      <c r="DN25" s="1498" t="s">
        <v>43</v>
      </c>
      <c r="DO25" s="1498" t="s">
        <v>44</v>
      </c>
      <c r="DP25" s="1498" t="s">
        <v>202</v>
      </c>
      <c r="DQ25" s="1498" t="s">
        <v>46</v>
      </c>
      <c r="DR25" s="1498" t="s">
        <v>47</v>
      </c>
      <c r="DS25" s="1498" t="s">
        <v>48</v>
      </c>
      <c r="DT25" s="1484" t="s">
        <v>37</v>
      </c>
      <c r="DU25" s="1484" t="s">
        <v>38</v>
      </c>
      <c r="DV25" s="1484" t="s">
        <v>39</v>
      </c>
      <c r="DW25" s="1484" t="s">
        <v>40</v>
      </c>
      <c r="DX25" s="1484" t="s">
        <v>41</v>
      </c>
      <c r="DY25" s="1484" t="s">
        <v>42</v>
      </c>
      <c r="DZ25" s="1498"/>
      <c r="EA25" s="1498"/>
      <c r="EB25" s="1498"/>
      <c r="EC25" s="1498"/>
      <c r="ED25" s="1498"/>
      <c r="EE25" s="1498"/>
      <c r="EF25" s="1484" t="s">
        <v>37</v>
      </c>
      <c r="EG25" s="1484" t="s">
        <v>38</v>
      </c>
      <c r="EH25" s="1484" t="s">
        <v>39</v>
      </c>
      <c r="EI25" s="1484" t="s">
        <v>40</v>
      </c>
      <c r="EJ25" s="1484" t="s">
        <v>41</v>
      </c>
      <c r="EK25" s="1484" t="s">
        <v>42</v>
      </c>
      <c r="EL25" s="1498"/>
      <c r="EM25" s="1498"/>
      <c r="EN25" s="1498"/>
      <c r="EO25" s="1498"/>
      <c r="EP25" s="1498"/>
      <c r="EQ25" s="1498"/>
      <c r="ER25" s="1484" t="s">
        <v>37</v>
      </c>
      <c r="ES25" s="1484" t="s">
        <v>38</v>
      </c>
      <c r="ET25" s="1484" t="s">
        <v>39</v>
      </c>
      <c r="EU25" s="1484" t="s">
        <v>40</v>
      </c>
      <c r="EV25" s="1484" t="s">
        <v>41</v>
      </c>
      <c r="EW25" s="1484" t="s">
        <v>42</v>
      </c>
      <c r="EX25" s="1498"/>
      <c r="EY25" s="1498"/>
      <c r="EZ25" s="1498"/>
      <c r="FA25" s="1498"/>
      <c r="FB25" s="1498"/>
      <c r="FC25" s="1498"/>
      <c r="FD25" s="1498"/>
      <c r="FE25" s="279"/>
      <c r="FF25" s="358" t="s">
        <v>186</v>
      </c>
      <c r="FG25" s="359" t="s">
        <v>554</v>
      </c>
      <c r="FH25" s="359" t="s">
        <v>555</v>
      </c>
      <c r="FI25" s="360" t="s">
        <v>556</v>
      </c>
      <c r="FJ25" s="358" t="s">
        <v>186</v>
      </c>
      <c r="FK25" s="359" t="s">
        <v>554</v>
      </c>
      <c r="FL25" s="359" t="s">
        <v>555</v>
      </c>
      <c r="FM25" s="360" t="s">
        <v>556</v>
      </c>
      <c r="FN25" s="361" t="s">
        <v>186</v>
      </c>
      <c r="FO25" s="362" t="s">
        <v>554</v>
      </c>
      <c r="FP25" s="362" t="s">
        <v>557</v>
      </c>
      <c r="FQ25" s="362" t="s">
        <v>558</v>
      </c>
      <c r="FR25" s="363" t="s">
        <v>186</v>
      </c>
      <c r="FS25" s="364" t="s">
        <v>559</v>
      </c>
      <c r="FT25" s="364" t="s">
        <v>560</v>
      </c>
      <c r="FU25" s="365" t="s">
        <v>556</v>
      </c>
      <c r="FV25" s="366" t="s">
        <v>186</v>
      </c>
      <c r="FW25" s="367" t="s">
        <v>554</v>
      </c>
      <c r="FX25" s="367" t="s">
        <v>557</v>
      </c>
      <c r="FY25" s="368" t="s">
        <v>558</v>
      </c>
      <c r="FZ25" s="369" t="s">
        <v>186</v>
      </c>
      <c r="GA25" s="369" t="s">
        <v>554</v>
      </c>
      <c r="GB25" s="369" t="s">
        <v>557</v>
      </c>
      <c r="GC25" s="369" t="s">
        <v>558</v>
      </c>
      <c r="GD25" s="369" t="s">
        <v>186</v>
      </c>
      <c r="GE25" s="369" t="s">
        <v>554</v>
      </c>
      <c r="GF25" s="369" t="s">
        <v>557</v>
      </c>
      <c r="GG25" s="369" t="s">
        <v>558</v>
      </c>
      <c r="GH25" s="369" t="s">
        <v>186</v>
      </c>
      <c r="GI25" s="369" t="s">
        <v>554</v>
      </c>
      <c r="GJ25" s="369" t="s">
        <v>557</v>
      </c>
      <c r="GK25" s="369" t="s">
        <v>558</v>
      </c>
      <c r="GL25" s="369" t="s">
        <v>186</v>
      </c>
      <c r="GM25" s="369" t="s">
        <v>554</v>
      </c>
      <c r="GN25" s="369" t="s">
        <v>557</v>
      </c>
      <c r="GO25" s="1539" t="s">
        <v>186</v>
      </c>
      <c r="GP25" s="1539" t="s">
        <v>554</v>
      </c>
      <c r="GQ25" s="60" t="s">
        <v>557</v>
      </c>
      <c r="GR25" s="60" t="s">
        <v>558</v>
      </c>
      <c r="GS25" s="1550" t="s">
        <v>186</v>
      </c>
      <c r="GT25" s="1539" t="s">
        <v>554</v>
      </c>
      <c r="GU25" s="1479"/>
      <c r="GV25" s="279"/>
      <c r="GW25" s="369"/>
      <c r="GX25" s="369"/>
      <c r="GY25" s="369"/>
      <c r="GZ25" s="369"/>
      <c r="HA25" s="369"/>
      <c r="HB25" s="369"/>
      <c r="HC25" s="369"/>
      <c r="HD25" s="369"/>
      <c r="HE25" s="834" t="s">
        <v>49</v>
      </c>
      <c r="HF25" s="834" t="s">
        <v>49</v>
      </c>
      <c r="HG25" s="834" t="s">
        <v>49</v>
      </c>
      <c r="HH25" s="834" t="s">
        <v>49</v>
      </c>
      <c r="HI25" s="834" t="s">
        <v>49</v>
      </c>
      <c r="HJ25" s="834" t="s">
        <v>49</v>
      </c>
      <c r="HK25" s="834" t="s">
        <v>49</v>
      </c>
      <c r="HL25" s="834" t="s">
        <v>49</v>
      </c>
      <c r="HM25" s="3901"/>
      <c r="HN25" s="3901" t="s">
        <v>49</v>
      </c>
      <c r="HO25" s="3919"/>
      <c r="HP25" s="298"/>
      <c r="HQ25" s="298"/>
      <c r="HR25" s="298"/>
      <c r="HS25" s="467"/>
      <c r="HT25" s="2287"/>
      <c r="HU25" s="1735"/>
      <c r="HV25" s="1735"/>
      <c r="HW25" s="1735"/>
      <c r="HX25" s="1735"/>
    </row>
    <row r="26" spans="1:232" s="341" customFormat="1" ht="21.95" hidden="1" customHeight="1">
      <c r="A26" s="370"/>
      <c r="C26" s="371" t="s">
        <v>568</v>
      </c>
      <c r="D26" s="372">
        <v>1565</v>
      </c>
      <c r="E26" s="373">
        <v>1721</v>
      </c>
      <c r="F26" s="373">
        <v>1539</v>
      </c>
      <c r="G26" s="373">
        <v>1325</v>
      </c>
      <c r="H26" s="373">
        <v>1418</v>
      </c>
      <c r="I26" s="373">
        <v>3883</v>
      </c>
      <c r="J26" s="373">
        <v>3794</v>
      </c>
      <c r="K26" s="373">
        <v>2750</v>
      </c>
      <c r="L26" s="373">
        <v>1321</v>
      </c>
      <c r="M26" s="373">
        <v>1108</v>
      </c>
      <c r="N26" s="373">
        <v>1678</v>
      </c>
      <c r="O26" s="374">
        <v>2874</v>
      </c>
      <c r="P26" s="375">
        <v>1866</v>
      </c>
      <c r="Q26" s="376">
        <v>2065</v>
      </c>
      <c r="R26" s="376">
        <v>1833</v>
      </c>
      <c r="S26" s="376">
        <v>1141</v>
      </c>
      <c r="T26" s="376">
        <v>1459</v>
      </c>
      <c r="U26" s="376">
        <v>3630</v>
      </c>
      <c r="V26" s="376">
        <v>3424</v>
      </c>
      <c r="W26" s="376">
        <v>2608</v>
      </c>
      <c r="X26" s="376">
        <v>1078</v>
      </c>
      <c r="Y26" s="376">
        <v>998</v>
      </c>
      <c r="Z26" s="376">
        <v>1285</v>
      </c>
      <c r="AA26" s="377">
        <v>2690</v>
      </c>
      <c r="AB26" s="378">
        <v>1709</v>
      </c>
      <c r="AC26" s="379">
        <v>1790</v>
      </c>
      <c r="AD26" s="379">
        <v>1351</v>
      </c>
      <c r="AE26" s="379">
        <v>1578</v>
      </c>
      <c r="AF26" s="379">
        <v>1519</v>
      </c>
      <c r="AG26" s="379">
        <v>4093</v>
      </c>
      <c r="AH26" s="379">
        <v>3431</v>
      </c>
      <c r="AI26" s="379">
        <v>2565</v>
      </c>
      <c r="AJ26" s="379">
        <v>1351</v>
      </c>
      <c r="AK26" s="379">
        <v>1261</v>
      </c>
      <c r="AL26" s="379">
        <v>1426</v>
      </c>
      <c r="AM26" s="379">
        <v>3049</v>
      </c>
      <c r="AN26" s="380">
        <v>1728</v>
      </c>
      <c r="AO26" s="380">
        <v>1719</v>
      </c>
      <c r="AP26" s="380">
        <v>1658</v>
      </c>
      <c r="AQ26" s="380">
        <v>1152</v>
      </c>
      <c r="AR26" s="380">
        <v>1509</v>
      </c>
      <c r="AS26" s="380">
        <v>3868</v>
      </c>
      <c r="AT26" s="380">
        <v>3524</v>
      </c>
      <c r="AU26" s="380">
        <v>2752</v>
      </c>
      <c r="AV26" s="380">
        <v>1492</v>
      </c>
      <c r="AW26" s="380">
        <v>1192</v>
      </c>
      <c r="AX26" s="380">
        <v>1435.7276847211963</v>
      </c>
      <c r="AY26" s="381">
        <v>3158</v>
      </c>
      <c r="AZ26" s="382">
        <v>1761</v>
      </c>
      <c r="BA26" s="383">
        <v>1584</v>
      </c>
      <c r="BB26" s="383">
        <v>1347</v>
      </c>
      <c r="BC26" s="383">
        <v>1414</v>
      </c>
      <c r="BD26" s="383">
        <v>1256</v>
      </c>
      <c r="BE26" s="383">
        <v>3861</v>
      </c>
      <c r="BF26" s="383">
        <v>3357</v>
      </c>
      <c r="BG26" s="383">
        <v>2543</v>
      </c>
      <c r="BH26" s="383">
        <v>1301</v>
      </c>
      <c r="BI26" s="383">
        <v>1186</v>
      </c>
      <c r="BJ26" s="383">
        <v>1312</v>
      </c>
      <c r="BK26" s="384">
        <v>3224</v>
      </c>
      <c r="BL26" s="385">
        <v>1841</v>
      </c>
      <c r="BM26" s="386">
        <v>1508</v>
      </c>
      <c r="BN26" s="386">
        <v>1407</v>
      </c>
      <c r="BO26" s="386">
        <v>1220</v>
      </c>
      <c r="BP26" s="386">
        <v>1222</v>
      </c>
      <c r="BQ26" s="386">
        <v>4012</v>
      </c>
      <c r="BR26" s="386">
        <v>3739</v>
      </c>
      <c r="BS26" s="386">
        <v>2319</v>
      </c>
      <c r="BT26" s="387">
        <v>1284</v>
      </c>
      <c r="BU26" s="387">
        <v>1177</v>
      </c>
      <c r="BV26" s="387">
        <v>1409</v>
      </c>
      <c r="BW26" s="471">
        <v>4025</v>
      </c>
      <c r="BX26" s="472">
        <v>1725</v>
      </c>
      <c r="BY26" s="390">
        <v>1774</v>
      </c>
      <c r="BZ26" s="390">
        <v>1869</v>
      </c>
      <c r="CA26" s="390">
        <v>1391</v>
      </c>
      <c r="CB26" s="390">
        <v>1690</v>
      </c>
      <c r="CC26" s="390">
        <v>4649</v>
      </c>
      <c r="CD26" s="390">
        <v>4074</v>
      </c>
      <c r="CE26" s="390">
        <v>2913</v>
      </c>
      <c r="CF26" s="390">
        <v>1754</v>
      </c>
      <c r="CG26" s="390">
        <v>1875</v>
      </c>
      <c r="CH26" s="390">
        <v>2162</v>
      </c>
      <c r="CI26" s="391">
        <v>3979</v>
      </c>
      <c r="CJ26" s="392">
        <v>1923</v>
      </c>
      <c r="CK26" s="393">
        <v>2361</v>
      </c>
      <c r="CL26" s="393">
        <v>1769</v>
      </c>
      <c r="CM26" s="393">
        <v>1968</v>
      </c>
      <c r="CN26" s="393">
        <v>1715</v>
      </c>
      <c r="CO26" s="393">
        <v>3327</v>
      </c>
      <c r="CP26" s="393">
        <v>4297</v>
      </c>
      <c r="CQ26" s="393">
        <v>2741</v>
      </c>
      <c r="CR26" s="393">
        <v>1573</v>
      </c>
      <c r="CS26" s="393">
        <v>1642</v>
      </c>
      <c r="CT26" s="393">
        <v>1839</v>
      </c>
      <c r="CU26" s="394">
        <v>4733</v>
      </c>
      <c r="CV26" s="486">
        <v>1954</v>
      </c>
      <c r="CW26" s="393">
        <v>2036</v>
      </c>
      <c r="CX26" s="487">
        <v>1880</v>
      </c>
      <c r="CY26" s="487">
        <v>1604</v>
      </c>
      <c r="CZ26" s="487">
        <v>1687</v>
      </c>
      <c r="DA26" s="487">
        <v>4518</v>
      </c>
      <c r="DB26" s="487">
        <v>4779</v>
      </c>
      <c r="DC26" s="487">
        <v>2759</v>
      </c>
      <c r="DD26" s="396">
        <v>1535</v>
      </c>
      <c r="DE26" s="396">
        <v>1558</v>
      </c>
      <c r="DF26" s="383"/>
      <c r="DG26" s="383"/>
      <c r="DH26" s="1501">
        <v>2011</v>
      </c>
      <c r="DI26" s="1502">
        <v>1939</v>
      </c>
      <c r="DJ26" s="1502">
        <v>2081</v>
      </c>
      <c r="DK26" s="1487">
        <v>1219</v>
      </c>
      <c r="DL26" s="1487">
        <v>1321</v>
      </c>
      <c r="DM26" s="1487">
        <v>4182</v>
      </c>
      <c r="DN26" s="1487">
        <v>4189</v>
      </c>
      <c r="DO26" s="1487">
        <v>2449</v>
      </c>
      <c r="DP26" s="1487">
        <v>1167</v>
      </c>
      <c r="DQ26" s="1487">
        <v>1212</v>
      </c>
      <c r="DR26" s="1487">
        <v>1527</v>
      </c>
      <c r="DS26" s="1486">
        <v>4253</v>
      </c>
      <c r="DT26" s="1488">
        <v>1835</v>
      </c>
      <c r="DU26" s="1488">
        <v>1906</v>
      </c>
      <c r="DV26" s="1488">
        <v>1711</v>
      </c>
      <c r="DW26" s="1488">
        <v>1952</v>
      </c>
      <c r="DX26" s="1488">
        <v>1296</v>
      </c>
      <c r="DY26" s="1488">
        <v>4435</v>
      </c>
      <c r="DZ26" s="1677"/>
      <c r="EA26" s="1677"/>
      <c r="EB26" s="1677"/>
      <c r="EC26" s="1677"/>
      <c r="ED26" s="1677"/>
      <c r="EE26" s="1677"/>
      <c r="EF26" s="1488">
        <v>1835</v>
      </c>
      <c r="EG26" s="1488">
        <v>1906</v>
      </c>
      <c r="EH26" s="1488">
        <v>1711</v>
      </c>
      <c r="EI26" s="1488">
        <v>1952</v>
      </c>
      <c r="EJ26" s="1488">
        <v>1296</v>
      </c>
      <c r="EK26" s="1488">
        <v>4435</v>
      </c>
      <c r="EL26" s="1677"/>
      <c r="EM26" s="1677"/>
      <c r="EN26" s="1677"/>
      <c r="EO26" s="1677"/>
      <c r="EP26" s="1677"/>
      <c r="EQ26" s="1677"/>
      <c r="ER26" s="1488">
        <v>1835</v>
      </c>
      <c r="ES26" s="1488">
        <v>1906</v>
      </c>
      <c r="ET26" s="1488">
        <v>1711</v>
      </c>
      <c r="EU26" s="1488">
        <v>1952</v>
      </c>
      <c r="EV26" s="1488">
        <v>1296</v>
      </c>
      <c r="EW26" s="1488">
        <v>4435</v>
      </c>
      <c r="EX26" s="1677"/>
      <c r="EY26" s="1677"/>
      <c r="EZ26" s="1677"/>
      <c r="FA26" s="1677"/>
      <c r="FB26" s="1677"/>
      <c r="FC26" s="1677"/>
      <c r="FD26" s="1677"/>
      <c r="FE26" s="279"/>
      <c r="FF26" s="397">
        <v>4825</v>
      </c>
      <c r="FG26" s="398">
        <v>6626</v>
      </c>
      <c r="FH26" s="398">
        <v>7865</v>
      </c>
      <c r="FI26" s="399">
        <v>5660</v>
      </c>
      <c r="FJ26" s="400">
        <v>5764</v>
      </c>
      <c r="FK26" s="401">
        <v>6230</v>
      </c>
      <c r="FL26" s="401">
        <v>7110</v>
      </c>
      <c r="FM26" s="402">
        <v>4973</v>
      </c>
      <c r="FN26" s="403">
        <v>4850</v>
      </c>
      <c r="FO26" s="404">
        <v>7190</v>
      </c>
      <c r="FP26" s="405">
        <v>7347</v>
      </c>
      <c r="FQ26" s="405">
        <v>5736</v>
      </c>
      <c r="FR26" s="406">
        <v>5105</v>
      </c>
      <c r="FS26" s="407">
        <v>6529</v>
      </c>
      <c r="FT26" s="407">
        <v>7768</v>
      </c>
      <c r="FU26" s="408">
        <v>5785.7276847211961</v>
      </c>
      <c r="FV26" s="409">
        <v>4692</v>
      </c>
      <c r="FW26" s="410">
        <v>6531</v>
      </c>
      <c r="FX26" s="410">
        <v>7201</v>
      </c>
      <c r="FY26" s="411">
        <v>5722</v>
      </c>
      <c r="FZ26" s="407">
        <v>4756</v>
      </c>
      <c r="GA26" s="407">
        <v>6454</v>
      </c>
      <c r="GB26" s="407">
        <v>7342</v>
      </c>
      <c r="GC26" s="407">
        <v>6611</v>
      </c>
      <c r="GD26" s="412">
        <v>5368</v>
      </c>
      <c r="GE26" s="412">
        <v>7730</v>
      </c>
      <c r="GF26" s="412">
        <v>8741</v>
      </c>
      <c r="GG26" s="412">
        <v>8016</v>
      </c>
      <c r="GH26" s="413">
        <v>6053</v>
      </c>
      <c r="GI26" s="413">
        <v>7010</v>
      </c>
      <c r="GJ26" s="413">
        <v>8680</v>
      </c>
      <c r="GK26" s="413">
        <v>8214</v>
      </c>
      <c r="GL26" s="414">
        <v>5870</v>
      </c>
      <c r="GM26" s="414">
        <v>4849</v>
      </c>
      <c r="GN26" s="414">
        <v>9096</v>
      </c>
      <c r="GO26" s="1541">
        <f t="shared" ref="GO26:GO32" si="1">+DH26+DI26+DJ26</f>
        <v>6031</v>
      </c>
      <c r="GP26" s="1541">
        <f t="shared" ref="GP26:GP32" si="2">+DM26+DL26+DK26</f>
        <v>6722</v>
      </c>
      <c r="GQ26" s="1541">
        <f t="shared" ref="GQ26:GQ32" si="3">+DP26+DO26+DN26</f>
        <v>7805</v>
      </c>
      <c r="GR26" s="1541">
        <f t="shared" ref="GR26:GR32" si="4">+DQ26+DR26+DS26</f>
        <v>6992</v>
      </c>
      <c r="GS26" s="1542">
        <f t="shared" ref="GS26:GS32" si="5">+DT26+DU26+DV26</f>
        <v>5452</v>
      </c>
      <c r="GT26" s="1542">
        <f t="shared" ref="GT26:GT32" si="6">+DW26+DX26+DY26</f>
        <v>7683</v>
      </c>
      <c r="GU26" s="1543"/>
      <c r="GV26" s="279"/>
      <c r="GW26" s="407"/>
      <c r="GX26" s="412"/>
      <c r="GY26" s="412"/>
      <c r="GZ26" s="412"/>
      <c r="HA26" s="407"/>
      <c r="HB26" s="412"/>
      <c r="HC26" s="412"/>
      <c r="HD26" s="412"/>
      <c r="HE26" s="836">
        <v>24976</v>
      </c>
      <c r="HF26" s="837">
        <v>24077</v>
      </c>
      <c r="HG26" s="837">
        <v>25123</v>
      </c>
      <c r="HH26" s="837">
        <v>25187.727684721198</v>
      </c>
      <c r="HI26" s="837">
        <v>24146</v>
      </c>
      <c r="HJ26" s="837">
        <v>25163</v>
      </c>
      <c r="HK26" s="837">
        <v>29855</v>
      </c>
      <c r="HL26" s="837">
        <v>29888</v>
      </c>
      <c r="HM26" s="838">
        <v>30882</v>
      </c>
      <c r="HN26" s="838">
        <f t="shared" ref="HN26:HN34" si="7">SUM(DI26:DT26)</f>
        <v>27374</v>
      </c>
      <c r="HO26" s="1568">
        <f t="shared" ref="HO26:HO34" si="8">SUM(DO26:EE26)</f>
        <v>23743</v>
      </c>
      <c r="HP26" s="298"/>
      <c r="HQ26" s="298"/>
      <c r="HR26" s="298"/>
      <c r="HS26" s="467"/>
      <c r="HT26" s="2287"/>
      <c r="HU26" s="1736"/>
      <c r="HV26" s="1736"/>
      <c r="HW26" s="1736"/>
      <c r="HX26" s="1736"/>
    </row>
    <row r="27" spans="1:232" s="341" customFormat="1" ht="21.95" hidden="1" customHeight="1">
      <c r="A27" s="370"/>
      <c r="C27" s="371" t="s">
        <v>569</v>
      </c>
      <c r="D27" s="372">
        <v>1528</v>
      </c>
      <c r="E27" s="373">
        <v>1587</v>
      </c>
      <c r="F27" s="373">
        <v>2902</v>
      </c>
      <c r="G27" s="373">
        <v>1524</v>
      </c>
      <c r="H27" s="373">
        <v>1554</v>
      </c>
      <c r="I27" s="373">
        <v>6026</v>
      </c>
      <c r="J27" s="373">
        <v>7783</v>
      </c>
      <c r="K27" s="373">
        <v>4787</v>
      </c>
      <c r="L27" s="373">
        <v>1358</v>
      </c>
      <c r="M27" s="373">
        <v>1041</v>
      </c>
      <c r="N27" s="373">
        <v>1259</v>
      </c>
      <c r="O27" s="374">
        <v>3214</v>
      </c>
      <c r="P27" s="375">
        <v>2076</v>
      </c>
      <c r="Q27" s="376">
        <v>1868</v>
      </c>
      <c r="R27" s="376">
        <v>3027</v>
      </c>
      <c r="S27" s="376">
        <v>1248</v>
      </c>
      <c r="T27" s="376">
        <v>2073</v>
      </c>
      <c r="U27" s="376">
        <v>6828</v>
      </c>
      <c r="V27" s="376">
        <v>7870</v>
      </c>
      <c r="W27" s="376">
        <v>4478</v>
      </c>
      <c r="X27" s="376">
        <v>1749</v>
      </c>
      <c r="Y27" s="376">
        <v>1418</v>
      </c>
      <c r="Z27" s="376">
        <v>1491</v>
      </c>
      <c r="AA27" s="377">
        <v>3339</v>
      </c>
      <c r="AB27" s="378">
        <v>1960</v>
      </c>
      <c r="AC27" s="379">
        <v>1658</v>
      </c>
      <c r="AD27" s="379">
        <v>2173</v>
      </c>
      <c r="AE27" s="379">
        <v>2208</v>
      </c>
      <c r="AF27" s="379">
        <v>1820</v>
      </c>
      <c r="AG27" s="379">
        <v>6683</v>
      </c>
      <c r="AH27" s="379">
        <v>7331</v>
      </c>
      <c r="AI27" s="379">
        <v>4482</v>
      </c>
      <c r="AJ27" s="379">
        <v>1557</v>
      </c>
      <c r="AK27" s="379">
        <v>1332</v>
      </c>
      <c r="AL27" s="379">
        <v>1514</v>
      </c>
      <c r="AM27" s="379">
        <v>4252</v>
      </c>
      <c r="AN27" s="380">
        <v>2030</v>
      </c>
      <c r="AO27" s="380">
        <v>1908</v>
      </c>
      <c r="AP27" s="380">
        <v>2629</v>
      </c>
      <c r="AQ27" s="380">
        <v>1597</v>
      </c>
      <c r="AR27" s="380">
        <v>2041</v>
      </c>
      <c r="AS27" s="380">
        <v>6790</v>
      </c>
      <c r="AT27" s="380">
        <v>7876</v>
      </c>
      <c r="AU27" s="380">
        <v>4198</v>
      </c>
      <c r="AV27" s="380">
        <v>1670</v>
      </c>
      <c r="AW27" s="380">
        <v>1318</v>
      </c>
      <c r="AX27" s="380">
        <v>1629.2918205594042</v>
      </c>
      <c r="AY27" s="381">
        <v>3799</v>
      </c>
      <c r="AZ27" s="382">
        <v>2783</v>
      </c>
      <c r="BA27" s="383">
        <v>1683</v>
      </c>
      <c r="BB27" s="383">
        <v>2879</v>
      </c>
      <c r="BC27" s="383">
        <v>1808</v>
      </c>
      <c r="BD27" s="383">
        <v>2004</v>
      </c>
      <c r="BE27" s="383">
        <v>6703</v>
      </c>
      <c r="BF27" s="383">
        <v>7356</v>
      </c>
      <c r="BG27" s="383">
        <v>4318</v>
      </c>
      <c r="BH27" s="383">
        <v>1435</v>
      </c>
      <c r="BI27" s="383">
        <v>1222</v>
      </c>
      <c r="BJ27" s="383">
        <v>1167</v>
      </c>
      <c r="BK27" s="384">
        <v>4069</v>
      </c>
      <c r="BL27" s="385">
        <v>2396</v>
      </c>
      <c r="BM27" s="386">
        <v>1732</v>
      </c>
      <c r="BN27" s="386">
        <v>2771</v>
      </c>
      <c r="BO27" s="386">
        <v>1797</v>
      </c>
      <c r="BP27" s="386">
        <v>1826</v>
      </c>
      <c r="BQ27" s="386">
        <v>6893</v>
      </c>
      <c r="BR27" s="386">
        <v>7817</v>
      </c>
      <c r="BS27" s="386">
        <v>3914</v>
      </c>
      <c r="BT27" s="387">
        <v>1582</v>
      </c>
      <c r="BU27" s="387">
        <v>1272</v>
      </c>
      <c r="BV27" s="387">
        <v>1619</v>
      </c>
      <c r="BW27" s="471">
        <v>5012</v>
      </c>
      <c r="BX27" s="472">
        <v>3171</v>
      </c>
      <c r="BY27" s="390">
        <v>2104</v>
      </c>
      <c r="BZ27" s="390">
        <v>3880</v>
      </c>
      <c r="CA27" s="390">
        <v>2048</v>
      </c>
      <c r="CB27" s="390">
        <v>2223</v>
      </c>
      <c r="CC27" s="390">
        <v>7760</v>
      </c>
      <c r="CD27" s="390">
        <v>8716</v>
      </c>
      <c r="CE27" s="390">
        <v>4686</v>
      </c>
      <c r="CF27" s="390">
        <v>1998</v>
      </c>
      <c r="CG27" s="390">
        <v>1764</v>
      </c>
      <c r="CH27" s="390">
        <v>1902</v>
      </c>
      <c r="CI27" s="391">
        <v>5447</v>
      </c>
      <c r="CJ27" s="392">
        <v>2725</v>
      </c>
      <c r="CK27" s="393">
        <v>2889</v>
      </c>
      <c r="CL27" s="393">
        <v>3500</v>
      </c>
      <c r="CM27" s="393">
        <v>2928</v>
      </c>
      <c r="CN27" s="393">
        <v>2487</v>
      </c>
      <c r="CO27" s="393">
        <v>7111</v>
      </c>
      <c r="CP27" s="393">
        <v>9382</v>
      </c>
      <c r="CQ27" s="393">
        <v>4722</v>
      </c>
      <c r="CR27" s="393">
        <v>1945</v>
      </c>
      <c r="CS27" s="393">
        <v>1782</v>
      </c>
      <c r="CT27" s="393">
        <v>1725</v>
      </c>
      <c r="CU27" s="394">
        <v>6253</v>
      </c>
      <c r="CV27" s="486">
        <v>3675</v>
      </c>
      <c r="CW27" s="393">
        <v>2568</v>
      </c>
      <c r="CX27" s="487">
        <v>4318</v>
      </c>
      <c r="CY27" s="487">
        <v>2501</v>
      </c>
      <c r="CZ27" s="487">
        <v>2876</v>
      </c>
      <c r="DA27" s="487">
        <v>9163</v>
      </c>
      <c r="DB27" s="487">
        <v>10705</v>
      </c>
      <c r="DC27" s="487">
        <v>4874</v>
      </c>
      <c r="DD27" s="396">
        <v>1753</v>
      </c>
      <c r="DE27" s="396">
        <v>1648</v>
      </c>
      <c r="DF27" s="383"/>
      <c r="DG27" s="383"/>
      <c r="DH27" s="1501">
        <v>2965</v>
      </c>
      <c r="DI27" s="1502">
        <v>2693</v>
      </c>
      <c r="DJ27" s="1502">
        <v>4952</v>
      </c>
      <c r="DK27" s="1487">
        <v>1757</v>
      </c>
      <c r="DL27" s="1487">
        <v>2569</v>
      </c>
      <c r="DM27" s="1487">
        <v>9630</v>
      </c>
      <c r="DN27" s="1487">
        <v>10137</v>
      </c>
      <c r="DO27" s="1487">
        <v>4466</v>
      </c>
      <c r="DP27" s="1487">
        <v>1339</v>
      </c>
      <c r="DQ27" s="1487">
        <v>1645</v>
      </c>
      <c r="DR27" s="1487">
        <v>1861</v>
      </c>
      <c r="DS27" s="1486">
        <v>6354</v>
      </c>
      <c r="DT27" s="1488">
        <v>3243</v>
      </c>
      <c r="DU27" s="1488">
        <v>2627</v>
      </c>
      <c r="DV27" s="1488">
        <v>3910</v>
      </c>
      <c r="DW27" s="1488">
        <v>3634</v>
      </c>
      <c r="DX27" s="1488">
        <v>2800</v>
      </c>
      <c r="DY27" s="1488">
        <v>10439</v>
      </c>
      <c r="DZ27" s="1677"/>
      <c r="EA27" s="1677"/>
      <c r="EB27" s="1677"/>
      <c r="EC27" s="1677"/>
      <c r="ED27" s="1677"/>
      <c r="EE27" s="1677"/>
      <c r="EF27" s="1488">
        <v>3243</v>
      </c>
      <c r="EG27" s="1488">
        <v>2627</v>
      </c>
      <c r="EH27" s="1488">
        <v>3910</v>
      </c>
      <c r="EI27" s="1488">
        <v>3634</v>
      </c>
      <c r="EJ27" s="1488">
        <v>2800</v>
      </c>
      <c r="EK27" s="1488">
        <v>10439</v>
      </c>
      <c r="EL27" s="1677"/>
      <c r="EM27" s="1677"/>
      <c r="EN27" s="1677"/>
      <c r="EO27" s="1677"/>
      <c r="EP27" s="1677"/>
      <c r="EQ27" s="1677"/>
      <c r="ER27" s="1488">
        <v>3243</v>
      </c>
      <c r="ES27" s="1488">
        <v>2627</v>
      </c>
      <c r="ET27" s="1488">
        <v>3910</v>
      </c>
      <c r="EU27" s="1488">
        <v>3634</v>
      </c>
      <c r="EV27" s="1488">
        <v>2800</v>
      </c>
      <c r="EW27" s="1488">
        <v>10439</v>
      </c>
      <c r="EX27" s="1677"/>
      <c r="EY27" s="1677"/>
      <c r="EZ27" s="1677"/>
      <c r="FA27" s="1677"/>
      <c r="FB27" s="1677"/>
      <c r="FC27" s="1677"/>
      <c r="FD27" s="1677"/>
      <c r="FE27" s="279"/>
      <c r="FF27" s="397">
        <v>6017</v>
      </c>
      <c r="FG27" s="398">
        <v>9104</v>
      </c>
      <c r="FH27" s="398">
        <v>13928</v>
      </c>
      <c r="FI27" s="399">
        <v>5514</v>
      </c>
      <c r="FJ27" s="400">
        <v>6971</v>
      </c>
      <c r="FK27" s="401">
        <v>10149</v>
      </c>
      <c r="FL27" s="401">
        <v>14097</v>
      </c>
      <c r="FM27" s="402">
        <v>6248</v>
      </c>
      <c r="FN27" s="403">
        <v>5791</v>
      </c>
      <c r="FO27" s="404">
        <v>10711</v>
      </c>
      <c r="FP27" s="405">
        <v>13370</v>
      </c>
      <c r="FQ27" s="405">
        <v>7098</v>
      </c>
      <c r="FR27" s="406">
        <v>6567</v>
      </c>
      <c r="FS27" s="407">
        <v>10428</v>
      </c>
      <c r="FT27" s="407">
        <v>13744</v>
      </c>
      <c r="FU27" s="408">
        <v>6746.2918205594042</v>
      </c>
      <c r="FV27" s="409">
        <v>7345</v>
      </c>
      <c r="FW27" s="410">
        <v>10515</v>
      </c>
      <c r="FX27" s="410">
        <v>13109</v>
      </c>
      <c r="FY27" s="411">
        <v>6458</v>
      </c>
      <c r="FZ27" s="407">
        <v>6899</v>
      </c>
      <c r="GA27" s="407">
        <v>10516</v>
      </c>
      <c r="GB27" s="407">
        <v>13313</v>
      </c>
      <c r="GC27" s="407">
        <v>7903</v>
      </c>
      <c r="GD27" s="412">
        <v>9155</v>
      </c>
      <c r="GE27" s="412">
        <v>12031</v>
      </c>
      <c r="GF27" s="412">
        <v>15400</v>
      </c>
      <c r="GG27" s="412">
        <v>9113</v>
      </c>
      <c r="GH27" s="413">
        <v>9114</v>
      </c>
      <c r="GI27" s="413">
        <v>12526</v>
      </c>
      <c r="GJ27" s="413">
        <v>15886</v>
      </c>
      <c r="GK27" s="413">
        <v>9760</v>
      </c>
      <c r="GL27" s="414">
        <v>10561</v>
      </c>
      <c r="GM27" s="414">
        <v>7025</v>
      </c>
      <c r="GN27" s="414">
        <v>17227</v>
      </c>
      <c r="GO27" s="1541">
        <f t="shared" si="1"/>
        <v>10610</v>
      </c>
      <c r="GP27" s="1541">
        <f t="shared" si="2"/>
        <v>13956</v>
      </c>
      <c r="GQ27" s="1541">
        <f t="shared" si="3"/>
        <v>15942</v>
      </c>
      <c r="GR27" s="1541">
        <f t="shared" si="4"/>
        <v>9860</v>
      </c>
      <c r="GS27" s="1542">
        <f t="shared" si="5"/>
        <v>9780</v>
      </c>
      <c r="GT27" s="1542">
        <f t="shared" si="6"/>
        <v>16873</v>
      </c>
      <c r="GU27" s="1543"/>
      <c r="GV27" s="279"/>
      <c r="GW27" s="407"/>
      <c r="GX27" s="412"/>
      <c r="GY27" s="412"/>
      <c r="GZ27" s="412"/>
      <c r="HA27" s="407"/>
      <c r="HB27" s="412"/>
      <c r="HC27" s="412"/>
      <c r="HD27" s="412"/>
      <c r="HE27" s="836">
        <v>34563</v>
      </c>
      <c r="HF27" s="837">
        <v>37465</v>
      </c>
      <c r="HG27" s="837">
        <v>36970</v>
      </c>
      <c r="HH27" s="837">
        <v>37485.291820559403</v>
      </c>
      <c r="HI27" s="837">
        <v>37427</v>
      </c>
      <c r="HJ27" s="837">
        <v>38631</v>
      </c>
      <c r="HK27" s="837">
        <v>45699</v>
      </c>
      <c r="HL27" s="837">
        <v>47449</v>
      </c>
      <c r="HM27" s="838">
        <v>52059</v>
      </c>
      <c r="HN27" s="838">
        <f t="shared" si="7"/>
        <v>50646</v>
      </c>
      <c r="HO27" s="1568">
        <f t="shared" si="8"/>
        <v>42318</v>
      </c>
      <c r="HP27" s="298"/>
      <c r="HQ27" s="298"/>
      <c r="HR27" s="298"/>
      <c r="HS27" s="467"/>
      <c r="HT27" s="2287"/>
      <c r="HU27" s="1736"/>
      <c r="HV27" s="1736"/>
      <c r="HW27" s="1736"/>
      <c r="HX27" s="1736"/>
    </row>
    <row r="28" spans="1:232" s="341" customFormat="1" ht="21.95" hidden="1" customHeight="1">
      <c r="A28" s="370"/>
      <c r="C28" s="371" t="s">
        <v>570</v>
      </c>
      <c r="D28" s="372">
        <v>5654</v>
      </c>
      <c r="E28" s="373">
        <v>4915</v>
      </c>
      <c r="F28" s="373">
        <v>5564</v>
      </c>
      <c r="G28" s="373">
        <v>4398</v>
      </c>
      <c r="H28" s="373">
        <v>5572</v>
      </c>
      <c r="I28" s="373">
        <v>7426</v>
      </c>
      <c r="J28" s="373">
        <v>8960</v>
      </c>
      <c r="K28" s="373">
        <v>8205</v>
      </c>
      <c r="L28" s="373">
        <v>6306</v>
      </c>
      <c r="M28" s="373">
        <v>5800</v>
      </c>
      <c r="N28" s="373">
        <v>6066</v>
      </c>
      <c r="O28" s="374">
        <v>7005</v>
      </c>
      <c r="P28" s="375">
        <v>6860</v>
      </c>
      <c r="Q28" s="376">
        <v>7455</v>
      </c>
      <c r="R28" s="376">
        <v>6647</v>
      </c>
      <c r="S28" s="376">
        <v>4627</v>
      </c>
      <c r="T28" s="376">
        <v>6683</v>
      </c>
      <c r="U28" s="376">
        <v>7645</v>
      </c>
      <c r="V28" s="376">
        <v>9085</v>
      </c>
      <c r="W28" s="376">
        <v>8152</v>
      </c>
      <c r="X28" s="376">
        <v>6570</v>
      </c>
      <c r="Y28" s="376">
        <v>6055</v>
      </c>
      <c r="Z28" s="376">
        <v>6175</v>
      </c>
      <c r="AA28" s="377">
        <v>7240</v>
      </c>
      <c r="AB28" s="378">
        <v>7190</v>
      </c>
      <c r="AC28" s="379">
        <v>5707</v>
      </c>
      <c r="AD28" s="379">
        <v>5975</v>
      </c>
      <c r="AE28" s="379">
        <v>5323</v>
      </c>
      <c r="AF28" s="379">
        <v>6730</v>
      </c>
      <c r="AG28" s="379">
        <v>8220</v>
      </c>
      <c r="AH28" s="379">
        <v>8798</v>
      </c>
      <c r="AI28" s="379">
        <v>8882</v>
      </c>
      <c r="AJ28" s="379">
        <v>6612</v>
      </c>
      <c r="AK28" s="379">
        <v>6320</v>
      </c>
      <c r="AL28" s="379">
        <v>6462</v>
      </c>
      <c r="AM28" s="379">
        <v>9032</v>
      </c>
      <c r="AN28" s="380">
        <v>8275</v>
      </c>
      <c r="AO28" s="380">
        <v>7345</v>
      </c>
      <c r="AP28" s="380">
        <v>6679</v>
      </c>
      <c r="AQ28" s="380">
        <v>5123</v>
      </c>
      <c r="AR28" s="380">
        <v>7247</v>
      </c>
      <c r="AS28" s="380">
        <v>7774</v>
      </c>
      <c r="AT28" s="380">
        <v>8783</v>
      </c>
      <c r="AU28" s="380">
        <v>8297</v>
      </c>
      <c r="AV28" s="380">
        <v>6097</v>
      </c>
      <c r="AW28" s="380">
        <v>6370</v>
      </c>
      <c r="AX28" s="380">
        <v>6207.0074267803311</v>
      </c>
      <c r="AY28" s="381">
        <v>8153</v>
      </c>
      <c r="AZ28" s="382">
        <v>7587</v>
      </c>
      <c r="BA28" s="383">
        <v>6001</v>
      </c>
      <c r="BB28" s="383">
        <v>6682</v>
      </c>
      <c r="BC28" s="383">
        <v>5914</v>
      </c>
      <c r="BD28" s="383">
        <v>7061</v>
      </c>
      <c r="BE28" s="383">
        <v>7779</v>
      </c>
      <c r="BF28" s="383">
        <v>8534</v>
      </c>
      <c r="BG28" s="383">
        <v>7995</v>
      </c>
      <c r="BH28" s="383">
        <v>5723</v>
      </c>
      <c r="BI28" s="383">
        <v>6085</v>
      </c>
      <c r="BJ28" s="383">
        <v>6121</v>
      </c>
      <c r="BK28" s="384">
        <v>8675</v>
      </c>
      <c r="BL28" s="385">
        <v>7297</v>
      </c>
      <c r="BM28" s="386">
        <v>6451</v>
      </c>
      <c r="BN28" s="386">
        <v>6874</v>
      </c>
      <c r="BO28" s="386">
        <v>5785</v>
      </c>
      <c r="BP28" s="386">
        <v>7291</v>
      </c>
      <c r="BQ28" s="386">
        <v>8639</v>
      </c>
      <c r="BR28" s="386">
        <v>9166</v>
      </c>
      <c r="BS28" s="386">
        <v>7989</v>
      </c>
      <c r="BT28" s="387">
        <v>6493</v>
      </c>
      <c r="BU28" s="387">
        <v>6686</v>
      </c>
      <c r="BV28" s="387">
        <v>6933</v>
      </c>
      <c r="BW28" s="471">
        <v>10765</v>
      </c>
      <c r="BX28" s="472">
        <v>9236</v>
      </c>
      <c r="BY28" s="390">
        <v>7932</v>
      </c>
      <c r="BZ28" s="390">
        <v>8951</v>
      </c>
      <c r="CA28" s="390">
        <v>6594</v>
      </c>
      <c r="CB28" s="390">
        <v>9272</v>
      </c>
      <c r="CC28" s="390">
        <v>10749</v>
      </c>
      <c r="CD28" s="390">
        <v>11103</v>
      </c>
      <c r="CE28" s="390">
        <v>10155</v>
      </c>
      <c r="CF28" s="390">
        <v>9057</v>
      </c>
      <c r="CG28" s="390">
        <v>9085</v>
      </c>
      <c r="CH28" s="390">
        <v>10100</v>
      </c>
      <c r="CI28" s="391">
        <v>14105</v>
      </c>
      <c r="CJ28" s="392">
        <v>10955</v>
      </c>
      <c r="CK28" s="393">
        <v>9918</v>
      </c>
      <c r="CL28" s="393">
        <v>9739</v>
      </c>
      <c r="CM28" s="393">
        <v>8807</v>
      </c>
      <c r="CN28" s="393">
        <v>10458</v>
      </c>
      <c r="CO28" s="393">
        <v>12114</v>
      </c>
      <c r="CP28" s="393">
        <v>12476</v>
      </c>
      <c r="CQ28" s="393">
        <v>11563</v>
      </c>
      <c r="CR28" s="393">
        <v>11510</v>
      </c>
      <c r="CS28" s="393">
        <v>11150</v>
      </c>
      <c r="CT28" s="393">
        <v>11317</v>
      </c>
      <c r="CU28" s="394">
        <v>17206</v>
      </c>
      <c r="CV28" s="486">
        <v>12571</v>
      </c>
      <c r="CW28" s="393">
        <v>10448</v>
      </c>
      <c r="CX28" s="487">
        <v>11701</v>
      </c>
      <c r="CY28" s="487">
        <v>10719</v>
      </c>
      <c r="CZ28" s="487">
        <v>12067</v>
      </c>
      <c r="DA28" s="487">
        <v>11756</v>
      </c>
      <c r="DB28" s="487">
        <v>12625</v>
      </c>
      <c r="DC28" s="487">
        <v>10222</v>
      </c>
      <c r="DD28" s="396">
        <v>10257</v>
      </c>
      <c r="DE28" s="396">
        <v>10199</v>
      </c>
      <c r="DF28" s="383"/>
      <c r="DG28" s="383"/>
      <c r="DH28" s="1501">
        <v>10815</v>
      </c>
      <c r="DI28" s="1502">
        <v>9301</v>
      </c>
      <c r="DJ28" s="1502">
        <v>10107</v>
      </c>
      <c r="DK28" s="1487">
        <v>6887</v>
      </c>
      <c r="DL28" s="1487">
        <v>9356</v>
      </c>
      <c r="DM28" s="1487">
        <v>10160</v>
      </c>
      <c r="DN28" s="1487">
        <v>11496</v>
      </c>
      <c r="DO28" s="1487">
        <v>9164</v>
      </c>
      <c r="DP28" s="1487">
        <v>7295</v>
      </c>
      <c r="DQ28" s="1487">
        <v>9034</v>
      </c>
      <c r="DR28" s="1487">
        <v>7601</v>
      </c>
      <c r="DS28" s="1486">
        <v>12898</v>
      </c>
      <c r="DT28" s="1488">
        <v>10141</v>
      </c>
      <c r="DU28" s="1488">
        <v>8750</v>
      </c>
      <c r="DV28" s="1488">
        <v>9930</v>
      </c>
      <c r="DW28" s="1488">
        <v>8737</v>
      </c>
      <c r="DX28" s="1488">
        <v>9281</v>
      </c>
      <c r="DY28" s="1488">
        <v>10625</v>
      </c>
      <c r="DZ28" s="1677"/>
      <c r="EA28" s="1677"/>
      <c r="EB28" s="1677"/>
      <c r="EC28" s="1677"/>
      <c r="ED28" s="1677"/>
      <c r="EE28" s="1677"/>
      <c r="EF28" s="1488">
        <v>10141</v>
      </c>
      <c r="EG28" s="1488">
        <v>8750</v>
      </c>
      <c r="EH28" s="1488">
        <v>9930</v>
      </c>
      <c r="EI28" s="1488">
        <v>8737</v>
      </c>
      <c r="EJ28" s="1488">
        <v>9281</v>
      </c>
      <c r="EK28" s="1488">
        <v>10625</v>
      </c>
      <c r="EL28" s="1677"/>
      <c r="EM28" s="1677"/>
      <c r="EN28" s="1677"/>
      <c r="EO28" s="1677"/>
      <c r="EP28" s="1677"/>
      <c r="EQ28" s="1677"/>
      <c r="ER28" s="1488">
        <v>10141</v>
      </c>
      <c r="ES28" s="1488">
        <v>8750</v>
      </c>
      <c r="ET28" s="1488">
        <v>9930</v>
      </c>
      <c r="EU28" s="1488">
        <v>8737</v>
      </c>
      <c r="EV28" s="1488">
        <v>9281</v>
      </c>
      <c r="EW28" s="1488">
        <v>10625</v>
      </c>
      <c r="EX28" s="1677"/>
      <c r="EY28" s="1677"/>
      <c r="EZ28" s="1677"/>
      <c r="FA28" s="1677"/>
      <c r="FB28" s="1677"/>
      <c r="FC28" s="1677"/>
      <c r="FD28" s="1677"/>
      <c r="FE28" s="279"/>
      <c r="FF28" s="397">
        <v>16133</v>
      </c>
      <c r="FG28" s="398">
        <v>17396</v>
      </c>
      <c r="FH28" s="398">
        <v>23471</v>
      </c>
      <c r="FI28" s="399">
        <v>18871</v>
      </c>
      <c r="FJ28" s="400">
        <v>20962</v>
      </c>
      <c r="FK28" s="401">
        <v>18955</v>
      </c>
      <c r="FL28" s="401">
        <v>23807</v>
      </c>
      <c r="FM28" s="402">
        <v>19470</v>
      </c>
      <c r="FN28" s="403">
        <v>18872</v>
      </c>
      <c r="FO28" s="404">
        <v>20273</v>
      </c>
      <c r="FP28" s="405">
        <v>24292</v>
      </c>
      <c r="FQ28" s="405">
        <v>21814</v>
      </c>
      <c r="FR28" s="406">
        <v>22299</v>
      </c>
      <c r="FS28" s="407">
        <v>20144</v>
      </c>
      <c r="FT28" s="407">
        <v>23177</v>
      </c>
      <c r="FU28" s="408">
        <v>20730.007426780332</v>
      </c>
      <c r="FV28" s="409">
        <v>20270</v>
      </c>
      <c r="FW28" s="410">
        <v>20754</v>
      </c>
      <c r="FX28" s="410">
        <v>22252</v>
      </c>
      <c r="FY28" s="411">
        <v>20881</v>
      </c>
      <c r="FZ28" s="407">
        <v>20622</v>
      </c>
      <c r="GA28" s="407">
        <v>21715</v>
      </c>
      <c r="GB28" s="407">
        <v>23648</v>
      </c>
      <c r="GC28" s="407">
        <v>24384</v>
      </c>
      <c r="GD28" s="412">
        <v>26119</v>
      </c>
      <c r="GE28" s="412">
        <v>26615</v>
      </c>
      <c r="GF28" s="412">
        <v>30315</v>
      </c>
      <c r="GG28" s="412">
        <v>33290</v>
      </c>
      <c r="GH28" s="413">
        <v>30612</v>
      </c>
      <c r="GI28" s="413">
        <v>31379</v>
      </c>
      <c r="GJ28" s="413">
        <v>35189</v>
      </c>
      <c r="GK28" s="413">
        <v>39673</v>
      </c>
      <c r="GL28" s="414">
        <v>34720</v>
      </c>
      <c r="GM28" s="414">
        <v>32985</v>
      </c>
      <c r="GN28" s="414">
        <v>33046</v>
      </c>
      <c r="GO28" s="1541">
        <f t="shared" si="1"/>
        <v>30223</v>
      </c>
      <c r="GP28" s="1541">
        <f t="shared" si="2"/>
        <v>26403</v>
      </c>
      <c r="GQ28" s="1541">
        <f t="shared" si="3"/>
        <v>27955</v>
      </c>
      <c r="GR28" s="1541">
        <f t="shared" si="4"/>
        <v>29533</v>
      </c>
      <c r="GS28" s="1542">
        <f t="shared" si="5"/>
        <v>28821</v>
      </c>
      <c r="GT28" s="1542">
        <f t="shared" si="6"/>
        <v>28643</v>
      </c>
      <c r="GU28" s="1543"/>
      <c r="GV28" s="279"/>
      <c r="GW28" s="407"/>
      <c r="GX28" s="412"/>
      <c r="GY28" s="412"/>
      <c r="GZ28" s="412"/>
      <c r="HA28" s="407"/>
      <c r="HB28" s="412"/>
      <c r="HC28" s="412"/>
      <c r="HD28" s="412"/>
      <c r="HE28" s="836">
        <v>75871</v>
      </c>
      <c r="HF28" s="837">
        <v>83194</v>
      </c>
      <c r="HG28" s="837">
        <v>85251</v>
      </c>
      <c r="HH28" s="837">
        <v>86350.007426780328</v>
      </c>
      <c r="HI28" s="837">
        <v>84157</v>
      </c>
      <c r="HJ28" s="837">
        <v>90369</v>
      </c>
      <c r="HK28" s="837">
        <v>116339</v>
      </c>
      <c r="HL28" s="837">
        <v>137213</v>
      </c>
      <c r="HM28" s="838">
        <v>141088</v>
      </c>
      <c r="HN28" s="838">
        <f t="shared" si="7"/>
        <v>113440</v>
      </c>
      <c r="HO28" s="1568">
        <f t="shared" si="8"/>
        <v>103456</v>
      </c>
      <c r="HP28" s="298"/>
      <c r="HQ28" s="298"/>
      <c r="HR28" s="298"/>
      <c r="HS28" s="467"/>
      <c r="HT28" s="2287"/>
      <c r="HU28" s="1736"/>
      <c r="HV28" s="1736"/>
      <c r="HW28" s="1736"/>
      <c r="HX28" s="1736"/>
    </row>
    <row r="29" spans="1:232" s="341" customFormat="1" ht="21.95" hidden="1" customHeight="1">
      <c r="A29" s="370"/>
      <c r="C29" s="371" t="s">
        <v>571</v>
      </c>
      <c r="D29" s="372">
        <v>6029</v>
      </c>
      <c r="E29" s="373">
        <v>6320</v>
      </c>
      <c r="F29" s="373">
        <v>6593</v>
      </c>
      <c r="G29" s="373">
        <v>5871</v>
      </c>
      <c r="H29" s="373">
        <v>6139</v>
      </c>
      <c r="I29" s="373">
        <v>7734</v>
      </c>
      <c r="J29" s="373">
        <v>9192</v>
      </c>
      <c r="K29" s="373">
        <v>8563</v>
      </c>
      <c r="L29" s="373">
        <v>7342</v>
      </c>
      <c r="M29" s="373">
        <v>7169</v>
      </c>
      <c r="N29" s="373">
        <v>7853</v>
      </c>
      <c r="O29" s="374">
        <v>7789</v>
      </c>
      <c r="P29" s="375">
        <v>7018</v>
      </c>
      <c r="Q29" s="376">
        <v>9593</v>
      </c>
      <c r="R29" s="376">
        <v>7207</v>
      </c>
      <c r="S29" s="376">
        <v>6892</v>
      </c>
      <c r="T29" s="376">
        <v>7411</v>
      </c>
      <c r="U29" s="376">
        <v>8422</v>
      </c>
      <c r="V29" s="376">
        <v>9242</v>
      </c>
      <c r="W29" s="376">
        <v>8961</v>
      </c>
      <c r="X29" s="376">
        <v>7931</v>
      </c>
      <c r="Y29" s="376">
        <v>7962</v>
      </c>
      <c r="Z29" s="376">
        <v>8363</v>
      </c>
      <c r="AA29" s="377">
        <v>7479</v>
      </c>
      <c r="AB29" s="378">
        <v>7202</v>
      </c>
      <c r="AC29" s="379">
        <v>6736</v>
      </c>
      <c r="AD29" s="379">
        <v>7102</v>
      </c>
      <c r="AE29" s="379">
        <v>6826</v>
      </c>
      <c r="AF29" s="379">
        <v>6795</v>
      </c>
      <c r="AG29" s="379">
        <v>8823</v>
      </c>
      <c r="AH29" s="379">
        <v>9350</v>
      </c>
      <c r="AI29" s="379">
        <v>9411</v>
      </c>
      <c r="AJ29" s="379">
        <v>7891</v>
      </c>
      <c r="AK29" s="379">
        <v>8066</v>
      </c>
      <c r="AL29" s="379">
        <v>8819</v>
      </c>
      <c r="AM29" s="379">
        <v>9234</v>
      </c>
      <c r="AN29" s="380">
        <v>8430</v>
      </c>
      <c r="AO29" s="380">
        <v>9311</v>
      </c>
      <c r="AP29" s="380">
        <v>7938</v>
      </c>
      <c r="AQ29" s="380">
        <v>7173</v>
      </c>
      <c r="AR29" s="380">
        <v>8141</v>
      </c>
      <c r="AS29" s="380">
        <v>8925</v>
      </c>
      <c r="AT29" s="380">
        <v>8979</v>
      </c>
      <c r="AU29" s="380">
        <v>9172</v>
      </c>
      <c r="AV29" s="380">
        <v>7740</v>
      </c>
      <c r="AW29" s="380">
        <v>8594</v>
      </c>
      <c r="AX29" s="380">
        <v>9203.4412146379436</v>
      </c>
      <c r="AY29" s="381">
        <v>8791</v>
      </c>
      <c r="AZ29" s="382">
        <v>7776</v>
      </c>
      <c r="BA29" s="383">
        <v>7689</v>
      </c>
      <c r="BB29" s="383">
        <v>8392</v>
      </c>
      <c r="BC29" s="383">
        <v>7914</v>
      </c>
      <c r="BD29" s="383">
        <v>8151</v>
      </c>
      <c r="BE29" s="383">
        <v>9227</v>
      </c>
      <c r="BF29" s="383">
        <v>9490</v>
      </c>
      <c r="BG29" s="383">
        <v>8927</v>
      </c>
      <c r="BH29" s="383">
        <v>7828</v>
      </c>
      <c r="BI29" s="383">
        <v>8219</v>
      </c>
      <c r="BJ29" s="383">
        <v>9261</v>
      </c>
      <c r="BK29" s="384">
        <v>9202</v>
      </c>
      <c r="BL29" s="385">
        <v>8311</v>
      </c>
      <c r="BM29" s="386">
        <v>8506</v>
      </c>
      <c r="BN29" s="386">
        <v>8329</v>
      </c>
      <c r="BO29" s="386">
        <v>7889</v>
      </c>
      <c r="BP29" s="386">
        <v>8667</v>
      </c>
      <c r="BQ29" s="386">
        <v>10458</v>
      </c>
      <c r="BR29" s="386">
        <v>10279</v>
      </c>
      <c r="BS29" s="386">
        <v>9684</v>
      </c>
      <c r="BT29" s="387">
        <v>8785</v>
      </c>
      <c r="BU29" s="387">
        <v>9761</v>
      </c>
      <c r="BV29" s="387">
        <v>10441</v>
      </c>
      <c r="BW29" s="471">
        <v>11406</v>
      </c>
      <c r="BX29" s="472">
        <v>9284</v>
      </c>
      <c r="BY29" s="390">
        <v>9338</v>
      </c>
      <c r="BZ29" s="390">
        <v>10071</v>
      </c>
      <c r="CA29" s="390">
        <v>8993</v>
      </c>
      <c r="CB29" s="390">
        <v>10849</v>
      </c>
      <c r="CC29" s="390">
        <v>12259</v>
      </c>
      <c r="CD29" s="390">
        <v>12314</v>
      </c>
      <c r="CE29" s="390">
        <v>11375</v>
      </c>
      <c r="CF29" s="390">
        <v>11613</v>
      </c>
      <c r="CG29" s="390">
        <v>12389</v>
      </c>
      <c r="CH29" s="390">
        <v>13139</v>
      </c>
      <c r="CI29" s="391">
        <v>14462</v>
      </c>
      <c r="CJ29" s="392">
        <v>10930</v>
      </c>
      <c r="CK29" s="393">
        <v>11995</v>
      </c>
      <c r="CL29" s="393">
        <v>11100</v>
      </c>
      <c r="CM29" s="393">
        <v>10862</v>
      </c>
      <c r="CN29" s="393">
        <v>11733</v>
      </c>
      <c r="CO29" s="393">
        <v>12003</v>
      </c>
      <c r="CP29" s="393">
        <v>13926</v>
      </c>
      <c r="CQ29" s="393">
        <v>12817</v>
      </c>
      <c r="CR29" s="393">
        <v>13513</v>
      </c>
      <c r="CS29" s="393">
        <v>13905</v>
      </c>
      <c r="CT29" s="393">
        <v>15077</v>
      </c>
      <c r="CU29" s="394">
        <v>17653</v>
      </c>
      <c r="CV29" s="486">
        <v>12315</v>
      </c>
      <c r="CW29" s="393">
        <v>11584</v>
      </c>
      <c r="CX29" s="487">
        <v>12730</v>
      </c>
      <c r="CY29" s="487">
        <v>12697</v>
      </c>
      <c r="CZ29" s="487">
        <v>12265</v>
      </c>
      <c r="DA29" s="487">
        <v>13305</v>
      </c>
      <c r="DB29" s="487">
        <v>13465</v>
      </c>
      <c r="DC29" s="487">
        <v>10972</v>
      </c>
      <c r="DD29" s="396">
        <v>11895</v>
      </c>
      <c r="DE29" s="396">
        <v>12606</v>
      </c>
      <c r="DF29" s="383"/>
      <c r="DG29" s="383"/>
      <c r="DH29" s="1501">
        <v>10727</v>
      </c>
      <c r="DI29" s="1502">
        <v>10917</v>
      </c>
      <c r="DJ29" s="1502">
        <v>10677</v>
      </c>
      <c r="DK29" s="1487">
        <v>8509</v>
      </c>
      <c r="DL29" s="1487">
        <v>9397</v>
      </c>
      <c r="DM29" s="1487">
        <v>10768</v>
      </c>
      <c r="DN29" s="1487">
        <v>11406</v>
      </c>
      <c r="DO29" s="1487">
        <v>9483</v>
      </c>
      <c r="DP29" s="1487">
        <v>8828</v>
      </c>
      <c r="DQ29" s="1487">
        <v>11717</v>
      </c>
      <c r="DR29" s="1487">
        <v>10093</v>
      </c>
      <c r="DS29" s="1486">
        <v>12601</v>
      </c>
      <c r="DT29" s="1488">
        <v>9755</v>
      </c>
      <c r="DU29" s="1488">
        <v>9550</v>
      </c>
      <c r="DV29" s="1488">
        <v>10196</v>
      </c>
      <c r="DW29" s="1488">
        <v>10015</v>
      </c>
      <c r="DX29" s="1488">
        <v>9097</v>
      </c>
      <c r="DY29" s="1488">
        <v>11146</v>
      </c>
      <c r="DZ29" s="1677"/>
      <c r="EA29" s="1677"/>
      <c r="EB29" s="1677"/>
      <c r="EC29" s="1677"/>
      <c r="ED29" s="1677"/>
      <c r="EE29" s="1677"/>
      <c r="EF29" s="1488">
        <v>9755</v>
      </c>
      <c r="EG29" s="1488">
        <v>9550</v>
      </c>
      <c r="EH29" s="1488">
        <v>10196</v>
      </c>
      <c r="EI29" s="1488">
        <v>10015</v>
      </c>
      <c r="EJ29" s="1488">
        <v>9097</v>
      </c>
      <c r="EK29" s="1488">
        <v>11146</v>
      </c>
      <c r="EL29" s="1677"/>
      <c r="EM29" s="1677"/>
      <c r="EN29" s="1677"/>
      <c r="EO29" s="1677"/>
      <c r="EP29" s="1677"/>
      <c r="EQ29" s="1677"/>
      <c r="ER29" s="1488">
        <v>9755</v>
      </c>
      <c r="ES29" s="1488">
        <v>9550</v>
      </c>
      <c r="ET29" s="1488">
        <v>10196</v>
      </c>
      <c r="EU29" s="1488">
        <v>10015</v>
      </c>
      <c r="EV29" s="1488">
        <v>9097</v>
      </c>
      <c r="EW29" s="1488">
        <v>11146</v>
      </c>
      <c r="EX29" s="1677"/>
      <c r="EY29" s="1677"/>
      <c r="EZ29" s="1677"/>
      <c r="FA29" s="1677"/>
      <c r="FB29" s="1677"/>
      <c r="FC29" s="1677"/>
      <c r="FD29" s="1677"/>
      <c r="FE29" s="279"/>
      <c r="FF29" s="397">
        <v>18942</v>
      </c>
      <c r="FG29" s="398">
        <v>19744</v>
      </c>
      <c r="FH29" s="398">
        <v>25097</v>
      </c>
      <c r="FI29" s="399">
        <v>22811</v>
      </c>
      <c r="FJ29" s="400">
        <v>23818</v>
      </c>
      <c r="FK29" s="401">
        <v>22725</v>
      </c>
      <c r="FL29" s="401">
        <v>26134</v>
      </c>
      <c r="FM29" s="402">
        <v>23804</v>
      </c>
      <c r="FN29" s="403">
        <v>21040</v>
      </c>
      <c r="FO29" s="404">
        <v>22444</v>
      </c>
      <c r="FP29" s="405">
        <v>26652</v>
      </c>
      <c r="FQ29" s="405">
        <v>26119</v>
      </c>
      <c r="FR29" s="406">
        <v>25679</v>
      </c>
      <c r="FS29" s="407">
        <v>24239</v>
      </c>
      <c r="FT29" s="407">
        <v>25891</v>
      </c>
      <c r="FU29" s="408">
        <v>26588.441214637944</v>
      </c>
      <c r="FV29" s="409">
        <v>23857</v>
      </c>
      <c r="FW29" s="410">
        <v>25292</v>
      </c>
      <c r="FX29" s="410">
        <v>26245</v>
      </c>
      <c r="FY29" s="411">
        <v>26682</v>
      </c>
      <c r="FZ29" s="407">
        <v>25146</v>
      </c>
      <c r="GA29" s="407">
        <v>27014</v>
      </c>
      <c r="GB29" s="407">
        <v>28748</v>
      </c>
      <c r="GC29" s="407">
        <v>31608</v>
      </c>
      <c r="GD29" s="412">
        <v>28693</v>
      </c>
      <c r="GE29" s="412">
        <v>32101</v>
      </c>
      <c r="GF29" s="412">
        <v>35302</v>
      </c>
      <c r="GG29" s="412">
        <v>39990</v>
      </c>
      <c r="GH29" s="413">
        <v>34025</v>
      </c>
      <c r="GI29" s="413">
        <v>34598</v>
      </c>
      <c r="GJ29" s="413">
        <v>40648</v>
      </c>
      <c r="GK29" s="413">
        <v>46635</v>
      </c>
      <c r="GL29" s="414">
        <v>36629</v>
      </c>
      <c r="GM29" s="414">
        <v>37568</v>
      </c>
      <c r="GN29" s="414">
        <v>37043</v>
      </c>
      <c r="GO29" s="1541">
        <f t="shared" si="1"/>
        <v>32321</v>
      </c>
      <c r="GP29" s="1541">
        <f t="shared" si="2"/>
        <v>28674</v>
      </c>
      <c r="GQ29" s="1541">
        <f t="shared" si="3"/>
        <v>29717</v>
      </c>
      <c r="GR29" s="1541">
        <f t="shared" si="4"/>
        <v>34411</v>
      </c>
      <c r="GS29" s="1542">
        <f t="shared" si="5"/>
        <v>29501</v>
      </c>
      <c r="GT29" s="1542">
        <f t="shared" si="6"/>
        <v>30258</v>
      </c>
      <c r="GU29" s="1543"/>
      <c r="GV29" s="279"/>
      <c r="GW29" s="407"/>
      <c r="GX29" s="412"/>
      <c r="GY29" s="412"/>
      <c r="GZ29" s="412"/>
      <c r="HA29" s="407"/>
      <c r="HB29" s="412"/>
      <c r="HC29" s="412"/>
      <c r="HD29" s="412"/>
      <c r="HE29" s="836">
        <v>86594</v>
      </c>
      <c r="HF29" s="837">
        <v>96481</v>
      </c>
      <c r="HG29" s="837">
        <v>96255</v>
      </c>
      <c r="HH29" s="837">
        <v>102397.44121463795</v>
      </c>
      <c r="HI29" s="837">
        <v>102076</v>
      </c>
      <c r="HJ29" s="837">
        <v>112516</v>
      </c>
      <c r="HK29" s="837">
        <v>136086</v>
      </c>
      <c r="HL29" s="837">
        <v>155514</v>
      </c>
      <c r="HM29" s="838">
        <v>156564</v>
      </c>
      <c r="HN29" s="838">
        <f t="shared" si="7"/>
        <v>124151</v>
      </c>
      <c r="HO29" s="1568">
        <f t="shared" si="8"/>
        <v>112481</v>
      </c>
      <c r="HP29" s="298"/>
      <c r="HQ29" s="298"/>
      <c r="HR29" s="298"/>
      <c r="HS29" s="467"/>
      <c r="HT29" s="2287"/>
      <c r="HU29" s="1736"/>
      <c r="HV29" s="1736"/>
      <c r="HW29" s="1736"/>
      <c r="HX29" s="1736"/>
    </row>
    <row r="30" spans="1:232" s="341" customFormat="1" ht="21.95" hidden="1" customHeight="1">
      <c r="A30" s="370"/>
      <c r="C30" s="371" t="s">
        <v>572</v>
      </c>
      <c r="D30" s="372">
        <v>5249</v>
      </c>
      <c r="E30" s="373">
        <v>5363</v>
      </c>
      <c r="F30" s="373">
        <v>6058</v>
      </c>
      <c r="G30" s="373">
        <v>5138</v>
      </c>
      <c r="H30" s="373">
        <v>5401</v>
      </c>
      <c r="I30" s="373">
        <v>6770</v>
      </c>
      <c r="J30" s="373">
        <v>8705</v>
      </c>
      <c r="K30" s="373">
        <v>7782</v>
      </c>
      <c r="L30" s="373">
        <v>6227</v>
      </c>
      <c r="M30" s="373">
        <v>6722</v>
      </c>
      <c r="N30" s="373">
        <v>7258</v>
      </c>
      <c r="O30" s="374">
        <v>6440</v>
      </c>
      <c r="P30" s="375">
        <v>5955</v>
      </c>
      <c r="Q30" s="376">
        <v>8853</v>
      </c>
      <c r="R30" s="376">
        <v>6703</v>
      </c>
      <c r="S30" s="376">
        <v>6269</v>
      </c>
      <c r="T30" s="376">
        <v>6454</v>
      </c>
      <c r="U30" s="376">
        <v>7991</v>
      </c>
      <c r="V30" s="376">
        <v>8830</v>
      </c>
      <c r="W30" s="376">
        <v>8072</v>
      </c>
      <c r="X30" s="376">
        <v>6701</v>
      </c>
      <c r="Y30" s="376">
        <v>7497</v>
      </c>
      <c r="Z30" s="376">
        <v>7733</v>
      </c>
      <c r="AA30" s="377">
        <v>6662</v>
      </c>
      <c r="AB30" s="378">
        <v>6229</v>
      </c>
      <c r="AC30" s="379">
        <v>6061</v>
      </c>
      <c r="AD30" s="379">
        <v>6574</v>
      </c>
      <c r="AE30" s="379">
        <v>6466</v>
      </c>
      <c r="AF30" s="379">
        <v>5731</v>
      </c>
      <c r="AG30" s="379">
        <v>7912</v>
      </c>
      <c r="AH30" s="379">
        <v>8969</v>
      </c>
      <c r="AI30" s="379">
        <v>8144</v>
      </c>
      <c r="AJ30" s="379">
        <v>6492</v>
      </c>
      <c r="AK30" s="379">
        <v>6994</v>
      </c>
      <c r="AL30" s="379">
        <v>7801</v>
      </c>
      <c r="AM30" s="379">
        <v>7494</v>
      </c>
      <c r="AN30" s="380">
        <v>6714</v>
      </c>
      <c r="AO30" s="380">
        <v>7673</v>
      </c>
      <c r="AP30" s="380">
        <v>7373</v>
      </c>
      <c r="AQ30" s="380">
        <v>6302</v>
      </c>
      <c r="AR30" s="380">
        <v>6796</v>
      </c>
      <c r="AS30" s="380">
        <v>7833</v>
      </c>
      <c r="AT30" s="380">
        <v>8811</v>
      </c>
      <c r="AU30" s="380">
        <v>7840</v>
      </c>
      <c r="AV30" s="380">
        <v>6569</v>
      </c>
      <c r="AW30" s="380">
        <v>7711</v>
      </c>
      <c r="AX30" s="380">
        <v>7804.2925792090082</v>
      </c>
      <c r="AY30" s="381">
        <v>7193</v>
      </c>
      <c r="AZ30" s="382">
        <v>6507</v>
      </c>
      <c r="BA30" s="383">
        <v>6844</v>
      </c>
      <c r="BB30" s="383">
        <v>7755</v>
      </c>
      <c r="BC30" s="383">
        <v>7107</v>
      </c>
      <c r="BD30" s="383">
        <v>7344</v>
      </c>
      <c r="BE30" s="383">
        <v>8589</v>
      </c>
      <c r="BF30" s="383">
        <v>9423</v>
      </c>
      <c r="BG30" s="383">
        <v>8289</v>
      </c>
      <c r="BH30" s="383">
        <v>7298</v>
      </c>
      <c r="BI30" s="383">
        <v>7527</v>
      </c>
      <c r="BJ30" s="383">
        <v>8537</v>
      </c>
      <c r="BK30" s="384">
        <v>7990</v>
      </c>
      <c r="BL30" s="385">
        <v>6975</v>
      </c>
      <c r="BM30" s="386">
        <v>7185</v>
      </c>
      <c r="BN30" s="386">
        <v>8151</v>
      </c>
      <c r="BO30" s="386">
        <v>7512</v>
      </c>
      <c r="BP30" s="386">
        <v>7915</v>
      </c>
      <c r="BQ30" s="386">
        <v>10111</v>
      </c>
      <c r="BR30" s="386">
        <v>10486</v>
      </c>
      <c r="BS30" s="386">
        <v>9048</v>
      </c>
      <c r="BT30" s="387">
        <v>8431</v>
      </c>
      <c r="BU30" s="387">
        <v>9329</v>
      </c>
      <c r="BV30" s="387">
        <v>9566</v>
      </c>
      <c r="BW30" s="471">
        <v>9604</v>
      </c>
      <c r="BX30" s="472">
        <v>8135</v>
      </c>
      <c r="BY30" s="390">
        <v>8014</v>
      </c>
      <c r="BZ30" s="390">
        <v>9164</v>
      </c>
      <c r="CA30" s="390">
        <v>8563</v>
      </c>
      <c r="CB30" s="390">
        <v>9162</v>
      </c>
      <c r="CC30" s="390">
        <v>10850</v>
      </c>
      <c r="CD30" s="390">
        <v>11773</v>
      </c>
      <c r="CE30" s="390">
        <v>9960</v>
      </c>
      <c r="CF30" s="390">
        <v>9763</v>
      </c>
      <c r="CG30" s="390">
        <v>10335</v>
      </c>
      <c r="CH30" s="390">
        <v>11289</v>
      </c>
      <c r="CI30" s="391">
        <v>11139</v>
      </c>
      <c r="CJ30" s="392">
        <v>9026</v>
      </c>
      <c r="CK30" s="393">
        <v>10213</v>
      </c>
      <c r="CL30" s="393">
        <v>10003</v>
      </c>
      <c r="CM30" s="393">
        <v>9562</v>
      </c>
      <c r="CN30" s="393">
        <v>9741</v>
      </c>
      <c r="CO30" s="393">
        <v>10076</v>
      </c>
      <c r="CP30" s="393">
        <v>13494</v>
      </c>
      <c r="CQ30" s="393">
        <v>10997</v>
      </c>
      <c r="CR30" s="393">
        <v>10964</v>
      </c>
      <c r="CS30" s="393">
        <v>11818</v>
      </c>
      <c r="CT30" s="393">
        <v>12979</v>
      </c>
      <c r="CU30" s="394">
        <v>13743</v>
      </c>
      <c r="CV30" s="486">
        <v>9945</v>
      </c>
      <c r="CW30" s="393">
        <v>9633</v>
      </c>
      <c r="CX30" s="487">
        <v>11129</v>
      </c>
      <c r="CY30" s="487">
        <v>10296</v>
      </c>
      <c r="CZ30" s="487">
        <v>10349</v>
      </c>
      <c r="DA30" s="487">
        <v>12133</v>
      </c>
      <c r="DB30" s="487">
        <v>13279</v>
      </c>
      <c r="DC30" s="487">
        <v>9977</v>
      </c>
      <c r="DD30" s="396">
        <v>10332</v>
      </c>
      <c r="DE30" s="396">
        <v>10928</v>
      </c>
      <c r="DF30" s="383"/>
      <c r="DG30" s="383"/>
      <c r="DH30" s="1501">
        <v>9232</v>
      </c>
      <c r="DI30" s="1502">
        <v>9733</v>
      </c>
      <c r="DJ30" s="1502">
        <v>9861</v>
      </c>
      <c r="DK30" s="1487">
        <v>7938</v>
      </c>
      <c r="DL30" s="1487">
        <v>8302</v>
      </c>
      <c r="DM30" s="1487">
        <v>10699</v>
      </c>
      <c r="DN30" s="1487">
        <v>11981</v>
      </c>
      <c r="DO30" s="1487">
        <v>8833</v>
      </c>
      <c r="DP30" s="1487">
        <v>7942</v>
      </c>
      <c r="DQ30" s="1487">
        <v>10780</v>
      </c>
      <c r="DR30" s="1487">
        <v>9579</v>
      </c>
      <c r="DS30" s="1486">
        <v>11179</v>
      </c>
      <c r="DT30" s="1488">
        <v>8435</v>
      </c>
      <c r="DU30" s="1488">
        <v>8473</v>
      </c>
      <c r="DV30" s="1488">
        <v>9640</v>
      </c>
      <c r="DW30" s="1488">
        <v>9136</v>
      </c>
      <c r="DX30" s="1488">
        <v>8284</v>
      </c>
      <c r="DY30" s="1488">
        <v>11469</v>
      </c>
      <c r="DZ30" s="1677"/>
      <c r="EA30" s="1677"/>
      <c r="EB30" s="1677"/>
      <c r="EC30" s="1677"/>
      <c r="ED30" s="1677"/>
      <c r="EE30" s="1677"/>
      <c r="EF30" s="1488">
        <v>8435</v>
      </c>
      <c r="EG30" s="1488">
        <v>8473</v>
      </c>
      <c r="EH30" s="1488">
        <v>9640</v>
      </c>
      <c r="EI30" s="1488">
        <v>9136</v>
      </c>
      <c r="EJ30" s="1488">
        <v>8284</v>
      </c>
      <c r="EK30" s="1488">
        <v>11469</v>
      </c>
      <c r="EL30" s="1677"/>
      <c r="EM30" s="1677"/>
      <c r="EN30" s="1677"/>
      <c r="EO30" s="1677"/>
      <c r="EP30" s="1677"/>
      <c r="EQ30" s="1677"/>
      <c r="ER30" s="1488">
        <v>8435</v>
      </c>
      <c r="ES30" s="1488">
        <v>8473</v>
      </c>
      <c r="ET30" s="1488">
        <v>9640</v>
      </c>
      <c r="EU30" s="1488">
        <v>9136</v>
      </c>
      <c r="EV30" s="1488">
        <v>8284</v>
      </c>
      <c r="EW30" s="1488">
        <v>11469</v>
      </c>
      <c r="EX30" s="1677"/>
      <c r="EY30" s="1677"/>
      <c r="EZ30" s="1677"/>
      <c r="FA30" s="1677"/>
      <c r="FB30" s="1677"/>
      <c r="FC30" s="1677"/>
      <c r="FD30" s="1677"/>
      <c r="FE30" s="279"/>
      <c r="FF30" s="397">
        <v>16670</v>
      </c>
      <c r="FG30" s="398">
        <v>17309</v>
      </c>
      <c r="FH30" s="398">
        <v>22714</v>
      </c>
      <c r="FI30" s="399">
        <v>20420</v>
      </c>
      <c r="FJ30" s="400">
        <v>21511</v>
      </c>
      <c r="FK30" s="401">
        <v>20714</v>
      </c>
      <c r="FL30" s="401">
        <v>23603</v>
      </c>
      <c r="FM30" s="402">
        <v>21892</v>
      </c>
      <c r="FN30" s="403">
        <v>18864</v>
      </c>
      <c r="FO30" s="404">
        <v>20109</v>
      </c>
      <c r="FP30" s="405">
        <v>23605</v>
      </c>
      <c r="FQ30" s="405">
        <v>22289</v>
      </c>
      <c r="FR30" s="406">
        <v>21760</v>
      </c>
      <c r="FS30" s="407">
        <v>20931</v>
      </c>
      <c r="FT30" s="407">
        <v>23220</v>
      </c>
      <c r="FU30" s="408">
        <v>22708.29257920901</v>
      </c>
      <c r="FV30" s="409">
        <v>21106</v>
      </c>
      <c r="FW30" s="410">
        <v>23040</v>
      </c>
      <c r="FX30" s="410">
        <v>25010</v>
      </c>
      <c r="FY30" s="411">
        <v>24054</v>
      </c>
      <c r="FZ30" s="407">
        <v>22311</v>
      </c>
      <c r="GA30" s="407">
        <v>25538</v>
      </c>
      <c r="GB30" s="407">
        <v>27965</v>
      </c>
      <c r="GC30" s="407">
        <v>28499</v>
      </c>
      <c r="GD30" s="412">
        <v>25313</v>
      </c>
      <c r="GE30" s="412">
        <v>28575</v>
      </c>
      <c r="GF30" s="412">
        <v>31496</v>
      </c>
      <c r="GG30" s="412">
        <v>32763</v>
      </c>
      <c r="GH30" s="413">
        <v>29242</v>
      </c>
      <c r="GI30" s="413">
        <v>29379</v>
      </c>
      <c r="GJ30" s="413">
        <v>36309</v>
      </c>
      <c r="GK30" s="413">
        <v>38540</v>
      </c>
      <c r="GL30" s="414">
        <v>30707</v>
      </c>
      <c r="GM30" s="414">
        <v>31573</v>
      </c>
      <c r="GN30" s="414">
        <v>34184</v>
      </c>
      <c r="GO30" s="1541">
        <f t="shared" si="1"/>
        <v>28826</v>
      </c>
      <c r="GP30" s="1541">
        <f t="shared" si="2"/>
        <v>26939</v>
      </c>
      <c r="GQ30" s="1541">
        <f t="shared" si="3"/>
        <v>28756</v>
      </c>
      <c r="GR30" s="1541">
        <f t="shared" si="4"/>
        <v>31538</v>
      </c>
      <c r="GS30" s="1542">
        <f t="shared" si="5"/>
        <v>26548</v>
      </c>
      <c r="GT30" s="1542">
        <f t="shared" si="6"/>
        <v>28889</v>
      </c>
      <c r="GU30" s="1543"/>
      <c r="GV30" s="279"/>
      <c r="GW30" s="407"/>
      <c r="GX30" s="412"/>
      <c r="GY30" s="412"/>
      <c r="GZ30" s="412"/>
      <c r="HA30" s="407"/>
      <c r="HB30" s="412"/>
      <c r="HC30" s="412"/>
      <c r="HD30" s="412"/>
      <c r="HE30" s="836">
        <v>77113</v>
      </c>
      <c r="HF30" s="837">
        <v>87720</v>
      </c>
      <c r="HG30" s="837">
        <v>84867</v>
      </c>
      <c r="HH30" s="837">
        <v>88619.29257920901</v>
      </c>
      <c r="HI30" s="837">
        <v>93210</v>
      </c>
      <c r="HJ30" s="837">
        <v>104313</v>
      </c>
      <c r="HK30" s="837">
        <v>118147</v>
      </c>
      <c r="HL30" s="837">
        <v>132616</v>
      </c>
      <c r="HM30" s="838">
        <v>134723</v>
      </c>
      <c r="HN30" s="838">
        <f t="shared" si="7"/>
        <v>115262</v>
      </c>
      <c r="HO30" s="1568">
        <f t="shared" si="8"/>
        <v>103750</v>
      </c>
      <c r="HP30" s="298"/>
      <c r="HQ30" s="298"/>
      <c r="HR30" s="298"/>
      <c r="HS30" s="467"/>
      <c r="HT30" s="2287"/>
      <c r="HU30" s="1736"/>
      <c r="HV30" s="1736"/>
      <c r="HW30" s="1736"/>
      <c r="HX30" s="1736"/>
    </row>
    <row r="31" spans="1:232" s="341" customFormat="1" ht="18.75" hidden="1" customHeight="1">
      <c r="A31" s="370"/>
      <c r="C31" s="371" t="s">
        <v>573</v>
      </c>
      <c r="D31" s="372">
        <v>6672</v>
      </c>
      <c r="E31" s="373">
        <v>6708</v>
      </c>
      <c r="F31" s="373">
        <v>7169</v>
      </c>
      <c r="G31" s="373">
        <v>6383</v>
      </c>
      <c r="H31" s="373">
        <v>6238</v>
      </c>
      <c r="I31" s="373">
        <v>6996</v>
      </c>
      <c r="J31" s="373">
        <v>9044</v>
      </c>
      <c r="K31" s="373">
        <v>7836</v>
      </c>
      <c r="L31" s="373">
        <v>6632</v>
      </c>
      <c r="M31" s="373">
        <v>8725</v>
      </c>
      <c r="N31" s="373">
        <v>8659</v>
      </c>
      <c r="O31" s="374">
        <v>6968</v>
      </c>
      <c r="P31" s="375">
        <v>7959</v>
      </c>
      <c r="Q31" s="376">
        <v>11891</v>
      </c>
      <c r="R31" s="376">
        <v>8225</v>
      </c>
      <c r="S31" s="376">
        <v>8215</v>
      </c>
      <c r="T31" s="376">
        <v>8531</v>
      </c>
      <c r="U31" s="376">
        <v>8312</v>
      </c>
      <c r="V31" s="376">
        <v>9382</v>
      </c>
      <c r="W31" s="376">
        <v>8562</v>
      </c>
      <c r="X31" s="376">
        <v>7637</v>
      </c>
      <c r="Y31" s="376">
        <v>9462</v>
      </c>
      <c r="Z31" s="376">
        <v>9578</v>
      </c>
      <c r="AA31" s="377">
        <v>7207</v>
      </c>
      <c r="AB31" s="378">
        <v>8097</v>
      </c>
      <c r="AC31" s="379">
        <v>7836</v>
      </c>
      <c r="AD31" s="379">
        <v>7907</v>
      </c>
      <c r="AE31" s="379">
        <v>8024</v>
      </c>
      <c r="AF31" s="379">
        <v>7446</v>
      </c>
      <c r="AG31" s="379">
        <v>8206</v>
      </c>
      <c r="AH31" s="379">
        <v>9271</v>
      </c>
      <c r="AI31" s="379">
        <v>8146</v>
      </c>
      <c r="AJ31" s="379">
        <v>7185</v>
      </c>
      <c r="AK31" s="379">
        <v>8791</v>
      </c>
      <c r="AL31" s="379">
        <v>8866</v>
      </c>
      <c r="AM31" s="379">
        <v>7816</v>
      </c>
      <c r="AN31" s="380">
        <v>8016</v>
      </c>
      <c r="AO31" s="380">
        <v>8658</v>
      </c>
      <c r="AP31" s="380">
        <v>8634</v>
      </c>
      <c r="AQ31" s="380">
        <v>7470</v>
      </c>
      <c r="AR31" s="380">
        <v>8414</v>
      </c>
      <c r="AS31" s="380">
        <v>8062</v>
      </c>
      <c r="AT31" s="380">
        <v>9141</v>
      </c>
      <c r="AU31" s="380">
        <v>8013</v>
      </c>
      <c r="AV31" s="380">
        <v>7025</v>
      </c>
      <c r="AW31" s="380">
        <v>9359</v>
      </c>
      <c r="AX31" s="380">
        <v>8625.034997704086</v>
      </c>
      <c r="AY31" s="381">
        <v>7631</v>
      </c>
      <c r="AZ31" s="382">
        <v>8001</v>
      </c>
      <c r="BA31" s="383">
        <v>8521</v>
      </c>
      <c r="BB31" s="383">
        <v>8954</v>
      </c>
      <c r="BC31" s="383">
        <v>8843</v>
      </c>
      <c r="BD31" s="383">
        <v>9030</v>
      </c>
      <c r="BE31" s="383">
        <v>8832</v>
      </c>
      <c r="BF31" s="383">
        <v>10139</v>
      </c>
      <c r="BG31" s="383">
        <v>8387</v>
      </c>
      <c r="BH31" s="383">
        <v>8198</v>
      </c>
      <c r="BI31" s="383">
        <v>10241</v>
      </c>
      <c r="BJ31" s="383">
        <v>10460</v>
      </c>
      <c r="BK31" s="384">
        <v>8316</v>
      </c>
      <c r="BL31" s="385">
        <v>7703</v>
      </c>
      <c r="BM31" s="386">
        <v>7414</v>
      </c>
      <c r="BN31" s="386">
        <v>9563</v>
      </c>
      <c r="BO31" s="386">
        <v>8993</v>
      </c>
      <c r="BP31" s="386">
        <v>9925</v>
      </c>
      <c r="BQ31" s="386">
        <v>10333</v>
      </c>
      <c r="BR31" s="386">
        <v>11231</v>
      </c>
      <c r="BS31" s="386">
        <v>10107</v>
      </c>
      <c r="BT31" s="387">
        <v>9577</v>
      </c>
      <c r="BU31" s="387">
        <v>11637</v>
      </c>
      <c r="BV31" s="387">
        <v>11814</v>
      </c>
      <c r="BW31" s="471">
        <v>10183</v>
      </c>
      <c r="BX31" s="472">
        <v>10328</v>
      </c>
      <c r="BY31" s="390">
        <v>9950</v>
      </c>
      <c r="BZ31" s="390">
        <v>10909</v>
      </c>
      <c r="CA31" s="390">
        <v>10251</v>
      </c>
      <c r="CB31" s="390">
        <v>10979</v>
      </c>
      <c r="CC31" s="390">
        <v>11233</v>
      </c>
      <c r="CD31" s="390">
        <v>12350</v>
      </c>
      <c r="CE31" s="390">
        <v>10430</v>
      </c>
      <c r="CF31" s="390">
        <v>11212</v>
      </c>
      <c r="CG31" s="390">
        <v>12601</v>
      </c>
      <c r="CH31" s="390">
        <v>13173</v>
      </c>
      <c r="CI31" s="391">
        <v>11657</v>
      </c>
      <c r="CJ31" s="392">
        <v>11448</v>
      </c>
      <c r="CK31" s="393">
        <v>8292</v>
      </c>
      <c r="CL31" s="393">
        <v>11358</v>
      </c>
      <c r="CM31" s="393">
        <v>11357</v>
      </c>
      <c r="CN31" s="393">
        <v>11716</v>
      </c>
      <c r="CO31" s="393">
        <v>7861</v>
      </c>
      <c r="CP31" s="393">
        <v>13540</v>
      </c>
      <c r="CQ31" s="393">
        <v>11514</v>
      </c>
      <c r="CR31" s="393">
        <v>12106</v>
      </c>
      <c r="CS31" s="393">
        <v>13774</v>
      </c>
      <c r="CT31" s="393">
        <v>14766</v>
      </c>
      <c r="CU31" s="394">
        <v>14079</v>
      </c>
      <c r="CV31" s="486">
        <v>12710</v>
      </c>
      <c r="CW31" s="393">
        <v>11817</v>
      </c>
      <c r="CX31" s="487">
        <v>12523</v>
      </c>
      <c r="CY31" s="487">
        <v>11452</v>
      </c>
      <c r="CZ31" s="487">
        <v>12493</v>
      </c>
      <c r="DA31" s="487">
        <v>11979</v>
      </c>
      <c r="DB31" s="487">
        <v>13860</v>
      </c>
      <c r="DC31" s="487">
        <v>10712</v>
      </c>
      <c r="DD31" s="396">
        <v>11579</v>
      </c>
      <c r="DE31" s="396">
        <v>13715</v>
      </c>
      <c r="DF31" s="383"/>
      <c r="DG31" s="383"/>
      <c r="DH31" s="1501">
        <v>11853</v>
      </c>
      <c r="DI31" s="1502">
        <v>11898</v>
      </c>
      <c r="DJ31" s="1502">
        <v>12000</v>
      </c>
      <c r="DK31" s="1487">
        <v>10423</v>
      </c>
      <c r="DL31" s="1487">
        <v>10630</v>
      </c>
      <c r="DM31" s="1487">
        <v>11650</v>
      </c>
      <c r="DN31" s="1487">
        <v>13251</v>
      </c>
      <c r="DO31" s="1487">
        <v>10154</v>
      </c>
      <c r="DP31" s="1487">
        <v>9653</v>
      </c>
      <c r="DQ31" s="1487">
        <v>14086</v>
      </c>
      <c r="DR31" s="1487">
        <v>12283</v>
      </c>
      <c r="DS31" s="1486">
        <v>12337</v>
      </c>
      <c r="DT31" s="1488">
        <v>11762</v>
      </c>
      <c r="DU31" s="1488">
        <v>11143</v>
      </c>
      <c r="DV31" s="1488">
        <v>12365</v>
      </c>
      <c r="DW31" s="1488">
        <v>11940</v>
      </c>
      <c r="DX31" s="1488">
        <v>11371</v>
      </c>
      <c r="DY31" s="1488">
        <v>12714</v>
      </c>
      <c r="DZ31" s="1677"/>
      <c r="EA31" s="1677"/>
      <c r="EB31" s="1677"/>
      <c r="EC31" s="1677"/>
      <c r="ED31" s="1677"/>
      <c r="EE31" s="1677"/>
      <c r="EF31" s="1488">
        <v>11762</v>
      </c>
      <c r="EG31" s="1488">
        <v>11143</v>
      </c>
      <c r="EH31" s="1488">
        <v>12365</v>
      </c>
      <c r="EI31" s="1488">
        <v>11940</v>
      </c>
      <c r="EJ31" s="1488">
        <v>11371</v>
      </c>
      <c r="EK31" s="1488">
        <v>12714</v>
      </c>
      <c r="EL31" s="1677"/>
      <c r="EM31" s="1677"/>
      <c r="EN31" s="1677"/>
      <c r="EO31" s="1677"/>
      <c r="EP31" s="1677"/>
      <c r="EQ31" s="1677"/>
      <c r="ER31" s="1488">
        <v>11762</v>
      </c>
      <c r="ES31" s="1488">
        <v>11143</v>
      </c>
      <c r="ET31" s="1488">
        <v>12365</v>
      </c>
      <c r="EU31" s="1488">
        <v>11940</v>
      </c>
      <c r="EV31" s="1488">
        <v>11371</v>
      </c>
      <c r="EW31" s="1488">
        <v>12714</v>
      </c>
      <c r="EX31" s="1677"/>
      <c r="EY31" s="1677"/>
      <c r="EZ31" s="1677"/>
      <c r="FA31" s="1677"/>
      <c r="FB31" s="1677"/>
      <c r="FC31" s="1677"/>
      <c r="FD31" s="1677"/>
      <c r="FE31" s="279"/>
      <c r="FF31" s="397">
        <v>20549</v>
      </c>
      <c r="FG31" s="398">
        <v>19617</v>
      </c>
      <c r="FH31" s="398">
        <v>23512</v>
      </c>
      <c r="FI31" s="399">
        <v>24352</v>
      </c>
      <c r="FJ31" s="400">
        <v>28075</v>
      </c>
      <c r="FK31" s="401">
        <v>25058</v>
      </c>
      <c r="FL31" s="401">
        <v>25581</v>
      </c>
      <c r="FM31" s="402">
        <v>26247</v>
      </c>
      <c r="FN31" s="403">
        <v>23840</v>
      </c>
      <c r="FO31" s="404">
        <v>23676</v>
      </c>
      <c r="FP31" s="405">
        <v>24602</v>
      </c>
      <c r="FQ31" s="405">
        <v>25473</v>
      </c>
      <c r="FR31" s="406">
        <v>25308</v>
      </c>
      <c r="FS31" s="407">
        <v>23946</v>
      </c>
      <c r="FT31" s="407">
        <v>24179</v>
      </c>
      <c r="FU31" s="408">
        <v>25615.034997704086</v>
      </c>
      <c r="FV31" s="409">
        <v>25476</v>
      </c>
      <c r="FW31" s="410">
        <v>26705</v>
      </c>
      <c r="FX31" s="410">
        <v>26724</v>
      </c>
      <c r="FY31" s="411">
        <v>29017</v>
      </c>
      <c r="FZ31" s="407">
        <v>24680</v>
      </c>
      <c r="GA31" s="407">
        <v>29251</v>
      </c>
      <c r="GB31" s="407">
        <v>30915</v>
      </c>
      <c r="GC31" s="407">
        <v>33634</v>
      </c>
      <c r="GD31" s="412">
        <v>31187</v>
      </c>
      <c r="GE31" s="412">
        <v>32463</v>
      </c>
      <c r="GF31" s="412">
        <v>33992</v>
      </c>
      <c r="GG31" s="412">
        <v>37431</v>
      </c>
      <c r="GH31" s="413">
        <v>31098</v>
      </c>
      <c r="GI31" s="413">
        <v>30934</v>
      </c>
      <c r="GJ31" s="413">
        <v>38828</v>
      </c>
      <c r="GK31" s="413">
        <v>42619</v>
      </c>
      <c r="GL31" s="414">
        <v>37050</v>
      </c>
      <c r="GM31" s="414">
        <v>37660</v>
      </c>
      <c r="GN31" s="414">
        <v>38287</v>
      </c>
      <c r="GO31" s="1541">
        <f t="shared" si="1"/>
        <v>35751</v>
      </c>
      <c r="GP31" s="1541">
        <f t="shared" si="2"/>
        <v>32703</v>
      </c>
      <c r="GQ31" s="1541">
        <f t="shared" si="3"/>
        <v>33058</v>
      </c>
      <c r="GR31" s="1541">
        <f t="shared" si="4"/>
        <v>38706</v>
      </c>
      <c r="GS31" s="1542">
        <f t="shared" si="5"/>
        <v>35270</v>
      </c>
      <c r="GT31" s="1542">
        <f t="shared" si="6"/>
        <v>36025</v>
      </c>
      <c r="GU31" s="1543"/>
      <c r="GV31" s="279"/>
      <c r="GW31" s="407"/>
      <c r="GX31" s="412"/>
      <c r="GY31" s="412"/>
      <c r="GZ31" s="412"/>
      <c r="HA31" s="407"/>
      <c r="HB31" s="412"/>
      <c r="HC31" s="412"/>
      <c r="HD31" s="412"/>
      <c r="HE31" s="836">
        <v>88030</v>
      </c>
      <c r="HF31" s="837">
        <v>104961</v>
      </c>
      <c r="HG31" s="837">
        <v>97591</v>
      </c>
      <c r="HH31" s="837">
        <v>99048.03499770409</v>
      </c>
      <c r="HI31" s="837">
        <v>107922</v>
      </c>
      <c r="HJ31" s="837">
        <v>118480</v>
      </c>
      <c r="HK31" s="837">
        <v>135073</v>
      </c>
      <c r="HL31" s="837">
        <v>141811</v>
      </c>
      <c r="HM31" s="838">
        <v>151685</v>
      </c>
      <c r="HN31" s="838">
        <f t="shared" si="7"/>
        <v>140127</v>
      </c>
      <c r="HO31" s="1568">
        <f t="shared" si="8"/>
        <v>129808</v>
      </c>
      <c r="HP31" s="298"/>
      <c r="HQ31" s="298"/>
      <c r="HR31" s="298"/>
      <c r="HS31" s="467"/>
      <c r="HT31" s="2287"/>
      <c r="HU31" s="1736"/>
      <c r="HV31" s="1736"/>
      <c r="HW31" s="1736"/>
      <c r="HX31" s="1736"/>
    </row>
    <row r="32" spans="1:232" s="341" customFormat="1" ht="21.95" hidden="1" customHeight="1">
      <c r="A32" s="370"/>
      <c r="C32" s="371" t="s">
        <v>574</v>
      </c>
      <c r="D32" s="372">
        <v>2625</v>
      </c>
      <c r="E32" s="373">
        <v>2509</v>
      </c>
      <c r="F32" s="373">
        <v>2564</v>
      </c>
      <c r="G32" s="373">
        <v>2172</v>
      </c>
      <c r="H32" s="373">
        <v>2098</v>
      </c>
      <c r="I32" s="373">
        <v>2131</v>
      </c>
      <c r="J32" s="373">
        <v>2453</v>
      </c>
      <c r="K32" s="373">
        <v>2148</v>
      </c>
      <c r="L32" s="373">
        <v>2061</v>
      </c>
      <c r="M32" s="373">
        <v>3163</v>
      </c>
      <c r="N32" s="373">
        <v>2902</v>
      </c>
      <c r="O32" s="374">
        <v>2363</v>
      </c>
      <c r="P32" s="375">
        <v>3166</v>
      </c>
      <c r="Q32" s="376">
        <v>4621</v>
      </c>
      <c r="R32" s="376">
        <v>3034</v>
      </c>
      <c r="S32" s="376">
        <v>2586</v>
      </c>
      <c r="T32" s="376">
        <v>2858</v>
      </c>
      <c r="U32" s="376">
        <v>2583</v>
      </c>
      <c r="V32" s="376">
        <v>2469</v>
      </c>
      <c r="W32" s="376">
        <v>2482</v>
      </c>
      <c r="X32" s="376">
        <v>2471</v>
      </c>
      <c r="Y32" s="376">
        <v>3446</v>
      </c>
      <c r="Z32" s="376">
        <v>3515</v>
      </c>
      <c r="AA32" s="377">
        <v>2458</v>
      </c>
      <c r="AB32" s="378">
        <v>3363</v>
      </c>
      <c r="AC32" s="379">
        <v>3073</v>
      </c>
      <c r="AD32" s="379">
        <v>2999</v>
      </c>
      <c r="AE32" s="379">
        <v>2597</v>
      </c>
      <c r="AF32" s="379">
        <v>2732</v>
      </c>
      <c r="AG32" s="379">
        <v>2645</v>
      </c>
      <c r="AH32" s="379">
        <v>2440</v>
      </c>
      <c r="AI32" s="379">
        <v>2381</v>
      </c>
      <c r="AJ32" s="379">
        <v>2218</v>
      </c>
      <c r="AK32" s="379">
        <v>3019</v>
      </c>
      <c r="AL32" s="379">
        <v>3332</v>
      </c>
      <c r="AM32" s="379">
        <v>2574</v>
      </c>
      <c r="AN32" s="380">
        <v>3261</v>
      </c>
      <c r="AO32" s="380">
        <v>2925</v>
      </c>
      <c r="AP32" s="380">
        <v>2934</v>
      </c>
      <c r="AQ32" s="380">
        <v>2641</v>
      </c>
      <c r="AR32" s="380">
        <v>2842</v>
      </c>
      <c r="AS32" s="380">
        <v>2628</v>
      </c>
      <c r="AT32" s="380">
        <v>2453</v>
      </c>
      <c r="AU32" s="380">
        <v>2085</v>
      </c>
      <c r="AV32" s="380">
        <v>2289</v>
      </c>
      <c r="AW32" s="380">
        <v>3541</v>
      </c>
      <c r="AX32" s="380">
        <v>3009.3888678152889</v>
      </c>
      <c r="AY32" s="381">
        <v>2342</v>
      </c>
      <c r="AZ32" s="382">
        <v>2900</v>
      </c>
      <c r="BA32" s="383">
        <v>3495</v>
      </c>
      <c r="BB32" s="383">
        <v>3266</v>
      </c>
      <c r="BC32" s="383">
        <v>2825</v>
      </c>
      <c r="BD32" s="383">
        <v>3019</v>
      </c>
      <c r="BE32" s="383">
        <v>2666</v>
      </c>
      <c r="BF32" s="383">
        <v>2611</v>
      </c>
      <c r="BG32" s="383">
        <v>2378</v>
      </c>
      <c r="BH32" s="383">
        <v>2695</v>
      </c>
      <c r="BI32" s="383">
        <v>3969</v>
      </c>
      <c r="BJ32" s="383">
        <v>4061</v>
      </c>
      <c r="BK32" s="384">
        <v>2603</v>
      </c>
      <c r="BL32" s="385">
        <v>3250</v>
      </c>
      <c r="BM32" s="386">
        <v>2858</v>
      </c>
      <c r="BN32" s="386">
        <v>3568</v>
      </c>
      <c r="BO32" s="386">
        <v>3142</v>
      </c>
      <c r="BP32" s="386">
        <v>3612</v>
      </c>
      <c r="BQ32" s="386">
        <v>3412</v>
      </c>
      <c r="BR32" s="386">
        <v>2980</v>
      </c>
      <c r="BS32" s="386">
        <v>3151</v>
      </c>
      <c r="BT32" s="387">
        <v>3410</v>
      </c>
      <c r="BU32" s="387">
        <v>4715</v>
      </c>
      <c r="BV32" s="387">
        <v>4387</v>
      </c>
      <c r="BW32" s="471">
        <v>3312</v>
      </c>
      <c r="BX32" s="472">
        <v>3973</v>
      </c>
      <c r="BY32" s="390">
        <v>3771</v>
      </c>
      <c r="BZ32" s="390">
        <v>3954</v>
      </c>
      <c r="CA32" s="390">
        <v>3582</v>
      </c>
      <c r="CB32" s="390">
        <v>3928</v>
      </c>
      <c r="CC32" s="390">
        <v>3554</v>
      </c>
      <c r="CD32" s="390">
        <v>3620</v>
      </c>
      <c r="CE32" s="390">
        <v>3189</v>
      </c>
      <c r="CF32" s="390">
        <v>3988</v>
      </c>
      <c r="CG32" s="390">
        <v>4917</v>
      </c>
      <c r="CH32" s="390">
        <v>4146</v>
      </c>
      <c r="CI32" s="391">
        <v>3570</v>
      </c>
      <c r="CJ32" s="392">
        <v>4680</v>
      </c>
      <c r="CK32" s="393">
        <v>7348</v>
      </c>
      <c r="CL32" s="393">
        <v>4278</v>
      </c>
      <c r="CM32" s="393">
        <v>4082</v>
      </c>
      <c r="CN32" s="393">
        <v>4324</v>
      </c>
      <c r="CO32" s="393">
        <v>6303</v>
      </c>
      <c r="CP32" s="393">
        <v>3984</v>
      </c>
      <c r="CQ32" s="393">
        <v>3436</v>
      </c>
      <c r="CR32" s="393">
        <v>4243</v>
      </c>
      <c r="CS32" s="393">
        <v>5398</v>
      </c>
      <c r="CT32" s="393">
        <v>5554</v>
      </c>
      <c r="CU32" s="394">
        <v>4282</v>
      </c>
      <c r="CV32" s="486">
        <v>5054</v>
      </c>
      <c r="CW32" s="393">
        <v>5235</v>
      </c>
      <c r="CX32" s="487">
        <v>5112</v>
      </c>
      <c r="CY32" s="487">
        <v>4585</v>
      </c>
      <c r="CZ32" s="487">
        <v>4901</v>
      </c>
      <c r="DA32" s="487">
        <v>4284</v>
      </c>
      <c r="DB32" s="487">
        <v>4291</v>
      </c>
      <c r="DC32" s="487">
        <v>3476</v>
      </c>
      <c r="DD32" s="396">
        <v>4291</v>
      </c>
      <c r="DE32" s="396">
        <v>5772</v>
      </c>
      <c r="DF32" s="383"/>
      <c r="DG32" s="383"/>
      <c r="DH32" s="1501">
        <v>5230</v>
      </c>
      <c r="DI32" s="1502">
        <v>4957</v>
      </c>
      <c r="DJ32" s="1502">
        <v>4742</v>
      </c>
      <c r="DK32" s="1487">
        <v>4250</v>
      </c>
      <c r="DL32" s="1487">
        <v>4587</v>
      </c>
      <c r="DM32" s="1487">
        <v>4188</v>
      </c>
      <c r="DN32" s="1487">
        <v>3892</v>
      </c>
      <c r="DO32" s="1487">
        <v>3256</v>
      </c>
      <c r="DP32" s="1487">
        <v>3943</v>
      </c>
      <c r="DQ32" s="1487">
        <v>5355</v>
      </c>
      <c r="DR32" s="1487">
        <v>5366</v>
      </c>
      <c r="DS32" s="1486">
        <v>4423</v>
      </c>
      <c r="DT32" s="1488">
        <v>5443</v>
      </c>
      <c r="DU32" s="1488">
        <v>4983</v>
      </c>
      <c r="DV32" s="1488">
        <v>5269</v>
      </c>
      <c r="DW32" s="1488">
        <v>4794</v>
      </c>
      <c r="DX32" s="1488">
        <v>4906</v>
      </c>
      <c r="DY32" s="1488">
        <v>5044</v>
      </c>
      <c r="DZ32" s="1677"/>
      <c r="EA32" s="1677"/>
      <c r="EB32" s="1677"/>
      <c r="EC32" s="1677"/>
      <c r="ED32" s="1677"/>
      <c r="EE32" s="1677"/>
      <c r="EF32" s="1488">
        <v>5443</v>
      </c>
      <c r="EG32" s="1488">
        <v>4983</v>
      </c>
      <c r="EH32" s="1488">
        <v>5269</v>
      </c>
      <c r="EI32" s="1488">
        <v>4794</v>
      </c>
      <c r="EJ32" s="1488">
        <v>4906</v>
      </c>
      <c r="EK32" s="1488">
        <v>5044</v>
      </c>
      <c r="EL32" s="1677"/>
      <c r="EM32" s="1677"/>
      <c r="EN32" s="1677"/>
      <c r="EO32" s="1677"/>
      <c r="EP32" s="1677"/>
      <c r="EQ32" s="1677"/>
      <c r="ER32" s="1488">
        <v>5443</v>
      </c>
      <c r="ES32" s="1488">
        <v>4983</v>
      </c>
      <c r="ET32" s="1488">
        <v>5269</v>
      </c>
      <c r="EU32" s="1488">
        <v>4794</v>
      </c>
      <c r="EV32" s="1488">
        <v>4906</v>
      </c>
      <c r="EW32" s="1488">
        <v>5044</v>
      </c>
      <c r="EX32" s="1677"/>
      <c r="EY32" s="1677"/>
      <c r="EZ32" s="1677"/>
      <c r="FA32" s="1677"/>
      <c r="FB32" s="1677"/>
      <c r="FC32" s="1677"/>
      <c r="FD32" s="1677"/>
      <c r="FE32" s="279"/>
      <c r="FF32" s="397">
        <v>7698</v>
      </c>
      <c r="FG32" s="398">
        <v>6401</v>
      </c>
      <c r="FH32" s="398">
        <v>6662</v>
      </c>
      <c r="FI32" s="399">
        <v>8428</v>
      </c>
      <c r="FJ32" s="400">
        <v>10821</v>
      </c>
      <c r="FK32" s="401">
        <v>8027</v>
      </c>
      <c r="FL32" s="401">
        <v>7422</v>
      </c>
      <c r="FM32" s="402">
        <v>9419</v>
      </c>
      <c r="FN32" s="403">
        <v>9435</v>
      </c>
      <c r="FO32" s="404">
        <v>7974</v>
      </c>
      <c r="FP32" s="405">
        <v>7039</v>
      </c>
      <c r="FQ32" s="405">
        <v>8925</v>
      </c>
      <c r="FR32" s="406">
        <v>9120</v>
      </c>
      <c r="FS32" s="407">
        <v>8111</v>
      </c>
      <c r="FT32" s="407">
        <v>6827</v>
      </c>
      <c r="FU32" s="408">
        <v>8892.3888678152889</v>
      </c>
      <c r="FV32" s="409">
        <v>9661</v>
      </c>
      <c r="FW32" s="410">
        <v>8510</v>
      </c>
      <c r="FX32" s="410">
        <v>7684</v>
      </c>
      <c r="FY32" s="411">
        <v>10633</v>
      </c>
      <c r="FZ32" s="407">
        <v>9676</v>
      </c>
      <c r="GA32" s="407">
        <v>10166</v>
      </c>
      <c r="GB32" s="407">
        <v>9541</v>
      </c>
      <c r="GC32" s="407">
        <v>12414</v>
      </c>
      <c r="GD32" s="412">
        <v>11698</v>
      </c>
      <c r="GE32" s="412">
        <v>11064</v>
      </c>
      <c r="GF32" s="412">
        <v>10797</v>
      </c>
      <c r="GG32" s="412">
        <v>12633</v>
      </c>
      <c r="GH32" s="413">
        <v>16306</v>
      </c>
      <c r="GI32" s="413">
        <v>14709</v>
      </c>
      <c r="GJ32" s="413">
        <v>12818</v>
      </c>
      <c r="GK32" s="413">
        <v>15234</v>
      </c>
      <c r="GL32" s="414">
        <v>15401</v>
      </c>
      <c r="GM32" s="414">
        <v>15258</v>
      </c>
      <c r="GN32" s="414">
        <v>13539</v>
      </c>
      <c r="GO32" s="1541">
        <f t="shared" si="1"/>
        <v>14929</v>
      </c>
      <c r="GP32" s="1541">
        <f t="shared" si="2"/>
        <v>13025</v>
      </c>
      <c r="GQ32" s="1541">
        <f t="shared" si="3"/>
        <v>11091</v>
      </c>
      <c r="GR32" s="1541">
        <f t="shared" si="4"/>
        <v>15144</v>
      </c>
      <c r="GS32" s="1542">
        <f t="shared" si="5"/>
        <v>15695</v>
      </c>
      <c r="GT32" s="1542">
        <f t="shared" si="6"/>
        <v>14744</v>
      </c>
      <c r="GU32" s="1543"/>
      <c r="GV32" s="279"/>
      <c r="GW32" s="407"/>
      <c r="GX32" s="412"/>
      <c r="GY32" s="412"/>
      <c r="GZ32" s="412"/>
      <c r="HA32" s="407"/>
      <c r="HB32" s="412"/>
      <c r="HC32" s="412"/>
      <c r="HD32" s="412"/>
      <c r="HE32" s="836">
        <v>29189</v>
      </c>
      <c r="HF32" s="837">
        <v>35689</v>
      </c>
      <c r="HG32" s="837">
        <v>33373</v>
      </c>
      <c r="HH32" s="837">
        <v>32950.388867815287</v>
      </c>
      <c r="HI32" s="837">
        <v>36488</v>
      </c>
      <c r="HJ32" s="837">
        <v>41797</v>
      </c>
      <c r="HK32" s="837">
        <v>46192</v>
      </c>
      <c r="HL32" s="837">
        <v>57912</v>
      </c>
      <c r="HM32" s="838">
        <v>56837</v>
      </c>
      <c r="HN32" s="838">
        <f t="shared" si="7"/>
        <v>54402</v>
      </c>
      <c r="HO32" s="1568">
        <f t="shared" si="8"/>
        <v>52782</v>
      </c>
      <c r="HP32" s="298"/>
      <c r="HQ32" s="298"/>
      <c r="HR32" s="298"/>
      <c r="HS32" s="467"/>
      <c r="HT32" s="2287"/>
      <c r="HU32" s="1736"/>
      <c r="HV32" s="1736"/>
      <c r="HW32" s="1736"/>
      <c r="HX32" s="1736"/>
    </row>
    <row r="33" spans="1:232" s="341" customFormat="1" ht="21.95" hidden="1" customHeight="1">
      <c r="A33" s="370"/>
      <c r="C33" s="371" t="s">
        <v>176</v>
      </c>
      <c r="D33" s="372">
        <v>125</v>
      </c>
      <c r="E33" s="373">
        <v>126</v>
      </c>
      <c r="F33" s="373">
        <v>147</v>
      </c>
      <c r="G33" s="373">
        <v>118</v>
      </c>
      <c r="H33" s="373">
        <v>106</v>
      </c>
      <c r="I33" s="373">
        <v>139</v>
      </c>
      <c r="J33" s="373">
        <v>2</v>
      </c>
      <c r="K33" s="373">
        <v>173</v>
      </c>
      <c r="L33" s="373">
        <v>160</v>
      </c>
      <c r="M33" s="373">
        <v>163</v>
      </c>
      <c r="N33" s="373">
        <v>131</v>
      </c>
      <c r="O33" s="374">
        <v>127</v>
      </c>
      <c r="P33" s="375">
        <v>91</v>
      </c>
      <c r="Q33" s="376">
        <v>144</v>
      </c>
      <c r="R33" s="376">
        <v>129</v>
      </c>
      <c r="S33" s="376">
        <v>127</v>
      </c>
      <c r="T33" s="376">
        <v>129</v>
      </c>
      <c r="U33" s="376">
        <v>173</v>
      </c>
      <c r="V33" s="376">
        <v>182</v>
      </c>
      <c r="W33" s="376">
        <v>261</v>
      </c>
      <c r="X33" s="376">
        <v>181</v>
      </c>
      <c r="Y33" s="376">
        <v>139</v>
      </c>
      <c r="Z33" s="376">
        <v>150</v>
      </c>
      <c r="AA33" s="377">
        <v>206</v>
      </c>
      <c r="AB33" s="378">
        <v>154</v>
      </c>
      <c r="AC33" s="379">
        <v>134</v>
      </c>
      <c r="AD33" s="379">
        <v>161</v>
      </c>
      <c r="AE33" s="379">
        <v>139</v>
      </c>
      <c r="AF33" s="379">
        <v>0</v>
      </c>
      <c r="AG33" s="379">
        <v>214</v>
      </c>
      <c r="AH33" s="379">
        <v>479</v>
      </c>
      <c r="AI33" s="379">
        <v>367</v>
      </c>
      <c r="AJ33" s="379">
        <v>188</v>
      </c>
      <c r="AK33" s="379">
        <v>176</v>
      </c>
      <c r="AL33" s="379">
        <v>181</v>
      </c>
      <c r="AM33" s="379">
        <v>242</v>
      </c>
      <c r="AN33" s="380">
        <v>149</v>
      </c>
      <c r="AO33" s="380">
        <v>304</v>
      </c>
      <c r="AP33" s="380">
        <v>184</v>
      </c>
      <c r="AQ33" s="380">
        <v>140</v>
      </c>
      <c r="AR33" s="380">
        <v>126</v>
      </c>
      <c r="AS33" s="380">
        <v>213</v>
      </c>
      <c r="AT33" s="380">
        <v>199</v>
      </c>
      <c r="AU33" s="380">
        <v>124</v>
      </c>
      <c r="AV33" s="380">
        <v>121</v>
      </c>
      <c r="AW33" s="380">
        <v>213</v>
      </c>
      <c r="AX33" s="380">
        <v>256.81540857274052</v>
      </c>
      <c r="AY33" s="381">
        <v>153</v>
      </c>
      <c r="AZ33" s="382">
        <v>148</v>
      </c>
      <c r="BA33" s="383">
        <v>161</v>
      </c>
      <c r="BB33" s="383">
        <v>140</v>
      </c>
      <c r="BC33" s="383">
        <v>124</v>
      </c>
      <c r="BD33" s="383">
        <v>158</v>
      </c>
      <c r="BE33" s="383">
        <v>187</v>
      </c>
      <c r="BF33" s="383">
        <v>242</v>
      </c>
      <c r="BG33" s="383">
        <v>199</v>
      </c>
      <c r="BH33" s="383">
        <v>150</v>
      </c>
      <c r="BI33" s="383">
        <v>133</v>
      </c>
      <c r="BJ33" s="383">
        <v>154</v>
      </c>
      <c r="BK33" s="384">
        <v>156</v>
      </c>
      <c r="BL33" s="385">
        <v>0</v>
      </c>
      <c r="BM33" s="386">
        <v>0</v>
      </c>
      <c r="BN33" s="386">
        <v>0</v>
      </c>
      <c r="BO33" s="386">
        <v>186</v>
      </c>
      <c r="BP33" s="386">
        <v>262</v>
      </c>
      <c r="BQ33" s="386">
        <v>308</v>
      </c>
      <c r="BR33" s="386">
        <v>470</v>
      </c>
      <c r="BS33" s="386">
        <v>0</v>
      </c>
      <c r="BT33" s="387">
        <v>185</v>
      </c>
      <c r="BU33" s="460">
        <v>287</v>
      </c>
      <c r="BV33" s="387">
        <v>253</v>
      </c>
      <c r="BW33" s="471">
        <v>238</v>
      </c>
      <c r="BX33" s="488">
        <v>285</v>
      </c>
      <c r="BY33" s="489">
        <v>291</v>
      </c>
      <c r="BZ33" s="489">
        <v>229</v>
      </c>
      <c r="CA33" s="489">
        <v>212</v>
      </c>
      <c r="CB33" s="489">
        <v>0</v>
      </c>
      <c r="CC33" s="489">
        <v>0</v>
      </c>
      <c r="CD33" s="489">
        <v>169</v>
      </c>
      <c r="CE33" s="489">
        <v>1</v>
      </c>
      <c r="CF33" s="489">
        <v>1</v>
      </c>
      <c r="CG33" s="489">
        <v>1</v>
      </c>
      <c r="CH33" s="390">
        <v>350</v>
      </c>
      <c r="CI33" s="391">
        <v>0</v>
      </c>
      <c r="CJ33" s="392">
        <v>1</v>
      </c>
      <c r="CK33" s="393">
        <v>606</v>
      </c>
      <c r="CL33" s="393">
        <v>1</v>
      </c>
      <c r="CM33" s="393">
        <v>4</v>
      </c>
      <c r="CN33" s="393">
        <v>0</v>
      </c>
      <c r="CO33" s="393">
        <v>0</v>
      </c>
      <c r="CP33" s="393">
        <v>0</v>
      </c>
      <c r="CQ33" s="393">
        <v>0</v>
      </c>
      <c r="CR33" s="393">
        <v>0</v>
      </c>
      <c r="CS33" s="393">
        <v>0</v>
      </c>
      <c r="CT33" s="393">
        <v>0</v>
      </c>
      <c r="CU33" s="394">
        <v>0</v>
      </c>
      <c r="CV33" s="486">
        <v>0</v>
      </c>
      <c r="CW33" s="393">
        <v>0</v>
      </c>
      <c r="CX33" s="487">
        <v>0</v>
      </c>
      <c r="CY33" s="487">
        <v>0</v>
      </c>
      <c r="CZ33" s="487">
        <v>0</v>
      </c>
      <c r="DA33" s="487">
        <v>0</v>
      </c>
      <c r="DB33" s="487">
        <v>2</v>
      </c>
      <c r="DC33" s="487">
        <v>2</v>
      </c>
      <c r="DD33" s="396">
        <v>1</v>
      </c>
      <c r="DE33" s="396">
        <v>23</v>
      </c>
      <c r="DF33" s="383"/>
      <c r="DG33" s="383"/>
      <c r="DH33" s="1503" t="s">
        <v>443</v>
      </c>
      <c r="DI33" s="1504" t="s">
        <v>443</v>
      </c>
      <c r="DJ33" s="1504" t="s">
        <v>443</v>
      </c>
      <c r="DK33" s="1505" t="s">
        <v>443</v>
      </c>
      <c r="DL33" s="1505" t="s">
        <v>443</v>
      </c>
      <c r="DM33" s="1505" t="s">
        <v>443</v>
      </c>
      <c r="DN33" s="1505" t="s">
        <v>443</v>
      </c>
      <c r="DO33" s="1505" t="s">
        <v>443</v>
      </c>
      <c r="DP33" s="1487">
        <v>2</v>
      </c>
      <c r="DQ33" s="1487">
        <v>2</v>
      </c>
      <c r="DR33" s="1487">
        <v>1</v>
      </c>
      <c r="DS33" s="1506" t="s">
        <v>443</v>
      </c>
      <c r="DT33" s="1507" t="s">
        <v>443</v>
      </c>
      <c r="DU33" s="1507" t="s">
        <v>443</v>
      </c>
      <c r="DV33" s="1507" t="s">
        <v>443</v>
      </c>
      <c r="DW33" s="1507" t="s">
        <v>443</v>
      </c>
      <c r="DX33" s="1507" t="s">
        <v>443</v>
      </c>
      <c r="DY33" s="1507" t="s">
        <v>443</v>
      </c>
      <c r="DZ33" s="1679"/>
      <c r="EA33" s="1679"/>
      <c r="EB33" s="1679"/>
      <c r="EC33" s="1679"/>
      <c r="ED33" s="1679"/>
      <c r="EE33" s="1679"/>
      <c r="EF33" s="1507" t="s">
        <v>443</v>
      </c>
      <c r="EG33" s="1507" t="s">
        <v>443</v>
      </c>
      <c r="EH33" s="1507" t="s">
        <v>443</v>
      </c>
      <c r="EI33" s="1507" t="s">
        <v>443</v>
      </c>
      <c r="EJ33" s="1507" t="s">
        <v>443</v>
      </c>
      <c r="EK33" s="1507" t="s">
        <v>443</v>
      </c>
      <c r="EL33" s="1679"/>
      <c r="EM33" s="1679"/>
      <c r="EN33" s="1679"/>
      <c r="EO33" s="1679"/>
      <c r="EP33" s="1679"/>
      <c r="EQ33" s="1679"/>
      <c r="ER33" s="1507" t="s">
        <v>443</v>
      </c>
      <c r="ES33" s="1507" t="s">
        <v>443</v>
      </c>
      <c r="ET33" s="1507" t="s">
        <v>443</v>
      </c>
      <c r="EU33" s="1507" t="s">
        <v>443</v>
      </c>
      <c r="EV33" s="1507" t="s">
        <v>443</v>
      </c>
      <c r="EW33" s="1507" t="s">
        <v>443</v>
      </c>
      <c r="EX33" s="1679"/>
      <c r="EY33" s="1679"/>
      <c r="EZ33" s="1679"/>
      <c r="FA33" s="1679"/>
      <c r="FB33" s="1679"/>
      <c r="FC33" s="1679"/>
      <c r="FD33" s="1679"/>
      <c r="FE33" s="279"/>
      <c r="FF33" s="397">
        <v>398</v>
      </c>
      <c r="FG33" s="398">
        <v>363</v>
      </c>
      <c r="FH33" s="398">
        <v>335</v>
      </c>
      <c r="FI33" s="399">
        <v>421</v>
      </c>
      <c r="FJ33" s="400">
        <v>364</v>
      </c>
      <c r="FK33" s="401">
        <v>429</v>
      </c>
      <c r="FL33" s="401">
        <v>624</v>
      </c>
      <c r="FM33" s="402">
        <v>495</v>
      </c>
      <c r="FN33" s="403">
        <v>449</v>
      </c>
      <c r="FO33" s="404">
        <v>353</v>
      </c>
      <c r="FP33" s="405">
        <v>1034</v>
      </c>
      <c r="FQ33" s="405">
        <v>599</v>
      </c>
      <c r="FR33" s="406">
        <v>637</v>
      </c>
      <c r="FS33" s="407">
        <v>479</v>
      </c>
      <c r="FT33" s="407">
        <v>444</v>
      </c>
      <c r="FU33" s="408">
        <v>622.81540857274058</v>
      </c>
      <c r="FV33" s="409">
        <v>449</v>
      </c>
      <c r="FW33" s="410">
        <v>469</v>
      </c>
      <c r="FX33" s="410">
        <v>591</v>
      </c>
      <c r="FY33" s="411">
        <v>443</v>
      </c>
      <c r="FZ33" s="407">
        <v>0</v>
      </c>
      <c r="GA33" s="407">
        <v>756</v>
      </c>
      <c r="GB33" s="407">
        <v>655</v>
      </c>
      <c r="GC33" s="407">
        <v>778</v>
      </c>
      <c r="GD33" s="412">
        <v>805</v>
      </c>
      <c r="GE33" s="412">
        <v>212</v>
      </c>
      <c r="GF33" s="412">
        <v>171</v>
      </c>
      <c r="GG33" s="412">
        <v>351</v>
      </c>
      <c r="GH33" s="413">
        <v>608</v>
      </c>
      <c r="GI33" s="413">
        <v>4</v>
      </c>
      <c r="GJ33" s="413">
        <v>0</v>
      </c>
      <c r="GK33" s="413">
        <v>0</v>
      </c>
      <c r="GL33" s="414">
        <v>0</v>
      </c>
      <c r="GM33" s="414">
        <v>23</v>
      </c>
      <c r="GN33" s="414">
        <v>27</v>
      </c>
      <c r="GO33" s="1551" t="s">
        <v>443</v>
      </c>
      <c r="GP33" s="1551" t="s">
        <v>443</v>
      </c>
      <c r="GQ33" s="1551" t="s">
        <v>443</v>
      </c>
      <c r="GR33" s="1551">
        <v>3</v>
      </c>
      <c r="GS33" s="1552" t="s">
        <v>443</v>
      </c>
      <c r="GT33" s="1552" t="s">
        <v>443</v>
      </c>
      <c r="GU33" s="1543"/>
      <c r="GV33" s="279"/>
      <c r="GW33" s="407"/>
      <c r="GX33" s="412"/>
      <c r="GY33" s="412"/>
      <c r="GZ33" s="412"/>
      <c r="HA33" s="407"/>
      <c r="HB33" s="412"/>
      <c r="HC33" s="412"/>
      <c r="HD33" s="412"/>
      <c r="HE33" s="836">
        <v>1517</v>
      </c>
      <c r="HF33" s="837">
        <v>1912</v>
      </c>
      <c r="HG33" s="837">
        <v>2435</v>
      </c>
      <c r="HH33" s="837">
        <v>2182.8154085727406</v>
      </c>
      <c r="HI33" s="837">
        <v>1952</v>
      </c>
      <c r="HJ33" s="837">
        <v>2189</v>
      </c>
      <c r="HK33" s="837">
        <v>1539</v>
      </c>
      <c r="HL33" s="837">
        <v>612</v>
      </c>
      <c r="HM33" s="838">
        <v>28</v>
      </c>
      <c r="HN33" s="838">
        <f t="shared" si="7"/>
        <v>5</v>
      </c>
      <c r="HO33" s="1568">
        <f t="shared" si="8"/>
        <v>5</v>
      </c>
      <c r="HP33" s="298"/>
      <c r="HQ33" s="298"/>
      <c r="HR33" s="298"/>
      <c r="HS33" s="467"/>
      <c r="HT33" s="2287"/>
      <c r="HU33" s="1736"/>
      <c r="HV33" s="1736"/>
      <c r="HW33" s="1736"/>
      <c r="HX33" s="1736"/>
    </row>
    <row r="34" spans="1:232" s="341" customFormat="1" ht="21.95" hidden="1" customHeight="1" thickBot="1">
      <c r="A34" s="370"/>
      <c r="C34" s="371" t="s">
        <v>54</v>
      </c>
      <c r="D34" s="418">
        <v>29447</v>
      </c>
      <c r="E34" s="419">
        <v>29249</v>
      </c>
      <c r="F34" s="419">
        <v>32536</v>
      </c>
      <c r="G34" s="419">
        <v>26929</v>
      </c>
      <c r="H34" s="419">
        <v>28526</v>
      </c>
      <c r="I34" s="419">
        <v>41105</v>
      </c>
      <c r="J34" s="419">
        <v>49933</v>
      </c>
      <c r="K34" s="419">
        <v>42244</v>
      </c>
      <c r="L34" s="419">
        <v>31407</v>
      </c>
      <c r="M34" s="419">
        <v>33891</v>
      </c>
      <c r="N34" s="419">
        <v>35806</v>
      </c>
      <c r="O34" s="420">
        <v>36780</v>
      </c>
      <c r="P34" s="421">
        <v>34991</v>
      </c>
      <c r="Q34" s="422">
        <v>46490</v>
      </c>
      <c r="R34" s="422">
        <v>36805</v>
      </c>
      <c r="S34" s="422">
        <v>31105</v>
      </c>
      <c r="T34" s="422">
        <v>35598</v>
      </c>
      <c r="U34" s="422">
        <v>45584</v>
      </c>
      <c r="V34" s="422">
        <v>50484</v>
      </c>
      <c r="W34" s="422">
        <v>43576</v>
      </c>
      <c r="X34" s="422">
        <v>34318</v>
      </c>
      <c r="Y34" s="422">
        <v>36977</v>
      </c>
      <c r="Z34" s="422">
        <v>38290</v>
      </c>
      <c r="AA34" s="423">
        <v>37281</v>
      </c>
      <c r="AB34" s="378">
        <v>35904</v>
      </c>
      <c r="AC34" s="379">
        <v>32995</v>
      </c>
      <c r="AD34" s="379">
        <v>34242</v>
      </c>
      <c r="AE34" s="379">
        <v>33161</v>
      </c>
      <c r="AF34" s="379">
        <v>32773</v>
      </c>
      <c r="AG34" s="379">
        <v>46796</v>
      </c>
      <c r="AH34" s="379">
        <v>50069</v>
      </c>
      <c r="AI34" s="379">
        <v>44378</v>
      </c>
      <c r="AJ34" s="379">
        <v>33494</v>
      </c>
      <c r="AK34" s="379">
        <v>35959</v>
      </c>
      <c r="AL34" s="379">
        <v>38401</v>
      </c>
      <c r="AM34" s="379">
        <v>43693</v>
      </c>
      <c r="AN34" s="380">
        <v>38603</v>
      </c>
      <c r="AO34" s="380">
        <v>39843</v>
      </c>
      <c r="AP34" s="380">
        <v>38029</v>
      </c>
      <c r="AQ34" s="380">
        <v>31598</v>
      </c>
      <c r="AR34" s="380">
        <v>37116</v>
      </c>
      <c r="AS34" s="380">
        <v>46093</v>
      </c>
      <c r="AT34" s="380">
        <v>49766</v>
      </c>
      <c r="AU34" s="380">
        <v>42481</v>
      </c>
      <c r="AV34" s="380">
        <v>33003</v>
      </c>
      <c r="AW34" s="380">
        <v>38298</v>
      </c>
      <c r="AX34" s="380">
        <v>38171</v>
      </c>
      <c r="AY34" s="381">
        <v>41220</v>
      </c>
      <c r="AZ34" s="424">
        <v>37463</v>
      </c>
      <c r="BA34" s="425">
        <v>35978</v>
      </c>
      <c r="BB34" s="425">
        <v>39415</v>
      </c>
      <c r="BC34" s="425">
        <v>35949</v>
      </c>
      <c r="BD34" s="425">
        <v>38023</v>
      </c>
      <c r="BE34" s="425">
        <v>47844</v>
      </c>
      <c r="BF34" s="425">
        <v>51152</v>
      </c>
      <c r="BG34" s="425">
        <v>43036</v>
      </c>
      <c r="BH34" s="425">
        <v>34628</v>
      </c>
      <c r="BI34" s="425">
        <v>38582</v>
      </c>
      <c r="BJ34" s="425">
        <v>41073</v>
      </c>
      <c r="BK34" s="426">
        <v>44235</v>
      </c>
      <c r="BL34" s="427">
        <v>37773</v>
      </c>
      <c r="BM34" s="428">
        <v>35654</v>
      </c>
      <c r="BN34" s="428">
        <v>40663</v>
      </c>
      <c r="BO34" s="428">
        <v>36524</v>
      </c>
      <c r="BP34" s="428">
        <v>40720</v>
      </c>
      <c r="BQ34" s="428">
        <v>54166</v>
      </c>
      <c r="BR34" s="428">
        <v>56168</v>
      </c>
      <c r="BS34" s="428">
        <v>46212</v>
      </c>
      <c r="BT34" s="429">
        <v>39747</v>
      </c>
      <c r="BU34" s="429">
        <v>44864</v>
      </c>
      <c r="BV34" s="429">
        <v>46422</v>
      </c>
      <c r="BW34" s="473">
        <v>54545</v>
      </c>
      <c r="BX34" s="474">
        <v>46137</v>
      </c>
      <c r="BY34" s="475">
        <v>43174</v>
      </c>
      <c r="BZ34" s="475">
        <v>49027</v>
      </c>
      <c r="CA34" s="475">
        <v>41634</v>
      </c>
      <c r="CB34" s="475">
        <v>48103</v>
      </c>
      <c r="CC34" s="475">
        <v>61054</v>
      </c>
      <c r="CD34" s="475">
        <v>64119</v>
      </c>
      <c r="CE34" s="475">
        <v>52709</v>
      </c>
      <c r="CF34" s="475">
        <v>49386</v>
      </c>
      <c r="CG34" s="475">
        <v>52967</v>
      </c>
      <c r="CH34" s="475">
        <v>56261</v>
      </c>
      <c r="CI34" s="433">
        <v>64359</v>
      </c>
      <c r="CJ34" s="434">
        <v>51688</v>
      </c>
      <c r="CK34" s="435">
        <v>53622</v>
      </c>
      <c r="CL34" s="435">
        <v>51748</v>
      </c>
      <c r="CM34" s="435">
        <v>49570</v>
      </c>
      <c r="CN34" s="435">
        <v>52174</v>
      </c>
      <c r="CO34" s="435">
        <v>58795</v>
      </c>
      <c r="CP34" s="435">
        <v>71099</v>
      </c>
      <c r="CQ34" s="435">
        <v>57790</v>
      </c>
      <c r="CR34" s="435">
        <v>55854</v>
      </c>
      <c r="CS34" s="435">
        <v>59469</v>
      </c>
      <c r="CT34" s="435">
        <v>63257</v>
      </c>
      <c r="CU34" s="436">
        <v>77949</v>
      </c>
      <c r="CV34" s="437">
        <v>58224</v>
      </c>
      <c r="CW34" s="438">
        <v>53321</v>
      </c>
      <c r="CX34" s="439">
        <v>59393</v>
      </c>
      <c r="CY34" s="439">
        <v>53854</v>
      </c>
      <c r="CZ34" s="439">
        <v>56638</v>
      </c>
      <c r="DA34" s="439">
        <v>67138</v>
      </c>
      <c r="DB34" s="439">
        <v>73006</v>
      </c>
      <c r="DC34" s="439">
        <v>52994</v>
      </c>
      <c r="DD34" s="440">
        <v>51643</v>
      </c>
      <c r="DE34" s="440">
        <v>56449</v>
      </c>
      <c r="DF34" s="383"/>
      <c r="DG34" s="383"/>
      <c r="DH34" s="1489">
        <v>52833</v>
      </c>
      <c r="DI34" s="1490">
        <v>51438</v>
      </c>
      <c r="DJ34" s="1490">
        <v>54420</v>
      </c>
      <c r="DK34" s="1491">
        <v>40983</v>
      </c>
      <c r="DL34" s="1487">
        <v>46162</v>
      </c>
      <c r="DM34" s="1487">
        <v>61277</v>
      </c>
      <c r="DN34" s="1487">
        <v>66352</v>
      </c>
      <c r="DO34" s="1487">
        <v>47805</v>
      </c>
      <c r="DP34" s="1487">
        <v>40169</v>
      </c>
      <c r="DQ34" s="1487">
        <v>53831</v>
      </c>
      <c r="DR34" s="1487">
        <v>48311</v>
      </c>
      <c r="DS34" s="1492">
        <v>64045</v>
      </c>
      <c r="DT34" s="1492">
        <v>50614</v>
      </c>
      <c r="DU34" s="1492">
        <v>47432</v>
      </c>
      <c r="DV34" s="1492">
        <v>53021</v>
      </c>
      <c r="DW34" s="1492">
        <v>50208</v>
      </c>
      <c r="DX34" s="1492">
        <v>47035</v>
      </c>
      <c r="DY34" s="1507">
        <v>65872</v>
      </c>
      <c r="DZ34" s="1679"/>
      <c r="EA34" s="1679"/>
      <c r="EB34" s="1679"/>
      <c r="EC34" s="1679"/>
      <c r="ED34" s="1679"/>
      <c r="EE34" s="1679"/>
      <c r="EF34" s="1492">
        <v>50614</v>
      </c>
      <c r="EG34" s="1492">
        <v>47432</v>
      </c>
      <c r="EH34" s="1492">
        <v>53021</v>
      </c>
      <c r="EI34" s="1492">
        <v>50208</v>
      </c>
      <c r="EJ34" s="1492">
        <v>47035</v>
      </c>
      <c r="EK34" s="1507">
        <v>65872</v>
      </c>
      <c r="EL34" s="1679"/>
      <c r="EM34" s="1679"/>
      <c r="EN34" s="1679"/>
      <c r="EO34" s="1679"/>
      <c r="EP34" s="1679"/>
      <c r="EQ34" s="1679"/>
      <c r="ER34" s="1492">
        <v>50614</v>
      </c>
      <c r="ES34" s="1492">
        <v>47432</v>
      </c>
      <c r="ET34" s="1492">
        <v>53021</v>
      </c>
      <c r="EU34" s="1492">
        <v>50208</v>
      </c>
      <c r="EV34" s="1492">
        <v>47035</v>
      </c>
      <c r="EW34" s="1507">
        <v>65872</v>
      </c>
      <c r="EX34" s="1679"/>
      <c r="EY34" s="1679"/>
      <c r="EZ34" s="1679"/>
      <c r="FA34" s="1679"/>
      <c r="FB34" s="1679"/>
      <c r="FC34" s="1679"/>
      <c r="FD34" s="1679"/>
      <c r="FE34" s="279"/>
      <c r="FF34" s="441">
        <v>91232</v>
      </c>
      <c r="FG34" s="442">
        <v>96560</v>
      </c>
      <c r="FH34" s="442">
        <v>123584</v>
      </c>
      <c r="FI34" s="443">
        <v>106477</v>
      </c>
      <c r="FJ34" s="444">
        <v>118286</v>
      </c>
      <c r="FK34" s="445">
        <v>112287</v>
      </c>
      <c r="FL34" s="445">
        <v>128378</v>
      </c>
      <c r="FM34" s="446">
        <v>112548</v>
      </c>
      <c r="FN34" s="447">
        <v>103141</v>
      </c>
      <c r="FO34" s="448">
        <v>112730</v>
      </c>
      <c r="FP34" s="448">
        <v>127941</v>
      </c>
      <c r="FQ34" s="448">
        <v>118053</v>
      </c>
      <c r="FR34" s="449">
        <v>116475</v>
      </c>
      <c r="FS34" s="450">
        <v>114807</v>
      </c>
      <c r="FT34" s="450">
        <v>125250</v>
      </c>
      <c r="FU34" s="476">
        <v>117689</v>
      </c>
      <c r="FV34" s="451">
        <v>112856</v>
      </c>
      <c r="FW34" s="452">
        <v>121816</v>
      </c>
      <c r="FX34" s="452">
        <v>128816</v>
      </c>
      <c r="FY34" s="453">
        <v>123890</v>
      </c>
      <c r="FZ34" s="407">
        <v>114090</v>
      </c>
      <c r="GA34" s="407">
        <v>131410</v>
      </c>
      <c r="GB34" s="407">
        <v>142127</v>
      </c>
      <c r="GC34" s="407">
        <v>145831</v>
      </c>
      <c r="GD34" s="412">
        <v>138338</v>
      </c>
      <c r="GE34" s="412">
        <v>150791</v>
      </c>
      <c r="GF34" s="412">
        <v>166214</v>
      </c>
      <c r="GG34" s="412">
        <v>173587</v>
      </c>
      <c r="GH34" s="413">
        <v>157058</v>
      </c>
      <c r="GI34" s="413">
        <v>160539</v>
      </c>
      <c r="GJ34" s="413">
        <v>188358</v>
      </c>
      <c r="GK34" s="413">
        <v>200675</v>
      </c>
      <c r="GL34" s="414">
        <v>170938</v>
      </c>
      <c r="GM34" s="414">
        <v>166941</v>
      </c>
      <c r="GN34" s="414">
        <v>182449</v>
      </c>
      <c r="GO34" s="1541">
        <f>+DH34+DI34+DJ34</f>
        <v>158691</v>
      </c>
      <c r="GP34" s="1541">
        <f>+DM34+DL34+DK34</f>
        <v>148422</v>
      </c>
      <c r="GQ34" s="1541">
        <f>+DP34+DO34+DN34</f>
        <v>154326</v>
      </c>
      <c r="GR34" s="1541">
        <f>+DQ34+DR34+DS34</f>
        <v>166187</v>
      </c>
      <c r="GS34" s="1542">
        <f>+DT34+DU34+DV34</f>
        <v>151067</v>
      </c>
      <c r="GT34" s="1542">
        <f>+DW34+DX34+DY34</f>
        <v>163115</v>
      </c>
      <c r="GU34" s="1543"/>
      <c r="GV34" s="279"/>
      <c r="GW34" s="407"/>
      <c r="GX34" s="412"/>
      <c r="GY34" s="412"/>
      <c r="GZ34" s="412"/>
      <c r="HA34" s="407"/>
      <c r="HB34" s="412"/>
      <c r="HC34" s="412"/>
      <c r="HD34" s="412"/>
      <c r="HE34" s="839">
        <v>417853</v>
      </c>
      <c r="HF34" s="840">
        <v>471499</v>
      </c>
      <c r="HG34" s="840">
        <v>461865</v>
      </c>
      <c r="HH34" s="840">
        <v>474221</v>
      </c>
      <c r="HI34" s="840">
        <v>487378</v>
      </c>
      <c r="HJ34" s="840">
        <v>533458</v>
      </c>
      <c r="HK34" s="840">
        <v>628930</v>
      </c>
      <c r="HL34" s="840">
        <v>703015</v>
      </c>
      <c r="HM34" s="838">
        <v>723866</v>
      </c>
      <c r="HN34" s="838">
        <f t="shared" si="7"/>
        <v>625407</v>
      </c>
      <c r="HO34" s="1568">
        <f t="shared" si="8"/>
        <v>568343</v>
      </c>
      <c r="HP34" s="298"/>
      <c r="HQ34" s="298"/>
      <c r="HR34" s="298"/>
      <c r="HS34" s="467"/>
      <c r="HT34" s="2287"/>
      <c r="HU34" s="1736"/>
      <c r="HV34" s="1736"/>
      <c r="HW34" s="1736"/>
      <c r="HX34" s="1736"/>
    </row>
    <row r="35" spans="1:232" s="276" customFormat="1" ht="18.75" hidden="1" customHeight="1">
      <c r="A35" s="490"/>
      <c r="B35" s="281"/>
      <c r="C35" s="416"/>
      <c r="D35" s="491"/>
      <c r="E35" s="492"/>
      <c r="F35" s="492"/>
      <c r="G35" s="492"/>
      <c r="H35" s="492"/>
      <c r="I35" s="492"/>
      <c r="J35" s="492"/>
      <c r="K35" s="492"/>
      <c r="L35" s="492"/>
      <c r="M35" s="492"/>
      <c r="N35" s="492"/>
      <c r="O35" s="492"/>
      <c r="P35" s="492"/>
      <c r="Q35" s="492"/>
      <c r="R35" s="492"/>
      <c r="S35" s="492"/>
      <c r="T35" s="492"/>
      <c r="U35" s="492"/>
      <c r="V35" s="492"/>
      <c r="W35" s="492"/>
      <c r="X35" s="492"/>
      <c r="Y35" s="492"/>
      <c r="Z35" s="492"/>
      <c r="AA35" s="492"/>
      <c r="AB35" s="480">
        <v>35904</v>
      </c>
      <c r="AC35" s="480">
        <v>32995</v>
      </c>
      <c r="AD35" s="480">
        <v>34242</v>
      </c>
      <c r="AE35" s="480">
        <v>33161</v>
      </c>
      <c r="AF35" s="493"/>
      <c r="AG35" s="480">
        <v>46796</v>
      </c>
      <c r="AH35" s="480">
        <v>50069</v>
      </c>
      <c r="AI35" s="480">
        <v>44378</v>
      </c>
      <c r="AJ35" s="480">
        <v>33494</v>
      </c>
      <c r="AK35" s="480">
        <v>35959</v>
      </c>
      <c r="AL35" s="480">
        <v>38401</v>
      </c>
      <c r="AM35" s="480">
        <v>43693</v>
      </c>
      <c r="AN35" s="480">
        <v>429092</v>
      </c>
      <c r="AO35" s="492"/>
      <c r="AP35" s="492"/>
      <c r="AQ35" s="492"/>
      <c r="AR35" s="492"/>
      <c r="AS35" s="492"/>
      <c r="AT35" s="492"/>
      <c r="AU35" s="492"/>
      <c r="AV35" s="492"/>
      <c r="AW35" s="492"/>
      <c r="AX35" s="492"/>
      <c r="AY35" s="492"/>
      <c r="AZ35" s="492">
        <v>0</v>
      </c>
      <c r="BA35" s="492">
        <v>0</v>
      </c>
      <c r="BB35" s="492">
        <v>0</v>
      </c>
      <c r="BC35" s="492"/>
      <c r="BD35" s="492"/>
      <c r="BE35" s="492"/>
      <c r="BF35" s="492"/>
      <c r="BG35" s="492"/>
      <c r="BH35" s="492"/>
      <c r="BI35" s="492"/>
      <c r="BJ35" s="492"/>
      <c r="BK35" s="492"/>
      <c r="BL35" s="480"/>
      <c r="BM35" s="480"/>
      <c r="BN35" s="480"/>
      <c r="BO35" s="480"/>
      <c r="BP35" s="480"/>
      <c r="BQ35" s="480"/>
      <c r="BR35" s="494"/>
      <c r="BS35" s="480"/>
      <c r="BT35" s="492"/>
      <c r="BU35" s="492">
        <v>0</v>
      </c>
      <c r="BV35" s="492">
        <v>0</v>
      </c>
      <c r="BW35" s="480">
        <v>0</v>
      </c>
      <c r="BX35" s="492">
        <v>0</v>
      </c>
      <c r="BY35" s="492">
        <v>0</v>
      </c>
      <c r="BZ35" s="492">
        <v>0</v>
      </c>
      <c r="CA35" s="492">
        <v>0</v>
      </c>
      <c r="CB35" s="492">
        <v>0</v>
      </c>
      <c r="CC35" s="492">
        <v>0</v>
      </c>
      <c r="CD35" s="492">
        <v>0</v>
      </c>
      <c r="CE35" s="492">
        <v>0</v>
      </c>
      <c r="CF35" s="492">
        <v>0</v>
      </c>
      <c r="CG35" s="492">
        <v>0</v>
      </c>
      <c r="CH35" s="492"/>
      <c r="CI35" s="492"/>
      <c r="CJ35" s="492"/>
      <c r="CK35" s="492"/>
      <c r="CL35" s="492">
        <v>51748</v>
      </c>
      <c r="CM35" s="492"/>
      <c r="CN35" s="492"/>
      <c r="CO35" s="492"/>
      <c r="CP35" s="492"/>
      <c r="CQ35" s="492"/>
      <c r="CR35" s="492"/>
      <c r="CS35" s="492"/>
      <c r="CT35" s="492"/>
      <c r="CU35" s="492"/>
      <c r="CV35" s="492">
        <v>0</v>
      </c>
      <c r="CW35" s="492"/>
      <c r="CX35" s="492"/>
      <c r="CY35" s="492"/>
      <c r="CZ35" s="492"/>
      <c r="DA35" s="492"/>
      <c r="DB35" s="492">
        <v>73006</v>
      </c>
      <c r="DC35" s="492">
        <v>73006</v>
      </c>
      <c r="DD35" s="492"/>
      <c r="DE35" s="480"/>
      <c r="DF35" s="480"/>
      <c r="DG35" s="480"/>
      <c r="DH35" s="1508"/>
      <c r="DI35" s="1508"/>
      <c r="DJ35" s="1508"/>
      <c r="DK35" s="1508"/>
      <c r="DL35" s="1508"/>
      <c r="DM35" s="1508"/>
      <c r="DN35" s="1508"/>
      <c r="DO35" s="1508"/>
      <c r="DP35" s="1508"/>
      <c r="DQ35" s="1508"/>
      <c r="DR35" s="1508"/>
      <c r="DS35" s="1508"/>
      <c r="DT35" s="1508"/>
      <c r="DU35" s="1508"/>
      <c r="DV35" s="1508"/>
      <c r="DW35" s="1508"/>
      <c r="DX35" s="1508"/>
      <c r="DY35" s="1508"/>
      <c r="DZ35" s="1508"/>
      <c r="EA35" s="1508"/>
      <c r="EB35" s="1508"/>
      <c r="EC35" s="1508"/>
      <c r="ED35" s="1508"/>
      <c r="EE35" s="1508"/>
      <c r="EF35" s="1508"/>
      <c r="EG35" s="1508"/>
      <c r="EH35" s="1508"/>
      <c r="EI35" s="1508"/>
      <c r="EJ35" s="1508"/>
      <c r="EK35" s="1508"/>
      <c r="EL35" s="1508"/>
      <c r="EM35" s="1508"/>
      <c r="EN35" s="1508"/>
      <c r="EO35" s="1508"/>
      <c r="EP35" s="1508"/>
      <c r="EQ35" s="1508"/>
      <c r="ER35" s="1508"/>
      <c r="ES35" s="1508"/>
      <c r="ET35" s="1508"/>
      <c r="EU35" s="1508"/>
      <c r="EV35" s="1508"/>
      <c r="EW35" s="1508"/>
      <c r="EX35" s="1508"/>
      <c r="EY35" s="1508"/>
      <c r="EZ35" s="1508"/>
      <c r="FA35" s="1508"/>
      <c r="FB35" s="1508"/>
      <c r="FC35" s="1508"/>
      <c r="FD35" s="2435"/>
      <c r="FE35" s="324"/>
      <c r="FF35" s="495"/>
      <c r="FG35" s="495"/>
      <c r="FH35" s="495"/>
      <c r="FI35" s="495"/>
      <c r="FJ35" s="495"/>
      <c r="FK35" s="495"/>
      <c r="FL35" s="495"/>
      <c r="FM35" s="495"/>
      <c r="FN35" s="495"/>
      <c r="FO35" s="492"/>
      <c r="FP35" s="495"/>
      <c r="FQ35" s="495"/>
      <c r="FR35" s="495"/>
      <c r="FS35" s="495"/>
      <c r="FT35" s="495"/>
      <c r="FU35" s="495"/>
      <c r="FV35" s="492"/>
      <c r="FW35" s="492"/>
      <c r="FX35" s="492"/>
      <c r="FY35" s="492"/>
      <c r="FZ35" s="495"/>
      <c r="GA35" s="495"/>
      <c r="GB35" s="495"/>
      <c r="GC35" s="495"/>
      <c r="GD35" s="495"/>
      <c r="GE35" s="495"/>
      <c r="GF35" s="495"/>
      <c r="GG35" s="495"/>
      <c r="GH35" s="495"/>
      <c r="GI35" s="495"/>
      <c r="GJ35" s="495"/>
      <c r="GK35" s="495"/>
      <c r="GL35" s="495"/>
      <c r="GM35" s="495"/>
      <c r="GN35" s="495"/>
      <c r="GO35" s="1553"/>
      <c r="GP35" s="1553"/>
      <c r="GQ35" s="1553"/>
      <c r="GR35" s="1553"/>
      <c r="GS35" s="1554"/>
      <c r="GT35" s="1554"/>
      <c r="GU35" s="1555"/>
      <c r="GV35" s="495"/>
      <c r="GW35" s="495"/>
      <c r="GX35" s="495"/>
      <c r="GY35" s="495"/>
      <c r="GZ35" s="495"/>
      <c r="HA35" s="495"/>
      <c r="HB35" s="495"/>
      <c r="HC35" s="495"/>
      <c r="HD35" s="495"/>
      <c r="HE35" s="847"/>
      <c r="HF35" s="844"/>
      <c r="HG35" s="844"/>
      <c r="HH35" s="844"/>
      <c r="HI35" s="844"/>
      <c r="HJ35" s="844"/>
      <c r="HK35" s="844"/>
      <c r="HL35" s="844"/>
      <c r="HM35" s="844"/>
      <c r="HN35" s="844"/>
      <c r="HO35" s="1572"/>
      <c r="HP35" s="934"/>
      <c r="HQ35" s="934"/>
      <c r="HR35" s="934"/>
      <c r="HS35" s="1925"/>
      <c r="HT35" s="2288"/>
      <c r="HU35" s="1735"/>
      <c r="HV35" s="1735"/>
      <c r="HW35" s="1735"/>
      <c r="HX35" s="1735"/>
    </row>
    <row r="36" spans="1:232" s="276" customFormat="1" ht="19.5" hidden="1" customHeight="1" thickBot="1">
      <c r="A36" s="275"/>
      <c r="C36" s="282"/>
      <c r="D36" s="483"/>
      <c r="E36" s="333"/>
      <c r="F36" s="333"/>
      <c r="G36" s="333"/>
      <c r="H36" s="333"/>
      <c r="I36" s="333"/>
      <c r="J36" s="333"/>
      <c r="K36" s="333"/>
      <c r="L36" s="333"/>
      <c r="M36" s="333"/>
      <c r="N36" s="333"/>
      <c r="O36" s="496"/>
      <c r="P36" s="497"/>
      <c r="Q36" s="479"/>
      <c r="R36" s="479"/>
      <c r="S36" s="479"/>
      <c r="T36" s="479"/>
      <c r="U36" s="479"/>
      <c r="V36" s="479"/>
      <c r="W36" s="479"/>
      <c r="X36" s="479"/>
      <c r="Y36" s="498"/>
      <c r="Z36" s="498"/>
      <c r="AA36" s="498"/>
      <c r="AB36" s="479">
        <v>0</v>
      </c>
      <c r="AC36" s="479">
        <v>0</v>
      </c>
      <c r="AD36" s="479">
        <v>0</v>
      </c>
      <c r="AE36" s="479">
        <v>0</v>
      </c>
      <c r="AF36" s="479">
        <v>32773</v>
      </c>
      <c r="AG36" s="479">
        <v>0</v>
      </c>
      <c r="AH36" s="479">
        <v>0</v>
      </c>
      <c r="AI36" s="479">
        <v>0</v>
      </c>
      <c r="AJ36" s="479">
        <v>0</v>
      </c>
      <c r="AK36" s="479">
        <v>0</v>
      </c>
      <c r="AL36" s="479">
        <v>0</v>
      </c>
      <c r="AM36" s="479">
        <v>0</v>
      </c>
      <c r="AN36" s="479">
        <v>-390489</v>
      </c>
      <c r="AO36" s="498"/>
      <c r="AP36" s="498"/>
      <c r="AQ36" s="498"/>
      <c r="AR36" s="498"/>
      <c r="AS36" s="498"/>
      <c r="AT36" s="479"/>
      <c r="AU36" s="479"/>
      <c r="AV36" s="479"/>
      <c r="AW36" s="479"/>
      <c r="AX36" s="498"/>
      <c r="AY36" s="498"/>
      <c r="AZ36" s="333"/>
      <c r="BA36" s="333"/>
      <c r="BB36" s="333"/>
      <c r="BC36" s="333"/>
      <c r="BD36" s="333"/>
      <c r="BE36" s="333"/>
      <c r="BF36" s="333"/>
      <c r="BG36" s="333"/>
      <c r="BH36" s="333"/>
      <c r="BI36" s="333"/>
      <c r="BJ36" s="333"/>
      <c r="BK36" s="333"/>
      <c r="BL36" s="463"/>
      <c r="BM36" s="463"/>
      <c r="BN36" s="463"/>
      <c r="BO36" s="463"/>
      <c r="BP36" s="463"/>
      <c r="BQ36" s="463"/>
      <c r="BR36" s="463"/>
      <c r="BS36" s="463"/>
      <c r="BT36" s="463"/>
      <c r="BU36" s="463"/>
      <c r="BV36" s="463"/>
      <c r="BW36" s="463"/>
      <c r="BX36" s="463"/>
      <c r="BY36" s="463"/>
      <c r="BZ36" s="463"/>
      <c r="CA36" s="463"/>
      <c r="CB36" s="463"/>
      <c r="CC36" s="463"/>
      <c r="CD36" s="463"/>
      <c r="CE36" s="463"/>
      <c r="CF36" s="463"/>
      <c r="CG36" s="463"/>
      <c r="CH36" s="463"/>
      <c r="CI36" s="463"/>
      <c r="CJ36" s="463"/>
      <c r="CK36" s="463"/>
      <c r="CL36" s="463"/>
      <c r="CM36" s="463"/>
      <c r="CN36" s="463"/>
      <c r="CO36" s="463"/>
      <c r="CP36" s="463"/>
      <c r="CQ36" s="463"/>
      <c r="CR36" s="463"/>
      <c r="CS36" s="463"/>
      <c r="CT36" s="463"/>
      <c r="CU36" s="463"/>
      <c r="CV36" s="463"/>
      <c r="CW36" s="463"/>
      <c r="CX36" s="463"/>
      <c r="CY36" s="463"/>
      <c r="CZ36" s="463"/>
      <c r="DA36" s="463"/>
      <c r="DB36" s="463"/>
      <c r="DC36" s="463"/>
      <c r="DD36" s="463"/>
      <c r="DE36" s="463"/>
      <c r="DF36" s="463"/>
      <c r="DG36" s="463"/>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2434"/>
      <c r="FE36" s="279"/>
      <c r="FF36" s="282"/>
      <c r="FG36" s="282"/>
      <c r="FH36" s="282"/>
      <c r="FI36" s="282"/>
      <c r="FJ36" s="282"/>
      <c r="FK36" s="282"/>
      <c r="FL36" s="282"/>
      <c r="FM36" s="463"/>
      <c r="FN36" s="333"/>
      <c r="FO36" s="333"/>
      <c r="FP36" s="333"/>
      <c r="FQ36" s="282"/>
      <c r="FR36" s="282"/>
      <c r="FS36" s="282"/>
      <c r="FT36" s="282"/>
      <c r="FU36" s="282"/>
      <c r="FV36" s="333"/>
      <c r="FW36" s="333"/>
      <c r="FX36" s="333"/>
      <c r="FY36" s="333"/>
      <c r="FZ36" s="279"/>
      <c r="GA36" s="279"/>
      <c r="GB36" s="279"/>
      <c r="GC36" s="279"/>
      <c r="GD36" s="279"/>
      <c r="GE36" s="279"/>
      <c r="GF36" s="279"/>
      <c r="GG36" s="279"/>
      <c r="GH36" s="279"/>
      <c r="GI36" s="279"/>
      <c r="GJ36" s="279"/>
      <c r="GK36" s="279"/>
      <c r="GL36" s="279"/>
      <c r="GM36" s="279"/>
      <c r="GN36" s="279"/>
      <c r="GO36" s="1546"/>
      <c r="GP36" s="1546"/>
      <c r="GQ36" s="1546"/>
      <c r="GR36" s="1546"/>
      <c r="GS36" s="1547"/>
      <c r="GT36" s="1547"/>
      <c r="GU36" s="1479"/>
      <c r="GV36" s="279"/>
      <c r="GW36" s="279"/>
      <c r="GX36" s="279"/>
      <c r="GY36" s="279"/>
      <c r="GZ36" s="279"/>
      <c r="HA36" s="279"/>
      <c r="HB36" s="279"/>
      <c r="HC36" s="279"/>
      <c r="HD36" s="279"/>
      <c r="HE36" s="829"/>
      <c r="HF36" s="829"/>
      <c r="HG36" s="829"/>
      <c r="HH36" s="829"/>
      <c r="HI36" s="829"/>
      <c r="HJ36" s="829"/>
      <c r="HK36" s="829"/>
      <c r="HL36" s="829"/>
      <c r="HM36" s="829"/>
      <c r="HN36" s="829"/>
      <c r="HO36" s="1573"/>
      <c r="HP36" s="298"/>
      <c r="HQ36" s="298"/>
      <c r="HR36" s="298"/>
      <c r="HS36" s="467"/>
      <c r="HT36" s="2287"/>
      <c r="HU36" s="1735"/>
      <c r="HV36" s="1735"/>
      <c r="HW36" s="1735"/>
      <c r="HX36" s="1735"/>
    </row>
    <row r="37" spans="1:232" s="276" customFormat="1" ht="18" hidden="1" customHeight="1">
      <c r="A37" s="275"/>
      <c r="C37" s="337" t="s">
        <v>552</v>
      </c>
      <c r="D37" s="3869">
        <v>2007</v>
      </c>
      <c r="E37" s="3870"/>
      <c r="F37" s="3870"/>
      <c r="G37" s="3870"/>
      <c r="H37" s="3870"/>
      <c r="I37" s="3870"/>
      <c r="J37" s="3870"/>
      <c r="K37" s="3870"/>
      <c r="L37" s="3870"/>
      <c r="M37" s="3870"/>
      <c r="N37" s="3870"/>
      <c r="O37" s="3871"/>
      <c r="P37" s="3872">
        <v>2008</v>
      </c>
      <c r="Q37" s="3873"/>
      <c r="R37" s="3873"/>
      <c r="S37" s="3873"/>
      <c r="T37" s="3873"/>
      <c r="U37" s="3873"/>
      <c r="V37" s="3873"/>
      <c r="W37" s="3873"/>
      <c r="X37" s="3873"/>
      <c r="Y37" s="3873"/>
      <c r="Z37" s="3873"/>
      <c r="AA37" s="3873"/>
      <c r="AB37" s="3874">
        <v>2009</v>
      </c>
      <c r="AC37" s="3875"/>
      <c r="AD37" s="3875"/>
      <c r="AE37" s="3875"/>
      <c r="AF37" s="3875"/>
      <c r="AG37" s="3875"/>
      <c r="AH37" s="3875"/>
      <c r="AI37" s="3875"/>
      <c r="AJ37" s="3875"/>
      <c r="AK37" s="3875"/>
      <c r="AL37" s="3875"/>
      <c r="AM37" s="3876"/>
      <c r="AN37" s="3877">
        <v>2010</v>
      </c>
      <c r="AO37" s="3878"/>
      <c r="AP37" s="3878"/>
      <c r="AQ37" s="3878"/>
      <c r="AR37" s="3878"/>
      <c r="AS37" s="3878"/>
      <c r="AT37" s="3878"/>
      <c r="AU37" s="3878"/>
      <c r="AV37" s="3878"/>
      <c r="AW37" s="3878"/>
      <c r="AX37" s="3878"/>
      <c r="AY37" s="3878"/>
      <c r="AZ37" s="3879">
        <v>2011</v>
      </c>
      <c r="BA37" s="3880"/>
      <c r="BB37" s="3880"/>
      <c r="BC37" s="3880"/>
      <c r="BD37" s="3880"/>
      <c r="BE37" s="3880"/>
      <c r="BF37" s="3880"/>
      <c r="BG37" s="3880"/>
      <c r="BH37" s="3880"/>
      <c r="BI37" s="3880"/>
      <c r="BJ37" s="3880"/>
      <c r="BK37" s="3881"/>
      <c r="BL37" s="3862">
        <v>2012</v>
      </c>
      <c r="BM37" s="3863"/>
      <c r="BN37" s="3863"/>
      <c r="BO37" s="288"/>
      <c r="BP37" s="288"/>
      <c r="BQ37" s="288"/>
      <c r="BR37" s="288"/>
      <c r="BS37" s="288"/>
      <c r="BT37" s="289"/>
      <c r="BU37" s="289"/>
      <c r="BV37" s="289"/>
      <c r="BW37" s="317"/>
      <c r="BX37" s="318">
        <v>2013</v>
      </c>
      <c r="BY37" s="319"/>
      <c r="BZ37" s="319"/>
      <c r="CA37" s="319"/>
      <c r="CB37" s="319"/>
      <c r="CC37" s="319"/>
      <c r="CD37" s="319"/>
      <c r="CE37" s="319"/>
      <c r="CF37" s="319"/>
      <c r="CG37" s="319"/>
      <c r="CH37" s="319"/>
      <c r="CI37" s="319"/>
      <c r="CJ37" s="293">
        <v>2014</v>
      </c>
      <c r="CK37" s="294"/>
      <c r="CL37" s="294"/>
      <c r="CM37" s="294"/>
      <c r="CN37" s="294"/>
      <c r="CO37" s="294"/>
      <c r="CP37" s="294"/>
      <c r="CQ37" s="294"/>
      <c r="CR37" s="294"/>
      <c r="CS37" s="294"/>
      <c r="CT37" s="294"/>
      <c r="CU37" s="295"/>
      <c r="CV37" s="296">
        <v>2015</v>
      </c>
      <c r="CW37" s="297"/>
      <c r="CX37" s="297"/>
      <c r="CY37" s="297"/>
      <c r="CZ37" s="297"/>
      <c r="DA37" s="297"/>
      <c r="DB37" s="297"/>
      <c r="DC37" s="297"/>
      <c r="DD37" s="297"/>
      <c r="DE37" s="320"/>
      <c r="DF37" s="287"/>
      <c r="DG37" s="287"/>
      <c r="DH37" s="3912">
        <v>2016</v>
      </c>
      <c r="DI37" s="3913"/>
      <c r="DJ37" s="3913"/>
      <c r="DK37" s="3913"/>
      <c r="DL37" s="3913"/>
      <c r="DM37" s="3913"/>
      <c r="DN37" s="3913"/>
      <c r="DO37" s="3913"/>
      <c r="DP37" s="3913"/>
      <c r="DQ37" s="3913"/>
      <c r="DR37" s="3913"/>
      <c r="DS37" s="3914"/>
      <c r="DT37" s="1497">
        <v>2017</v>
      </c>
      <c r="DU37" s="1497"/>
      <c r="DV37" s="1497"/>
      <c r="DW37" s="1497"/>
      <c r="DX37" s="1497"/>
      <c r="DY37" s="1497"/>
      <c r="DZ37" s="1522"/>
      <c r="EA37" s="1522"/>
      <c r="EB37" s="1522"/>
      <c r="EC37" s="1522"/>
      <c r="ED37" s="1522"/>
      <c r="EE37" s="1522"/>
      <c r="EF37" s="1497">
        <v>2017</v>
      </c>
      <c r="EG37" s="1497"/>
      <c r="EH37" s="1497"/>
      <c r="EI37" s="1497"/>
      <c r="EJ37" s="1497"/>
      <c r="EK37" s="1497"/>
      <c r="EL37" s="1522"/>
      <c r="EM37" s="1522"/>
      <c r="EN37" s="1522"/>
      <c r="EO37" s="1522"/>
      <c r="EP37" s="1522"/>
      <c r="EQ37" s="1522"/>
      <c r="ER37" s="1497">
        <v>2017</v>
      </c>
      <c r="ES37" s="1497"/>
      <c r="ET37" s="1497"/>
      <c r="EU37" s="1497"/>
      <c r="EV37" s="1497"/>
      <c r="EW37" s="1497"/>
      <c r="EX37" s="1522"/>
      <c r="EY37" s="1522"/>
      <c r="EZ37" s="1522"/>
      <c r="FA37" s="1522"/>
      <c r="FB37" s="1522"/>
      <c r="FC37" s="1522"/>
      <c r="FD37" s="2430"/>
      <c r="FE37" s="279"/>
      <c r="FF37" s="3864">
        <v>2007</v>
      </c>
      <c r="FG37" s="3865"/>
      <c r="FH37" s="3865"/>
      <c r="FI37" s="3865"/>
      <c r="FJ37" s="3866">
        <v>2008</v>
      </c>
      <c r="FK37" s="3867"/>
      <c r="FL37" s="3867"/>
      <c r="FM37" s="3868"/>
      <c r="FN37" s="3887">
        <v>2009</v>
      </c>
      <c r="FO37" s="3888"/>
      <c r="FP37" s="3888"/>
      <c r="FQ37" s="3888"/>
      <c r="FR37" s="3889">
        <v>2010</v>
      </c>
      <c r="FS37" s="3890"/>
      <c r="FT37" s="3890"/>
      <c r="FU37" s="3891"/>
      <c r="FV37" s="3892">
        <v>2011</v>
      </c>
      <c r="FW37" s="3893"/>
      <c r="FX37" s="3893"/>
      <c r="FY37" s="3894"/>
      <c r="FZ37" s="3904">
        <v>2012</v>
      </c>
      <c r="GA37" s="3904"/>
      <c r="GB37" s="3904"/>
      <c r="GC37" s="3904"/>
      <c r="GD37" s="338">
        <v>2013</v>
      </c>
      <c r="GE37" s="338"/>
      <c r="GF37" s="338"/>
      <c r="GG37" s="338"/>
      <c r="GH37" s="339">
        <v>2014</v>
      </c>
      <c r="GI37" s="339"/>
      <c r="GJ37" s="339"/>
      <c r="GK37" s="339"/>
      <c r="GL37" s="340">
        <v>2015</v>
      </c>
      <c r="GM37" s="340"/>
      <c r="GN37" s="340"/>
      <c r="GO37" s="1537">
        <v>2016</v>
      </c>
      <c r="GP37" s="1537"/>
      <c r="GQ37" s="1537"/>
      <c r="GR37" s="1537"/>
      <c r="GS37" s="1538">
        <v>2017</v>
      </c>
      <c r="GT37" s="1538"/>
      <c r="GU37" s="1479"/>
      <c r="GV37" s="279"/>
      <c r="GW37" s="279"/>
      <c r="GX37" s="338"/>
      <c r="GY37" s="338"/>
      <c r="GZ37" s="338"/>
      <c r="HA37" s="279"/>
      <c r="HB37" s="338"/>
      <c r="HC37" s="338"/>
      <c r="HD37" s="338"/>
      <c r="HE37" s="832">
        <v>2007</v>
      </c>
      <c r="HF37" s="833">
        <v>2008</v>
      </c>
      <c r="HG37" s="833">
        <v>2009</v>
      </c>
      <c r="HH37" s="833">
        <v>2010</v>
      </c>
      <c r="HI37" s="833">
        <v>2011</v>
      </c>
      <c r="HJ37" s="833">
        <v>2012</v>
      </c>
      <c r="HK37" s="833">
        <v>2013</v>
      </c>
      <c r="HL37" s="833">
        <v>2014</v>
      </c>
      <c r="HM37" s="3901" t="s">
        <v>553</v>
      </c>
      <c r="HN37" s="3901">
        <v>2016</v>
      </c>
      <c r="HO37" s="3917" t="str">
        <f>+HO15</f>
        <v>jul 2016 - jun 2017</v>
      </c>
      <c r="HP37" s="298"/>
      <c r="HQ37" s="298"/>
      <c r="HR37" s="298"/>
      <c r="HS37" s="467"/>
      <c r="HT37" s="2287"/>
      <c r="HU37" s="1735"/>
      <c r="HV37" s="1735"/>
      <c r="HW37" s="1735"/>
      <c r="HX37" s="1735"/>
    </row>
    <row r="38" spans="1:232" s="276" customFormat="1" ht="4.5" hidden="1" customHeight="1">
      <c r="A38" s="275"/>
      <c r="C38" s="283"/>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325"/>
      <c r="BA38" s="326"/>
      <c r="BB38" s="326"/>
      <c r="BC38" s="326"/>
      <c r="BD38" s="326"/>
      <c r="BE38" s="326"/>
      <c r="BF38" s="326"/>
      <c r="BG38" s="326"/>
      <c r="BH38" s="326"/>
      <c r="BI38" s="326"/>
      <c r="BJ38" s="326"/>
      <c r="BK38" s="327"/>
      <c r="BL38" s="301"/>
      <c r="BM38" s="287"/>
      <c r="BN38" s="287"/>
      <c r="BO38" s="287"/>
      <c r="BP38" s="287"/>
      <c r="BQ38" s="287"/>
      <c r="BR38" s="287"/>
      <c r="BS38" s="287"/>
      <c r="BT38" s="287"/>
      <c r="BU38" s="287"/>
      <c r="BV38" s="287"/>
      <c r="BW38" s="302"/>
      <c r="BX38" s="301"/>
      <c r="BY38" s="287"/>
      <c r="BZ38" s="287"/>
      <c r="CA38" s="287"/>
      <c r="CB38" s="287"/>
      <c r="CC38" s="287"/>
      <c r="CD38" s="287"/>
      <c r="CE38" s="287"/>
      <c r="CF38" s="287"/>
      <c r="CG38" s="287"/>
      <c r="CH38" s="287"/>
      <c r="CI38" s="287"/>
      <c r="CJ38" s="306"/>
      <c r="CK38" s="307"/>
      <c r="CL38" s="307"/>
      <c r="CM38" s="307"/>
      <c r="CN38" s="307"/>
      <c r="CO38" s="307"/>
      <c r="CP38" s="307"/>
      <c r="CQ38" s="307"/>
      <c r="CR38" s="307"/>
      <c r="CS38" s="307"/>
      <c r="CT38" s="307"/>
      <c r="CU38" s="308"/>
      <c r="CV38" s="309"/>
      <c r="CW38" s="310"/>
      <c r="CX38" s="310"/>
      <c r="CY38" s="310"/>
      <c r="CZ38" s="310"/>
      <c r="DA38" s="310"/>
      <c r="DB38" s="310"/>
      <c r="DC38" s="310"/>
      <c r="DD38" s="310"/>
      <c r="DE38" s="321"/>
      <c r="DF38" s="310"/>
      <c r="DG38" s="310"/>
      <c r="DH38" s="1481"/>
      <c r="DI38" s="1481"/>
      <c r="DJ38" s="1481"/>
      <c r="DK38" s="1481"/>
      <c r="DL38" s="1481"/>
      <c r="DM38" s="1481"/>
      <c r="DN38" s="1481"/>
      <c r="DO38" s="1481"/>
      <c r="DP38" s="1481"/>
      <c r="DQ38" s="1481"/>
      <c r="DR38" s="1481"/>
      <c r="DS38" s="1481"/>
      <c r="DT38" s="1482"/>
      <c r="DU38" s="1482"/>
      <c r="DV38" s="1482"/>
      <c r="DW38" s="1482"/>
      <c r="DX38" s="1482"/>
      <c r="DY38" s="1482"/>
      <c r="DZ38" s="1524"/>
      <c r="EA38" s="1524"/>
      <c r="EB38" s="1524"/>
      <c r="EC38" s="1524"/>
      <c r="ED38" s="1524"/>
      <c r="EE38" s="1524"/>
      <c r="EF38" s="1482"/>
      <c r="EG38" s="1482"/>
      <c r="EH38" s="1482"/>
      <c r="EI38" s="1482"/>
      <c r="EJ38" s="1482"/>
      <c r="EK38" s="1482"/>
      <c r="EL38" s="1524"/>
      <c r="EM38" s="1524"/>
      <c r="EN38" s="1524"/>
      <c r="EO38" s="1524"/>
      <c r="EP38" s="1524"/>
      <c r="EQ38" s="1524"/>
      <c r="ER38" s="1482"/>
      <c r="ES38" s="1482"/>
      <c r="ET38" s="1482"/>
      <c r="EU38" s="1482"/>
      <c r="EV38" s="1482"/>
      <c r="EW38" s="1482"/>
      <c r="EX38" s="1524"/>
      <c r="EY38" s="1524"/>
      <c r="EZ38" s="1524"/>
      <c r="FA38" s="1524"/>
      <c r="FB38" s="1524"/>
      <c r="FC38" s="1524"/>
      <c r="FD38" s="2430"/>
      <c r="FE38" s="279"/>
      <c r="FF38" s="285"/>
      <c r="FG38" s="285"/>
      <c r="FH38" s="285"/>
      <c r="FI38" s="285"/>
      <c r="FJ38" s="286"/>
      <c r="FK38" s="286"/>
      <c r="FL38" s="286"/>
      <c r="FM38" s="286"/>
      <c r="FN38" s="286"/>
      <c r="FO38" s="286"/>
      <c r="FP38" s="286"/>
      <c r="FQ38" s="286"/>
      <c r="FR38" s="286"/>
      <c r="FS38" s="286"/>
      <c r="FT38" s="286"/>
      <c r="FU38" s="286"/>
      <c r="FV38" s="312"/>
      <c r="FW38" s="312"/>
      <c r="FX38" s="312"/>
      <c r="FY38" s="312"/>
      <c r="FZ38" s="3904"/>
      <c r="GA38" s="3904"/>
      <c r="GB38" s="3904"/>
      <c r="GC38" s="3904"/>
      <c r="GD38" s="499"/>
      <c r="GE38" s="499"/>
      <c r="GF38" s="499"/>
      <c r="GG38" s="499"/>
      <c r="GH38" s="313"/>
      <c r="GI38" s="313"/>
      <c r="GJ38" s="313"/>
      <c r="GK38" s="313"/>
      <c r="GL38" s="313"/>
      <c r="GM38" s="313"/>
      <c r="GN38" s="313"/>
      <c r="GO38" s="1556"/>
      <c r="GP38" s="1556"/>
      <c r="GQ38" s="1556"/>
      <c r="GR38" s="1556"/>
      <c r="GS38" s="1557"/>
      <c r="GT38" s="1557"/>
      <c r="GU38" s="1536"/>
      <c r="GV38" s="286"/>
      <c r="GW38" s="312"/>
      <c r="GX38" s="1922"/>
      <c r="GY38" s="1922"/>
      <c r="GZ38" s="1922"/>
      <c r="HA38" s="312"/>
      <c r="HB38" s="2342"/>
      <c r="HC38" s="2342"/>
      <c r="HD38" s="2342"/>
      <c r="HE38" s="848"/>
      <c r="HF38" s="831"/>
      <c r="HG38" s="831"/>
      <c r="HH38" s="831"/>
      <c r="HI38" s="831"/>
      <c r="HJ38" s="831"/>
      <c r="HK38" s="831"/>
      <c r="HL38" s="831"/>
      <c r="HM38" s="3901"/>
      <c r="HN38" s="3901"/>
      <c r="HO38" s="3918"/>
      <c r="HP38" s="286"/>
      <c r="HQ38" s="286"/>
      <c r="HR38" s="286"/>
      <c r="HS38" s="286"/>
      <c r="HT38" s="2286"/>
      <c r="HU38" s="1735"/>
      <c r="HV38" s="1735"/>
      <c r="HW38" s="1735"/>
      <c r="HX38" s="1735"/>
    </row>
    <row r="39" spans="1:232" s="276" customFormat="1" ht="21" hidden="1" customHeight="1">
      <c r="A39" s="275"/>
      <c r="C39" s="322" t="s">
        <v>575</v>
      </c>
      <c r="D39" s="342" t="s">
        <v>37</v>
      </c>
      <c r="E39" s="343" t="s">
        <v>38</v>
      </c>
      <c r="F39" s="343" t="s">
        <v>39</v>
      </c>
      <c r="G39" s="343" t="s">
        <v>40</v>
      </c>
      <c r="H39" s="343" t="s">
        <v>41</v>
      </c>
      <c r="I39" s="343" t="s">
        <v>42</v>
      </c>
      <c r="J39" s="343" t="s">
        <v>43</v>
      </c>
      <c r="K39" s="343" t="s">
        <v>44</v>
      </c>
      <c r="L39" s="343" t="s">
        <v>45</v>
      </c>
      <c r="M39" s="343" t="s">
        <v>46</v>
      </c>
      <c r="N39" s="343" t="s">
        <v>47</v>
      </c>
      <c r="O39" s="344" t="s">
        <v>48</v>
      </c>
      <c r="P39" s="342" t="s">
        <v>37</v>
      </c>
      <c r="Q39" s="343" t="s">
        <v>38</v>
      </c>
      <c r="R39" s="343" t="s">
        <v>39</v>
      </c>
      <c r="S39" s="343" t="s">
        <v>40</v>
      </c>
      <c r="T39" s="343" t="s">
        <v>41</v>
      </c>
      <c r="U39" s="343" t="s">
        <v>42</v>
      </c>
      <c r="V39" s="343" t="s">
        <v>43</v>
      </c>
      <c r="W39" s="343" t="s">
        <v>44</v>
      </c>
      <c r="X39" s="343" t="s">
        <v>45</v>
      </c>
      <c r="Y39" s="343" t="s">
        <v>46</v>
      </c>
      <c r="Z39" s="343" t="s">
        <v>47</v>
      </c>
      <c r="AA39" s="500" t="s">
        <v>48</v>
      </c>
      <c r="AB39" s="345" t="s">
        <v>37</v>
      </c>
      <c r="AC39" s="346" t="s">
        <v>38</v>
      </c>
      <c r="AD39" s="346" t="s">
        <v>39</v>
      </c>
      <c r="AE39" s="346" t="s">
        <v>40</v>
      </c>
      <c r="AF39" s="346" t="s">
        <v>41</v>
      </c>
      <c r="AG39" s="346" t="s">
        <v>42</v>
      </c>
      <c r="AH39" s="346" t="s">
        <v>43</v>
      </c>
      <c r="AI39" s="346" t="s">
        <v>44</v>
      </c>
      <c r="AJ39" s="346" t="s">
        <v>45</v>
      </c>
      <c r="AK39" s="346" t="s">
        <v>46</v>
      </c>
      <c r="AL39" s="346" t="s">
        <v>47</v>
      </c>
      <c r="AM39" s="346" t="s">
        <v>48</v>
      </c>
      <c r="AN39" s="346" t="s">
        <v>37</v>
      </c>
      <c r="AO39" s="346" t="s">
        <v>38</v>
      </c>
      <c r="AP39" s="346" t="s">
        <v>39</v>
      </c>
      <c r="AQ39" s="346" t="s">
        <v>40</v>
      </c>
      <c r="AR39" s="346" t="s">
        <v>41</v>
      </c>
      <c r="AS39" s="346" t="s">
        <v>42</v>
      </c>
      <c r="AT39" s="346" t="s">
        <v>43</v>
      </c>
      <c r="AU39" s="346" t="s">
        <v>44</v>
      </c>
      <c r="AV39" s="346" t="s">
        <v>45</v>
      </c>
      <c r="AW39" s="346" t="s">
        <v>46</v>
      </c>
      <c r="AX39" s="346" t="s">
        <v>47</v>
      </c>
      <c r="AY39" s="347" t="s">
        <v>48</v>
      </c>
      <c r="AZ39" s="348" t="s">
        <v>37</v>
      </c>
      <c r="BA39" s="349" t="s">
        <v>38</v>
      </c>
      <c r="BB39" s="349" t="s">
        <v>39</v>
      </c>
      <c r="BC39" s="349" t="s">
        <v>40</v>
      </c>
      <c r="BD39" s="349" t="s">
        <v>41</v>
      </c>
      <c r="BE39" s="349" t="s">
        <v>42</v>
      </c>
      <c r="BF39" s="349" t="s">
        <v>43</v>
      </c>
      <c r="BG39" s="349" t="s">
        <v>44</v>
      </c>
      <c r="BH39" s="349" t="s">
        <v>45</v>
      </c>
      <c r="BI39" s="349" t="s">
        <v>46</v>
      </c>
      <c r="BJ39" s="349" t="s">
        <v>47</v>
      </c>
      <c r="BK39" s="350" t="s">
        <v>48</v>
      </c>
      <c r="BL39" s="351" t="s">
        <v>37</v>
      </c>
      <c r="BM39" s="352" t="s">
        <v>38</v>
      </c>
      <c r="BN39" s="352" t="s">
        <v>39</v>
      </c>
      <c r="BO39" s="352" t="s">
        <v>40</v>
      </c>
      <c r="BP39" s="352" t="s">
        <v>41</v>
      </c>
      <c r="BQ39" s="352" t="s">
        <v>42</v>
      </c>
      <c r="BR39" s="352" t="s">
        <v>43</v>
      </c>
      <c r="BS39" s="352" t="s">
        <v>44</v>
      </c>
      <c r="BT39" s="353" t="s">
        <v>45</v>
      </c>
      <c r="BU39" s="353" t="s">
        <v>46</v>
      </c>
      <c r="BV39" s="353" t="s">
        <v>47</v>
      </c>
      <c r="BW39" s="469" t="s">
        <v>48</v>
      </c>
      <c r="BX39" s="470" t="s">
        <v>37</v>
      </c>
      <c r="BY39" s="355" t="s">
        <v>38</v>
      </c>
      <c r="BZ39" s="355" t="s">
        <v>39</v>
      </c>
      <c r="CA39" s="355" t="s">
        <v>40</v>
      </c>
      <c r="CB39" s="355" t="s">
        <v>40</v>
      </c>
      <c r="CC39" s="355" t="s">
        <v>42</v>
      </c>
      <c r="CD39" s="355" t="s">
        <v>43</v>
      </c>
      <c r="CE39" s="355" t="s">
        <v>44</v>
      </c>
      <c r="CF39" s="355" t="s">
        <v>45</v>
      </c>
      <c r="CG39" s="355" t="s">
        <v>46</v>
      </c>
      <c r="CH39" s="355" t="s">
        <v>47</v>
      </c>
      <c r="CI39" s="355" t="s">
        <v>48</v>
      </c>
      <c r="CJ39" s="356" t="s">
        <v>37</v>
      </c>
      <c r="CK39" s="346" t="s">
        <v>38</v>
      </c>
      <c r="CL39" s="346" t="s">
        <v>39</v>
      </c>
      <c r="CM39" s="346" t="s">
        <v>40</v>
      </c>
      <c r="CN39" s="346" t="s">
        <v>41</v>
      </c>
      <c r="CO39" s="346" t="s">
        <v>42</v>
      </c>
      <c r="CP39" s="346" t="s">
        <v>43</v>
      </c>
      <c r="CQ39" s="346" t="s">
        <v>44</v>
      </c>
      <c r="CR39" s="346" t="s">
        <v>45</v>
      </c>
      <c r="CS39" s="346" t="s">
        <v>46</v>
      </c>
      <c r="CT39" s="346" t="s">
        <v>47</v>
      </c>
      <c r="CU39" s="357" t="s">
        <v>48</v>
      </c>
      <c r="CV39" s="355" t="s">
        <v>37</v>
      </c>
      <c r="CW39" s="355" t="s">
        <v>38</v>
      </c>
      <c r="CX39" s="355" t="s">
        <v>39</v>
      </c>
      <c r="CY39" s="355" t="s">
        <v>40</v>
      </c>
      <c r="CZ39" s="355" t="s">
        <v>41</v>
      </c>
      <c r="DA39" s="355" t="s">
        <v>42</v>
      </c>
      <c r="DB39" s="355" t="s">
        <v>43</v>
      </c>
      <c r="DC39" s="355" t="s">
        <v>44</v>
      </c>
      <c r="DD39" s="355" t="s">
        <v>45</v>
      </c>
      <c r="DE39" s="355" t="s">
        <v>46</v>
      </c>
      <c r="DF39" s="355"/>
      <c r="DG39" s="355"/>
      <c r="DH39" s="1498" t="s">
        <v>37</v>
      </c>
      <c r="DI39" s="1498" t="s">
        <v>38</v>
      </c>
      <c r="DJ39" s="1498" t="s">
        <v>39</v>
      </c>
      <c r="DK39" s="1498" t="s">
        <v>40</v>
      </c>
      <c r="DL39" s="1498" t="s">
        <v>41</v>
      </c>
      <c r="DM39" s="1498" t="s">
        <v>42</v>
      </c>
      <c r="DN39" s="1498" t="s">
        <v>43</v>
      </c>
      <c r="DO39" s="1498" t="s">
        <v>44</v>
      </c>
      <c r="DP39" s="1498" t="s">
        <v>202</v>
      </c>
      <c r="DQ39" s="1498" t="s">
        <v>46</v>
      </c>
      <c r="DR39" s="1498" t="s">
        <v>47</v>
      </c>
      <c r="DS39" s="1498" t="s">
        <v>48</v>
      </c>
      <c r="DT39" s="1484" t="s">
        <v>37</v>
      </c>
      <c r="DU39" s="1484" t="s">
        <v>38</v>
      </c>
      <c r="DV39" s="1484" t="s">
        <v>39</v>
      </c>
      <c r="DW39" s="1484" t="s">
        <v>40</v>
      </c>
      <c r="DX39" s="1484" t="s">
        <v>41</v>
      </c>
      <c r="DY39" s="1484" t="s">
        <v>42</v>
      </c>
      <c r="DZ39" s="1498"/>
      <c r="EA39" s="1498"/>
      <c r="EB39" s="1498"/>
      <c r="EC39" s="1498"/>
      <c r="ED39" s="1498"/>
      <c r="EE39" s="1498"/>
      <c r="EF39" s="1484" t="s">
        <v>37</v>
      </c>
      <c r="EG39" s="1484" t="s">
        <v>38</v>
      </c>
      <c r="EH39" s="1484" t="s">
        <v>39</v>
      </c>
      <c r="EI39" s="1484" t="s">
        <v>40</v>
      </c>
      <c r="EJ39" s="1484" t="s">
        <v>41</v>
      </c>
      <c r="EK39" s="1484" t="s">
        <v>42</v>
      </c>
      <c r="EL39" s="1498"/>
      <c r="EM39" s="1498"/>
      <c r="EN39" s="1498"/>
      <c r="EO39" s="1498"/>
      <c r="EP39" s="1498"/>
      <c r="EQ39" s="1498"/>
      <c r="ER39" s="1484" t="s">
        <v>37</v>
      </c>
      <c r="ES39" s="1484" t="s">
        <v>38</v>
      </c>
      <c r="ET39" s="1484" t="s">
        <v>39</v>
      </c>
      <c r="EU39" s="1484" t="s">
        <v>40</v>
      </c>
      <c r="EV39" s="1484" t="s">
        <v>41</v>
      </c>
      <c r="EW39" s="1484" t="s">
        <v>42</v>
      </c>
      <c r="EX39" s="1498"/>
      <c r="EY39" s="1498"/>
      <c r="EZ39" s="1498"/>
      <c r="FA39" s="1498"/>
      <c r="FB39" s="1498"/>
      <c r="FC39" s="1498"/>
      <c r="FD39" s="1498"/>
      <c r="FE39" s="279"/>
      <c r="FF39" s="358" t="s">
        <v>186</v>
      </c>
      <c r="FG39" s="359" t="s">
        <v>554</v>
      </c>
      <c r="FH39" s="359" t="s">
        <v>555</v>
      </c>
      <c r="FI39" s="360" t="s">
        <v>556</v>
      </c>
      <c r="FJ39" s="358" t="s">
        <v>186</v>
      </c>
      <c r="FK39" s="359" t="s">
        <v>554</v>
      </c>
      <c r="FL39" s="359" t="s">
        <v>555</v>
      </c>
      <c r="FM39" s="360" t="s">
        <v>556</v>
      </c>
      <c r="FN39" s="361" t="s">
        <v>186</v>
      </c>
      <c r="FO39" s="362" t="s">
        <v>554</v>
      </c>
      <c r="FP39" s="362" t="s">
        <v>557</v>
      </c>
      <c r="FQ39" s="362" t="s">
        <v>558</v>
      </c>
      <c r="FR39" s="363" t="s">
        <v>186</v>
      </c>
      <c r="FS39" s="364" t="s">
        <v>559</v>
      </c>
      <c r="FT39" s="364" t="s">
        <v>560</v>
      </c>
      <c r="FU39" s="365" t="s">
        <v>556</v>
      </c>
      <c r="FV39" s="366" t="s">
        <v>186</v>
      </c>
      <c r="FW39" s="367" t="s">
        <v>554</v>
      </c>
      <c r="FX39" s="367" t="s">
        <v>557</v>
      </c>
      <c r="FY39" s="368" t="s">
        <v>558</v>
      </c>
      <c r="FZ39" s="369" t="s">
        <v>186</v>
      </c>
      <c r="GA39" s="369" t="s">
        <v>554</v>
      </c>
      <c r="GB39" s="369" t="s">
        <v>557</v>
      </c>
      <c r="GC39" s="369" t="s">
        <v>558</v>
      </c>
      <c r="GD39" s="369" t="s">
        <v>186</v>
      </c>
      <c r="GE39" s="369" t="s">
        <v>554</v>
      </c>
      <c r="GF39" s="369" t="s">
        <v>557</v>
      </c>
      <c r="GG39" s="369" t="s">
        <v>558</v>
      </c>
      <c r="GH39" s="369" t="s">
        <v>186</v>
      </c>
      <c r="GI39" s="369" t="s">
        <v>554</v>
      </c>
      <c r="GJ39" s="369" t="s">
        <v>557</v>
      </c>
      <c r="GK39" s="369" t="s">
        <v>558</v>
      </c>
      <c r="GL39" s="369" t="s">
        <v>186</v>
      </c>
      <c r="GM39" s="369" t="s">
        <v>554</v>
      </c>
      <c r="GN39" s="369" t="s">
        <v>557</v>
      </c>
      <c r="GO39" s="1539" t="s">
        <v>186</v>
      </c>
      <c r="GP39" s="1539" t="s">
        <v>554</v>
      </c>
      <c r="GQ39" s="60" t="s">
        <v>557</v>
      </c>
      <c r="GR39" s="60" t="s">
        <v>558</v>
      </c>
      <c r="GS39" s="1550" t="s">
        <v>186</v>
      </c>
      <c r="GT39" s="1539" t="s">
        <v>554</v>
      </c>
      <c r="GU39" s="1479"/>
      <c r="GV39" s="279"/>
      <c r="GW39" s="369"/>
      <c r="GX39" s="369"/>
      <c r="GY39" s="369"/>
      <c r="GZ39" s="369"/>
      <c r="HA39" s="369"/>
      <c r="HB39" s="369"/>
      <c r="HC39" s="369"/>
      <c r="HD39" s="369"/>
      <c r="HE39" s="834" t="s">
        <v>49</v>
      </c>
      <c r="HF39" s="834" t="s">
        <v>49</v>
      </c>
      <c r="HG39" s="834" t="s">
        <v>49</v>
      </c>
      <c r="HH39" s="834" t="s">
        <v>49</v>
      </c>
      <c r="HI39" s="834" t="s">
        <v>49</v>
      </c>
      <c r="HJ39" s="834" t="s">
        <v>49</v>
      </c>
      <c r="HK39" s="834" t="s">
        <v>49</v>
      </c>
      <c r="HL39" s="834" t="s">
        <v>49</v>
      </c>
      <c r="HM39" s="3901"/>
      <c r="HN39" s="3901" t="s">
        <v>49</v>
      </c>
      <c r="HO39" s="3919"/>
      <c r="HP39" s="298"/>
      <c r="HQ39" s="298"/>
      <c r="HR39" s="298"/>
      <c r="HS39" s="467"/>
      <c r="HT39" s="2287"/>
      <c r="HU39" s="1735"/>
      <c r="HV39" s="1735"/>
      <c r="HW39" s="1735"/>
      <c r="HX39" s="1735"/>
    </row>
    <row r="40" spans="1:232" s="341" customFormat="1" ht="21.95" hidden="1" customHeight="1">
      <c r="A40" s="370"/>
      <c r="C40" s="371" t="s">
        <v>576</v>
      </c>
      <c r="D40" s="372">
        <v>20829</v>
      </c>
      <c r="E40" s="373">
        <v>21637</v>
      </c>
      <c r="F40" s="373">
        <v>25023</v>
      </c>
      <c r="G40" s="373">
        <v>20094</v>
      </c>
      <c r="H40" s="373">
        <v>20825</v>
      </c>
      <c r="I40" s="373">
        <v>32750</v>
      </c>
      <c r="J40" s="373">
        <v>40409</v>
      </c>
      <c r="K40" s="373">
        <v>33102</v>
      </c>
      <c r="L40" s="373">
        <v>23825</v>
      </c>
      <c r="M40" s="373">
        <v>25639</v>
      </c>
      <c r="N40" s="373">
        <v>27763</v>
      </c>
      <c r="O40" s="374">
        <v>29709</v>
      </c>
      <c r="P40" s="375">
        <v>26060</v>
      </c>
      <c r="Q40" s="376">
        <v>35298</v>
      </c>
      <c r="R40" s="376">
        <v>27832</v>
      </c>
      <c r="S40" s="376">
        <v>22797</v>
      </c>
      <c r="T40" s="376">
        <v>26874</v>
      </c>
      <c r="U40" s="376">
        <v>36617</v>
      </c>
      <c r="V40" s="376">
        <v>39982</v>
      </c>
      <c r="W40" s="376">
        <v>31550</v>
      </c>
      <c r="X40" s="376">
        <v>25910</v>
      </c>
      <c r="Y40" s="376">
        <v>27723</v>
      </c>
      <c r="Z40" s="376">
        <v>29160</v>
      </c>
      <c r="AA40" s="501">
        <v>30583</v>
      </c>
      <c r="AB40" s="378">
        <v>25687</v>
      </c>
      <c r="AC40" s="379">
        <v>23336</v>
      </c>
      <c r="AD40" s="379">
        <v>25122</v>
      </c>
      <c r="AE40" s="379">
        <v>25032</v>
      </c>
      <c r="AF40" s="379">
        <v>26550</v>
      </c>
      <c r="AG40" s="379">
        <v>36546</v>
      </c>
      <c r="AH40" s="379">
        <v>40480</v>
      </c>
      <c r="AI40" s="379">
        <v>32979</v>
      </c>
      <c r="AJ40" s="379">
        <v>23452</v>
      </c>
      <c r="AK40" s="379">
        <v>25734</v>
      </c>
      <c r="AL40" s="379">
        <v>28316</v>
      </c>
      <c r="AM40" s="379">
        <v>32480</v>
      </c>
      <c r="AN40" s="380">
        <v>26307</v>
      </c>
      <c r="AO40" s="380">
        <v>28093</v>
      </c>
      <c r="AP40" s="380">
        <v>28419</v>
      </c>
      <c r="AQ40" s="380">
        <v>22719</v>
      </c>
      <c r="AR40" s="380">
        <v>28637</v>
      </c>
      <c r="AS40" s="380">
        <v>37701</v>
      </c>
      <c r="AT40" s="380">
        <v>42430</v>
      </c>
      <c r="AU40" s="380">
        <v>33053</v>
      </c>
      <c r="AV40" s="380">
        <v>25691</v>
      </c>
      <c r="AW40" s="380">
        <v>30558</v>
      </c>
      <c r="AX40" s="380">
        <v>23873.164107887958</v>
      </c>
      <c r="AY40" s="381">
        <v>35022</v>
      </c>
      <c r="AZ40" s="382">
        <v>29785</v>
      </c>
      <c r="BA40" s="383">
        <v>28446</v>
      </c>
      <c r="BB40" s="383">
        <v>30692</v>
      </c>
      <c r="BC40" s="383">
        <v>28243</v>
      </c>
      <c r="BD40" s="383">
        <v>29238</v>
      </c>
      <c r="BE40" s="383">
        <v>37518</v>
      </c>
      <c r="BF40" s="383">
        <v>42826</v>
      </c>
      <c r="BG40" s="383">
        <v>33246</v>
      </c>
      <c r="BH40" s="383">
        <v>25898</v>
      </c>
      <c r="BI40" s="383">
        <v>29831</v>
      </c>
      <c r="BJ40" s="383">
        <v>30140</v>
      </c>
      <c r="BK40" s="384">
        <v>36539</v>
      </c>
      <c r="BL40" s="385">
        <v>30980</v>
      </c>
      <c r="BM40" s="386">
        <v>29241</v>
      </c>
      <c r="BN40" s="386">
        <v>30216</v>
      </c>
      <c r="BO40" s="386">
        <v>25991</v>
      </c>
      <c r="BP40" s="386">
        <v>27389</v>
      </c>
      <c r="BQ40" s="386">
        <v>40198</v>
      </c>
      <c r="BR40" s="386">
        <v>43922</v>
      </c>
      <c r="BS40" s="386">
        <v>32933</v>
      </c>
      <c r="BT40" s="387">
        <v>25969</v>
      </c>
      <c r="BU40" s="387">
        <v>30597</v>
      </c>
      <c r="BV40" s="387">
        <v>29976</v>
      </c>
      <c r="BW40" s="471">
        <v>41557</v>
      </c>
      <c r="BX40" s="472">
        <v>31928</v>
      </c>
      <c r="BY40" s="390">
        <v>29957</v>
      </c>
      <c r="BZ40" s="390">
        <v>35019</v>
      </c>
      <c r="CA40" s="390">
        <v>26552</v>
      </c>
      <c r="CB40" s="390">
        <v>31270</v>
      </c>
      <c r="CC40" s="390">
        <v>42527</v>
      </c>
      <c r="CD40" s="390">
        <v>49359</v>
      </c>
      <c r="CE40" s="390">
        <v>37312</v>
      </c>
      <c r="CF40" s="390">
        <v>31949</v>
      </c>
      <c r="CG40" s="390">
        <v>37020</v>
      </c>
      <c r="CH40" s="390">
        <v>39470</v>
      </c>
      <c r="CI40" s="391">
        <v>46340</v>
      </c>
      <c r="CJ40" s="392">
        <v>35074</v>
      </c>
      <c r="CK40" s="393">
        <v>34120</v>
      </c>
      <c r="CL40" s="393">
        <v>33458</v>
      </c>
      <c r="CM40" s="393">
        <v>33984</v>
      </c>
      <c r="CN40" s="393">
        <v>34139</v>
      </c>
      <c r="CO40" s="393">
        <v>41752</v>
      </c>
      <c r="CP40" s="393">
        <v>50973</v>
      </c>
      <c r="CQ40" s="393">
        <v>39157</v>
      </c>
      <c r="CR40" s="393">
        <v>36351</v>
      </c>
      <c r="CS40" s="393">
        <v>40063</v>
      </c>
      <c r="CT40" s="393">
        <v>42416</v>
      </c>
      <c r="CU40" s="394">
        <v>57237</v>
      </c>
      <c r="CV40" s="486">
        <v>39267</v>
      </c>
      <c r="CW40" s="393">
        <v>36209</v>
      </c>
      <c r="CX40" s="487">
        <v>41259</v>
      </c>
      <c r="CY40" s="487">
        <v>37251</v>
      </c>
      <c r="CZ40" s="487">
        <v>38183</v>
      </c>
      <c r="DA40" s="487">
        <v>47330</v>
      </c>
      <c r="DB40" s="487">
        <v>53297</v>
      </c>
      <c r="DC40" s="487">
        <v>35650</v>
      </c>
      <c r="DD40" s="396">
        <v>33447</v>
      </c>
      <c r="DE40" s="396">
        <v>38324</v>
      </c>
      <c r="DF40" s="383"/>
      <c r="DG40" s="383"/>
      <c r="DH40" s="1509">
        <v>33818</v>
      </c>
      <c r="DI40" s="1510">
        <v>33169</v>
      </c>
      <c r="DJ40" s="1510">
        <v>37526</v>
      </c>
      <c r="DK40" s="1511">
        <v>25451</v>
      </c>
      <c r="DL40" s="1511">
        <v>28795</v>
      </c>
      <c r="DM40" s="1511">
        <v>40644</v>
      </c>
      <c r="DN40" s="1511">
        <v>46518</v>
      </c>
      <c r="DO40" s="1511">
        <v>29954</v>
      </c>
      <c r="DP40" s="1487">
        <v>25857</v>
      </c>
      <c r="DQ40" s="1487">
        <v>31236</v>
      </c>
      <c r="DR40" s="1487">
        <v>30183</v>
      </c>
      <c r="DS40" s="1486">
        <v>41575</v>
      </c>
      <c r="DT40" s="1488">
        <v>33498</v>
      </c>
      <c r="DU40" s="1488">
        <v>30798</v>
      </c>
      <c r="DV40" s="1488">
        <v>35091</v>
      </c>
      <c r="DW40" s="1488">
        <v>33813</v>
      </c>
      <c r="DX40" s="1488">
        <v>29829</v>
      </c>
      <c r="DY40" s="1488">
        <v>43710</v>
      </c>
      <c r="DZ40" s="1677"/>
      <c r="EA40" s="1677"/>
      <c r="EB40" s="1677"/>
      <c r="EC40" s="1677"/>
      <c r="ED40" s="1677"/>
      <c r="EE40" s="1677"/>
      <c r="EF40" s="1488">
        <v>33498</v>
      </c>
      <c r="EG40" s="1488">
        <v>30798</v>
      </c>
      <c r="EH40" s="1488">
        <v>35091</v>
      </c>
      <c r="EI40" s="1488">
        <v>33813</v>
      </c>
      <c r="EJ40" s="1488">
        <v>29829</v>
      </c>
      <c r="EK40" s="1488">
        <v>43710</v>
      </c>
      <c r="EL40" s="1677"/>
      <c r="EM40" s="1677"/>
      <c r="EN40" s="1677"/>
      <c r="EO40" s="1677"/>
      <c r="EP40" s="1677"/>
      <c r="EQ40" s="1677"/>
      <c r="ER40" s="1488">
        <v>33498</v>
      </c>
      <c r="ES40" s="1488">
        <v>30798</v>
      </c>
      <c r="ET40" s="1488">
        <v>35091</v>
      </c>
      <c r="EU40" s="1488">
        <v>33813</v>
      </c>
      <c r="EV40" s="1488">
        <v>29829</v>
      </c>
      <c r="EW40" s="1488">
        <v>43710</v>
      </c>
      <c r="EX40" s="1677"/>
      <c r="EY40" s="1677"/>
      <c r="EZ40" s="1677"/>
      <c r="FA40" s="1677"/>
      <c r="FB40" s="1677"/>
      <c r="FC40" s="1677"/>
      <c r="FD40" s="1677"/>
      <c r="FE40" s="279"/>
      <c r="FF40" s="397">
        <v>67489</v>
      </c>
      <c r="FG40" s="398">
        <v>73669</v>
      </c>
      <c r="FH40" s="398">
        <v>97336</v>
      </c>
      <c r="FI40" s="399">
        <v>83111</v>
      </c>
      <c r="FJ40" s="400">
        <v>89190</v>
      </c>
      <c r="FK40" s="401">
        <v>86288</v>
      </c>
      <c r="FL40" s="401">
        <v>97442</v>
      </c>
      <c r="FM40" s="402">
        <v>87466</v>
      </c>
      <c r="FN40" s="403">
        <v>74145</v>
      </c>
      <c r="FO40" s="404">
        <v>88128</v>
      </c>
      <c r="FP40" s="405">
        <v>96911</v>
      </c>
      <c r="FQ40" s="405">
        <v>86530</v>
      </c>
      <c r="FR40" s="406">
        <v>82819</v>
      </c>
      <c r="FS40" s="407">
        <v>89057</v>
      </c>
      <c r="FT40" s="407">
        <v>101174</v>
      </c>
      <c r="FU40" s="408">
        <v>89453.164107887962</v>
      </c>
      <c r="FV40" s="409">
        <v>88923</v>
      </c>
      <c r="FW40" s="410">
        <v>94999</v>
      </c>
      <c r="FX40" s="410">
        <v>101970</v>
      </c>
      <c r="FY40" s="411">
        <v>96510</v>
      </c>
      <c r="FZ40" s="407">
        <v>90437</v>
      </c>
      <c r="GA40" s="407">
        <v>93578</v>
      </c>
      <c r="GB40" s="407">
        <v>102824</v>
      </c>
      <c r="GC40" s="407">
        <v>102130</v>
      </c>
      <c r="GD40" s="412">
        <v>96904</v>
      </c>
      <c r="GE40" s="412">
        <v>100349</v>
      </c>
      <c r="GF40" s="412">
        <v>118620</v>
      </c>
      <c r="GG40" s="412">
        <v>122830</v>
      </c>
      <c r="GH40" s="413">
        <v>102652</v>
      </c>
      <c r="GI40" s="413">
        <v>109875</v>
      </c>
      <c r="GJ40" s="413">
        <v>130193</v>
      </c>
      <c r="GK40" s="413">
        <v>139716</v>
      </c>
      <c r="GL40" s="414">
        <v>116735</v>
      </c>
      <c r="GM40" s="414">
        <v>113758</v>
      </c>
      <c r="GN40" s="414">
        <v>127271</v>
      </c>
      <c r="GO40" s="1541">
        <f t="shared" ref="GO40:GO46" si="9">+DH40+DI40+DJ40</f>
        <v>104513</v>
      </c>
      <c r="GP40" s="1541">
        <f t="shared" ref="GP40:GP46" si="10">+DM40+DL40+DK40</f>
        <v>94890</v>
      </c>
      <c r="GQ40" s="1541">
        <f t="shared" ref="GQ40:GQ46" si="11">+DP40+DO40+DN40</f>
        <v>102329</v>
      </c>
      <c r="GR40" s="1541">
        <f t="shared" ref="GR40:GR46" si="12">+DQ40+DR40+DS40</f>
        <v>102994</v>
      </c>
      <c r="GS40" s="1542">
        <f t="shared" ref="GS40:GS46" si="13">+DT40+DU40+DV40</f>
        <v>99387</v>
      </c>
      <c r="GT40" s="1542">
        <f t="shared" ref="GT40:GT46" si="14">+DW40+DX40+DY40</f>
        <v>107352</v>
      </c>
      <c r="GU40" s="1543"/>
      <c r="GV40" s="279"/>
      <c r="GW40" s="407"/>
      <c r="GX40" s="412"/>
      <c r="GY40" s="412"/>
      <c r="GZ40" s="412"/>
      <c r="HA40" s="407"/>
      <c r="HB40" s="412"/>
      <c r="HC40" s="412"/>
      <c r="HD40" s="412"/>
      <c r="HE40" s="836">
        <v>321605</v>
      </c>
      <c r="HF40" s="837">
        <v>360386</v>
      </c>
      <c r="HG40" s="837">
        <v>345714</v>
      </c>
      <c r="HH40" s="837">
        <v>362503.16410788795</v>
      </c>
      <c r="HI40" s="837">
        <v>382402</v>
      </c>
      <c r="HJ40" s="837">
        <v>388969</v>
      </c>
      <c r="HK40" s="837">
        <v>438703</v>
      </c>
      <c r="HL40" s="837">
        <v>478724</v>
      </c>
      <c r="HM40" s="838">
        <v>499870</v>
      </c>
      <c r="HN40" s="838">
        <f t="shared" ref="HN40:HN46" si="15">SUM(DI40:DT40)</f>
        <v>404406</v>
      </c>
      <c r="HO40" s="1568">
        <f t="shared" ref="HO40:HO46" si="16">SUM(DO40:EE40)</f>
        <v>365544</v>
      </c>
      <c r="HP40" s="298"/>
      <c r="HQ40" s="298"/>
      <c r="HR40" s="298"/>
      <c r="HS40" s="467"/>
      <c r="HT40" s="2287"/>
      <c r="HU40" s="1736"/>
      <c r="HV40" s="1736"/>
      <c r="HW40" s="1736"/>
      <c r="HX40" s="1736"/>
    </row>
    <row r="41" spans="1:232" s="341" customFormat="1" ht="21.95" hidden="1" customHeight="1">
      <c r="A41" s="370" t="s">
        <v>1410</v>
      </c>
      <c r="C41" s="371" t="s">
        <v>85</v>
      </c>
      <c r="D41" s="372">
        <v>192</v>
      </c>
      <c r="E41" s="373">
        <v>54</v>
      </c>
      <c r="F41" s="373">
        <v>61</v>
      </c>
      <c r="G41" s="373">
        <v>46</v>
      </c>
      <c r="H41" s="373">
        <v>58</v>
      </c>
      <c r="I41" s="373">
        <v>81</v>
      </c>
      <c r="J41" s="373">
        <v>84</v>
      </c>
      <c r="K41" s="373">
        <v>254</v>
      </c>
      <c r="L41" s="373">
        <v>150</v>
      </c>
      <c r="M41" s="373">
        <v>67</v>
      </c>
      <c r="N41" s="373">
        <v>53</v>
      </c>
      <c r="O41" s="374">
        <v>30</v>
      </c>
      <c r="P41" s="375">
        <v>237</v>
      </c>
      <c r="Q41" s="376">
        <v>128</v>
      </c>
      <c r="R41" s="376">
        <v>73</v>
      </c>
      <c r="S41" s="376">
        <v>40</v>
      </c>
      <c r="T41" s="376">
        <v>66</v>
      </c>
      <c r="U41" s="376">
        <v>46</v>
      </c>
      <c r="V41" s="376">
        <v>50</v>
      </c>
      <c r="W41" s="376">
        <v>211</v>
      </c>
      <c r="X41" s="376">
        <v>90</v>
      </c>
      <c r="Y41" s="376">
        <v>48</v>
      </c>
      <c r="Z41" s="376">
        <v>51</v>
      </c>
      <c r="AA41" s="501">
        <v>25</v>
      </c>
      <c r="AB41" s="378">
        <v>188</v>
      </c>
      <c r="AC41" s="379">
        <v>75</v>
      </c>
      <c r="AD41" s="379">
        <v>39</v>
      </c>
      <c r="AE41" s="379">
        <v>40</v>
      </c>
      <c r="AF41" s="379">
        <v>66</v>
      </c>
      <c r="AG41" s="379">
        <v>54</v>
      </c>
      <c r="AH41" s="379">
        <v>44</v>
      </c>
      <c r="AI41" s="379">
        <v>280</v>
      </c>
      <c r="AJ41" s="379">
        <v>92</v>
      </c>
      <c r="AK41" s="379">
        <v>75</v>
      </c>
      <c r="AL41" s="379">
        <v>46</v>
      </c>
      <c r="AM41" s="379">
        <v>35</v>
      </c>
      <c r="AN41" s="380">
        <v>197</v>
      </c>
      <c r="AO41" s="380">
        <v>50</v>
      </c>
      <c r="AP41" s="380">
        <v>44</v>
      </c>
      <c r="AQ41" s="380">
        <v>32</v>
      </c>
      <c r="AR41" s="380">
        <v>83</v>
      </c>
      <c r="AS41" s="380">
        <v>39</v>
      </c>
      <c r="AT41" s="380">
        <v>73</v>
      </c>
      <c r="AU41" s="380">
        <v>279</v>
      </c>
      <c r="AV41" s="380">
        <v>128</v>
      </c>
      <c r="AW41" s="380">
        <v>91</v>
      </c>
      <c r="AX41" s="380">
        <v>50.29619277685719</v>
      </c>
      <c r="AY41" s="381">
        <v>47</v>
      </c>
      <c r="AZ41" s="382">
        <v>385</v>
      </c>
      <c r="BA41" s="383">
        <v>99</v>
      </c>
      <c r="BB41" s="383">
        <v>88</v>
      </c>
      <c r="BC41" s="383">
        <v>73</v>
      </c>
      <c r="BD41" s="383">
        <v>60</v>
      </c>
      <c r="BE41" s="383">
        <v>94</v>
      </c>
      <c r="BF41" s="383">
        <v>69</v>
      </c>
      <c r="BG41" s="383">
        <v>418</v>
      </c>
      <c r="BH41" s="383">
        <v>134</v>
      </c>
      <c r="BI41" s="383">
        <v>100</v>
      </c>
      <c r="BJ41" s="383">
        <v>88</v>
      </c>
      <c r="BK41" s="384">
        <v>65</v>
      </c>
      <c r="BL41" s="385">
        <v>315</v>
      </c>
      <c r="BM41" s="386">
        <v>297</v>
      </c>
      <c r="BN41" s="386">
        <v>110</v>
      </c>
      <c r="BO41" s="386">
        <v>105</v>
      </c>
      <c r="BP41" s="386">
        <v>179</v>
      </c>
      <c r="BQ41" s="386">
        <v>242</v>
      </c>
      <c r="BR41" s="386">
        <v>150</v>
      </c>
      <c r="BS41" s="386">
        <v>382</v>
      </c>
      <c r="BT41" s="387">
        <v>198</v>
      </c>
      <c r="BU41" s="387">
        <v>139</v>
      </c>
      <c r="BV41" s="387">
        <v>172</v>
      </c>
      <c r="BW41" s="471">
        <v>68</v>
      </c>
      <c r="BX41" s="472">
        <v>416</v>
      </c>
      <c r="BY41" s="390">
        <v>94</v>
      </c>
      <c r="BZ41" s="390">
        <v>173</v>
      </c>
      <c r="CA41" s="390">
        <v>135</v>
      </c>
      <c r="CB41" s="390">
        <v>254</v>
      </c>
      <c r="CC41" s="390">
        <v>283</v>
      </c>
      <c r="CD41" s="390">
        <v>161</v>
      </c>
      <c r="CE41" s="390">
        <v>477</v>
      </c>
      <c r="CF41" s="390">
        <v>260</v>
      </c>
      <c r="CG41" s="390">
        <v>193</v>
      </c>
      <c r="CH41" s="390">
        <v>129</v>
      </c>
      <c r="CI41" s="391">
        <v>86</v>
      </c>
      <c r="CJ41" s="392">
        <v>406</v>
      </c>
      <c r="CK41" s="393">
        <v>175</v>
      </c>
      <c r="CL41" s="393">
        <v>211</v>
      </c>
      <c r="CM41" s="393">
        <v>127</v>
      </c>
      <c r="CN41" s="393">
        <v>308</v>
      </c>
      <c r="CO41" s="393">
        <v>258</v>
      </c>
      <c r="CP41" s="393">
        <v>153</v>
      </c>
      <c r="CQ41" s="393">
        <v>476</v>
      </c>
      <c r="CR41" s="393">
        <v>217</v>
      </c>
      <c r="CS41" s="393">
        <v>198</v>
      </c>
      <c r="CT41" s="393">
        <v>126</v>
      </c>
      <c r="CU41" s="394">
        <v>98</v>
      </c>
      <c r="CV41" s="486">
        <v>387</v>
      </c>
      <c r="CW41" s="393">
        <v>154</v>
      </c>
      <c r="CX41" s="487">
        <v>213</v>
      </c>
      <c r="CY41" s="487">
        <v>124</v>
      </c>
      <c r="CZ41" s="487">
        <v>215</v>
      </c>
      <c r="DA41" s="487">
        <v>215</v>
      </c>
      <c r="DB41" s="487">
        <v>174</v>
      </c>
      <c r="DC41" s="487">
        <v>453</v>
      </c>
      <c r="DD41" s="396">
        <v>193</v>
      </c>
      <c r="DE41" s="396">
        <v>182</v>
      </c>
      <c r="DF41" s="383"/>
      <c r="DG41" s="383"/>
      <c r="DH41" s="1509">
        <v>343</v>
      </c>
      <c r="DI41" s="1510">
        <v>139</v>
      </c>
      <c r="DJ41" s="1510">
        <v>147</v>
      </c>
      <c r="DK41" s="1511">
        <v>95</v>
      </c>
      <c r="DL41" s="1511">
        <v>207</v>
      </c>
      <c r="DM41" s="1511">
        <v>224</v>
      </c>
      <c r="DN41" s="1511">
        <v>201</v>
      </c>
      <c r="DO41" s="1511">
        <v>337</v>
      </c>
      <c r="DP41" s="1487">
        <v>152</v>
      </c>
      <c r="DQ41" s="1487">
        <v>192</v>
      </c>
      <c r="DR41" s="1487">
        <v>108</v>
      </c>
      <c r="DS41" s="1486">
        <v>66</v>
      </c>
      <c r="DT41" s="1488">
        <v>262</v>
      </c>
      <c r="DU41" s="1488">
        <v>131</v>
      </c>
      <c r="DV41" s="1488">
        <v>164</v>
      </c>
      <c r="DW41" s="1488">
        <v>132</v>
      </c>
      <c r="DX41" s="1488">
        <v>175</v>
      </c>
      <c r="DY41" s="1488">
        <v>184</v>
      </c>
      <c r="DZ41" s="1677"/>
      <c r="EA41" s="1677"/>
      <c r="EB41" s="1677"/>
      <c r="EC41" s="1677"/>
      <c r="ED41" s="1677"/>
      <c r="EE41" s="1677"/>
      <c r="EF41" s="1488">
        <v>262</v>
      </c>
      <c r="EG41" s="1488">
        <v>131</v>
      </c>
      <c r="EH41" s="1488">
        <v>164</v>
      </c>
      <c r="EI41" s="1488">
        <v>132</v>
      </c>
      <c r="EJ41" s="1488">
        <v>175</v>
      </c>
      <c r="EK41" s="1488">
        <v>184</v>
      </c>
      <c r="EL41" s="1677"/>
      <c r="EM41" s="1677"/>
      <c r="EN41" s="1677"/>
      <c r="EO41" s="1677"/>
      <c r="EP41" s="1677"/>
      <c r="EQ41" s="1677"/>
      <c r="ER41" s="1488">
        <v>262</v>
      </c>
      <c r="ES41" s="1488">
        <v>131</v>
      </c>
      <c r="ET41" s="1488">
        <v>164</v>
      </c>
      <c r="EU41" s="1488">
        <v>132</v>
      </c>
      <c r="EV41" s="1488">
        <v>175</v>
      </c>
      <c r="EW41" s="1488">
        <v>184</v>
      </c>
      <c r="EX41" s="1677"/>
      <c r="EY41" s="1677"/>
      <c r="EZ41" s="1677"/>
      <c r="FA41" s="1677"/>
      <c r="FB41" s="1677"/>
      <c r="FC41" s="1677"/>
      <c r="FD41" s="1677"/>
      <c r="FE41" s="279"/>
      <c r="FF41" s="397">
        <v>307</v>
      </c>
      <c r="FG41" s="398">
        <v>185</v>
      </c>
      <c r="FH41" s="398">
        <v>488</v>
      </c>
      <c r="FI41" s="399">
        <v>150</v>
      </c>
      <c r="FJ41" s="400">
        <v>438</v>
      </c>
      <c r="FK41" s="401">
        <v>152</v>
      </c>
      <c r="FL41" s="401">
        <v>351</v>
      </c>
      <c r="FM41" s="402">
        <v>124</v>
      </c>
      <c r="FN41" s="403">
        <v>302</v>
      </c>
      <c r="FO41" s="404">
        <v>160</v>
      </c>
      <c r="FP41" s="405">
        <v>416</v>
      </c>
      <c r="FQ41" s="405">
        <v>156</v>
      </c>
      <c r="FR41" s="406">
        <v>291</v>
      </c>
      <c r="FS41" s="407">
        <v>154</v>
      </c>
      <c r="FT41" s="407">
        <v>480</v>
      </c>
      <c r="FU41" s="408">
        <v>188.2961927768572</v>
      </c>
      <c r="FV41" s="409">
        <v>572</v>
      </c>
      <c r="FW41" s="410">
        <v>227</v>
      </c>
      <c r="FX41" s="410">
        <v>621</v>
      </c>
      <c r="FY41" s="411">
        <v>253</v>
      </c>
      <c r="FZ41" s="407">
        <v>722</v>
      </c>
      <c r="GA41" s="407">
        <v>526</v>
      </c>
      <c r="GB41" s="407">
        <v>730</v>
      </c>
      <c r="GC41" s="407">
        <v>379</v>
      </c>
      <c r="GD41" s="412">
        <v>683</v>
      </c>
      <c r="GE41" s="412">
        <v>672</v>
      </c>
      <c r="GF41" s="412">
        <v>898</v>
      </c>
      <c r="GG41" s="412">
        <v>408</v>
      </c>
      <c r="GH41" s="413">
        <v>792</v>
      </c>
      <c r="GI41" s="413">
        <v>693</v>
      </c>
      <c r="GJ41" s="413">
        <v>827</v>
      </c>
      <c r="GK41" s="413">
        <v>422</v>
      </c>
      <c r="GL41" s="414">
        <v>754</v>
      </c>
      <c r="GM41" s="414">
        <v>521</v>
      </c>
      <c r="GN41" s="414">
        <v>809</v>
      </c>
      <c r="GO41" s="1541">
        <f t="shared" si="9"/>
        <v>629</v>
      </c>
      <c r="GP41" s="1541">
        <f t="shared" si="10"/>
        <v>526</v>
      </c>
      <c r="GQ41" s="1541">
        <f t="shared" si="11"/>
        <v>690</v>
      </c>
      <c r="GR41" s="1541">
        <f t="shared" si="12"/>
        <v>366</v>
      </c>
      <c r="GS41" s="1542">
        <f t="shared" si="13"/>
        <v>557</v>
      </c>
      <c r="GT41" s="1542">
        <f t="shared" si="14"/>
        <v>491</v>
      </c>
      <c r="GU41" s="1543"/>
      <c r="GV41" s="279"/>
      <c r="GW41" s="407"/>
      <c r="GX41" s="412"/>
      <c r="GY41" s="412"/>
      <c r="GZ41" s="412"/>
      <c r="HA41" s="407"/>
      <c r="HB41" s="412"/>
      <c r="HC41" s="412"/>
      <c r="HD41" s="412"/>
      <c r="HE41" s="836">
        <v>1130</v>
      </c>
      <c r="HF41" s="837">
        <v>1065</v>
      </c>
      <c r="HG41" s="837">
        <v>1034</v>
      </c>
      <c r="HH41" s="837">
        <v>1113.2961927768572</v>
      </c>
      <c r="HI41" s="837">
        <v>1673</v>
      </c>
      <c r="HJ41" s="837">
        <v>2357</v>
      </c>
      <c r="HK41" s="837">
        <v>2661</v>
      </c>
      <c r="HL41" s="837">
        <v>2753</v>
      </c>
      <c r="HM41" s="838">
        <v>2534</v>
      </c>
      <c r="HN41" s="838">
        <f t="shared" si="15"/>
        <v>2130</v>
      </c>
      <c r="HO41" s="1568">
        <f t="shared" si="16"/>
        <v>1903</v>
      </c>
      <c r="HP41" s="298"/>
      <c r="HQ41" s="298"/>
      <c r="HR41" s="298"/>
      <c r="HS41" s="467"/>
      <c r="HT41" s="2287"/>
      <c r="HU41" s="1736"/>
      <c r="HV41" s="1736"/>
      <c r="HW41" s="1736"/>
      <c r="HX41" s="1736"/>
    </row>
    <row r="42" spans="1:232" s="341" customFormat="1" ht="21.95" hidden="1" customHeight="1">
      <c r="A42" s="370"/>
      <c r="C42" s="371" t="s">
        <v>82</v>
      </c>
      <c r="D42" s="372">
        <v>985</v>
      </c>
      <c r="E42" s="373">
        <v>1104</v>
      </c>
      <c r="F42" s="373">
        <v>1209</v>
      </c>
      <c r="G42" s="373">
        <v>1022</v>
      </c>
      <c r="H42" s="373">
        <v>1335</v>
      </c>
      <c r="I42" s="373">
        <v>1053</v>
      </c>
      <c r="J42" s="373">
        <v>1050</v>
      </c>
      <c r="K42" s="373">
        <v>962</v>
      </c>
      <c r="L42" s="373">
        <v>1238</v>
      </c>
      <c r="M42" s="373">
        <v>1260</v>
      </c>
      <c r="N42" s="373">
        <v>1054</v>
      </c>
      <c r="O42" s="374">
        <v>542</v>
      </c>
      <c r="P42" s="375">
        <v>788</v>
      </c>
      <c r="Q42" s="376">
        <v>1501</v>
      </c>
      <c r="R42" s="376">
        <v>953</v>
      </c>
      <c r="S42" s="376">
        <v>1091</v>
      </c>
      <c r="T42" s="376">
        <v>1044</v>
      </c>
      <c r="U42" s="376">
        <v>703</v>
      </c>
      <c r="V42" s="376">
        <v>875</v>
      </c>
      <c r="W42" s="376">
        <v>785</v>
      </c>
      <c r="X42" s="376">
        <v>1113</v>
      </c>
      <c r="Y42" s="376">
        <v>856</v>
      </c>
      <c r="Z42" s="376">
        <v>1272</v>
      </c>
      <c r="AA42" s="501">
        <v>563</v>
      </c>
      <c r="AB42" s="378">
        <v>568</v>
      </c>
      <c r="AC42" s="379">
        <v>946</v>
      </c>
      <c r="AD42" s="379">
        <v>1147</v>
      </c>
      <c r="AE42" s="379">
        <v>565</v>
      </c>
      <c r="AF42" s="379">
        <v>801</v>
      </c>
      <c r="AG42" s="379">
        <v>748</v>
      </c>
      <c r="AH42" s="379">
        <v>623</v>
      </c>
      <c r="AI42" s="379">
        <v>648</v>
      </c>
      <c r="AJ42" s="379">
        <v>764</v>
      </c>
      <c r="AK42" s="379">
        <v>934</v>
      </c>
      <c r="AL42" s="379">
        <v>752</v>
      </c>
      <c r="AM42" s="379">
        <v>470</v>
      </c>
      <c r="AN42" s="380">
        <v>464</v>
      </c>
      <c r="AO42" s="380">
        <v>562</v>
      </c>
      <c r="AP42" s="380">
        <v>557</v>
      </c>
      <c r="AQ42" s="380">
        <v>754</v>
      </c>
      <c r="AR42" s="380">
        <v>909</v>
      </c>
      <c r="AS42" s="380">
        <v>740</v>
      </c>
      <c r="AT42" s="380">
        <v>581</v>
      </c>
      <c r="AU42" s="380">
        <v>666</v>
      </c>
      <c r="AV42" s="380">
        <v>1007</v>
      </c>
      <c r="AW42" s="380">
        <v>1033</v>
      </c>
      <c r="AX42" s="380">
        <v>649.27812493761098</v>
      </c>
      <c r="AY42" s="381">
        <v>501</v>
      </c>
      <c r="AZ42" s="382">
        <v>838</v>
      </c>
      <c r="BA42" s="383">
        <v>1156</v>
      </c>
      <c r="BB42" s="383">
        <v>1230</v>
      </c>
      <c r="BC42" s="383">
        <v>1001</v>
      </c>
      <c r="BD42" s="383">
        <v>1072</v>
      </c>
      <c r="BE42" s="383">
        <v>986</v>
      </c>
      <c r="BF42" s="383">
        <v>987</v>
      </c>
      <c r="BG42" s="383">
        <v>1081</v>
      </c>
      <c r="BH42" s="383">
        <v>1340</v>
      </c>
      <c r="BI42" s="383">
        <v>1699</v>
      </c>
      <c r="BJ42" s="383">
        <v>2374</v>
      </c>
      <c r="BK42" s="384">
        <v>1374</v>
      </c>
      <c r="BL42" s="385">
        <v>1950</v>
      </c>
      <c r="BM42" s="386">
        <v>1841</v>
      </c>
      <c r="BN42" s="386">
        <v>2917</v>
      </c>
      <c r="BO42" s="386">
        <v>2296</v>
      </c>
      <c r="BP42" s="386">
        <v>3131</v>
      </c>
      <c r="BQ42" s="386">
        <v>2581</v>
      </c>
      <c r="BR42" s="386">
        <v>2422</v>
      </c>
      <c r="BS42" s="386">
        <v>1917</v>
      </c>
      <c r="BT42" s="387">
        <v>2426</v>
      </c>
      <c r="BU42" s="387">
        <v>2997</v>
      </c>
      <c r="BV42" s="387">
        <v>4373</v>
      </c>
      <c r="BW42" s="471">
        <v>2424</v>
      </c>
      <c r="BX42" s="472">
        <v>3388</v>
      </c>
      <c r="BY42" s="390">
        <v>3341</v>
      </c>
      <c r="BZ42" s="390">
        <v>3874</v>
      </c>
      <c r="CA42" s="390">
        <v>4632</v>
      </c>
      <c r="CB42" s="390">
        <v>4453</v>
      </c>
      <c r="CC42" s="390">
        <v>3996</v>
      </c>
      <c r="CD42" s="390">
        <v>3740</v>
      </c>
      <c r="CE42" s="390">
        <v>3336</v>
      </c>
      <c r="CF42" s="390">
        <v>4692</v>
      </c>
      <c r="CG42" s="390">
        <v>4492</v>
      </c>
      <c r="CH42" s="390">
        <v>4299</v>
      </c>
      <c r="CI42" s="391">
        <v>2714</v>
      </c>
      <c r="CJ42" s="392">
        <v>3840</v>
      </c>
      <c r="CK42" s="393">
        <v>4258</v>
      </c>
      <c r="CL42" s="393">
        <v>4719</v>
      </c>
      <c r="CM42" s="393">
        <v>3926</v>
      </c>
      <c r="CN42" s="393">
        <v>4807</v>
      </c>
      <c r="CO42" s="393">
        <v>3883</v>
      </c>
      <c r="CP42" s="393">
        <v>4119</v>
      </c>
      <c r="CQ42" s="393">
        <v>3784</v>
      </c>
      <c r="CR42" s="393">
        <v>5257</v>
      </c>
      <c r="CS42" s="393">
        <v>4904</v>
      </c>
      <c r="CT42" s="393">
        <v>4722</v>
      </c>
      <c r="CU42" s="394">
        <v>2979</v>
      </c>
      <c r="CV42" s="486">
        <v>3629</v>
      </c>
      <c r="CW42" s="393">
        <v>3960</v>
      </c>
      <c r="CX42" s="487">
        <v>4851</v>
      </c>
      <c r="CY42" s="487">
        <v>4273</v>
      </c>
      <c r="CZ42" s="487">
        <v>4279</v>
      </c>
      <c r="DA42" s="487">
        <v>4253</v>
      </c>
      <c r="DB42" s="487">
        <v>3757</v>
      </c>
      <c r="DC42" s="487">
        <v>3291</v>
      </c>
      <c r="DD42" s="396">
        <v>4327</v>
      </c>
      <c r="DE42" s="396">
        <v>3989</v>
      </c>
      <c r="DF42" s="383"/>
      <c r="DG42" s="383"/>
      <c r="DH42" s="1509">
        <v>3207</v>
      </c>
      <c r="DI42" s="1510">
        <v>3973</v>
      </c>
      <c r="DJ42" s="1510">
        <v>3772</v>
      </c>
      <c r="DK42" s="1511">
        <v>3495</v>
      </c>
      <c r="DL42" s="1511">
        <v>4166</v>
      </c>
      <c r="DM42" s="1511">
        <v>3815</v>
      </c>
      <c r="DN42" s="1511">
        <v>3440</v>
      </c>
      <c r="DO42" s="1511">
        <v>3627</v>
      </c>
      <c r="DP42" s="1491">
        <v>3113</v>
      </c>
      <c r="DQ42" s="1491">
        <v>3415</v>
      </c>
      <c r="DR42" s="1491">
        <v>3346</v>
      </c>
      <c r="DS42" s="1490">
        <v>1732</v>
      </c>
      <c r="DT42" s="1512">
        <v>2634</v>
      </c>
      <c r="DU42" s="1512">
        <v>2539</v>
      </c>
      <c r="DV42" s="1512">
        <v>3537</v>
      </c>
      <c r="DW42" s="1512">
        <v>2559</v>
      </c>
      <c r="DX42" s="1512">
        <v>2979</v>
      </c>
      <c r="DY42" s="1512">
        <v>2860</v>
      </c>
      <c r="DZ42" s="1677"/>
      <c r="EA42" s="1677"/>
      <c r="EB42" s="1677"/>
      <c r="EC42" s="1677"/>
      <c r="ED42" s="1677"/>
      <c r="EE42" s="1677"/>
      <c r="EF42" s="1512">
        <v>2634</v>
      </c>
      <c r="EG42" s="1512">
        <v>2539</v>
      </c>
      <c r="EH42" s="1512">
        <v>3537</v>
      </c>
      <c r="EI42" s="1512">
        <v>2559</v>
      </c>
      <c r="EJ42" s="1512">
        <v>2979</v>
      </c>
      <c r="EK42" s="1512">
        <v>2860</v>
      </c>
      <c r="EL42" s="1677"/>
      <c r="EM42" s="1677"/>
      <c r="EN42" s="1677"/>
      <c r="EO42" s="1677"/>
      <c r="EP42" s="1677"/>
      <c r="EQ42" s="1677"/>
      <c r="ER42" s="1512">
        <v>2634</v>
      </c>
      <c r="ES42" s="1512">
        <v>2539</v>
      </c>
      <c r="ET42" s="1512">
        <v>3537</v>
      </c>
      <c r="EU42" s="1512">
        <v>2559</v>
      </c>
      <c r="EV42" s="1512">
        <v>2979</v>
      </c>
      <c r="EW42" s="1512">
        <v>2860</v>
      </c>
      <c r="EX42" s="1677"/>
      <c r="EY42" s="1677"/>
      <c r="EZ42" s="1677"/>
      <c r="FA42" s="1677"/>
      <c r="FB42" s="1677"/>
      <c r="FC42" s="1677"/>
      <c r="FD42" s="1677"/>
      <c r="FE42" s="279"/>
      <c r="FF42" s="397">
        <v>3298</v>
      </c>
      <c r="FG42" s="398">
        <v>3410</v>
      </c>
      <c r="FH42" s="398">
        <v>3250</v>
      </c>
      <c r="FI42" s="399">
        <v>2856</v>
      </c>
      <c r="FJ42" s="400">
        <v>3242</v>
      </c>
      <c r="FK42" s="401">
        <v>2838</v>
      </c>
      <c r="FL42" s="401">
        <v>2773</v>
      </c>
      <c r="FM42" s="402">
        <v>2691</v>
      </c>
      <c r="FN42" s="403">
        <v>2661</v>
      </c>
      <c r="FO42" s="404">
        <v>2114</v>
      </c>
      <c r="FP42" s="405">
        <v>2035</v>
      </c>
      <c r="FQ42" s="405">
        <v>2156</v>
      </c>
      <c r="FR42" s="406">
        <v>1583</v>
      </c>
      <c r="FS42" s="407">
        <v>2403</v>
      </c>
      <c r="FT42" s="407">
        <v>2254</v>
      </c>
      <c r="FU42" s="408">
        <v>2183.2781249376112</v>
      </c>
      <c r="FV42" s="409">
        <v>3224</v>
      </c>
      <c r="FW42" s="410">
        <v>3059</v>
      </c>
      <c r="FX42" s="410">
        <v>3408</v>
      </c>
      <c r="FY42" s="411">
        <v>5447</v>
      </c>
      <c r="FZ42" s="407">
        <v>6708</v>
      </c>
      <c r="GA42" s="407">
        <v>8008</v>
      </c>
      <c r="GB42" s="407">
        <v>6765</v>
      </c>
      <c r="GC42" s="407">
        <v>9794</v>
      </c>
      <c r="GD42" s="412">
        <v>10603</v>
      </c>
      <c r="GE42" s="412">
        <v>13081</v>
      </c>
      <c r="GF42" s="412">
        <v>11768</v>
      </c>
      <c r="GG42" s="412">
        <v>11505</v>
      </c>
      <c r="GH42" s="413">
        <v>12817</v>
      </c>
      <c r="GI42" s="413">
        <v>12616</v>
      </c>
      <c r="GJ42" s="413">
        <v>12807</v>
      </c>
      <c r="GK42" s="413">
        <v>12605</v>
      </c>
      <c r="GL42" s="414">
        <v>12440</v>
      </c>
      <c r="GM42" s="414">
        <v>12541</v>
      </c>
      <c r="GN42" s="414">
        <v>11037</v>
      </c>
      <c r="GO42" s="1541">
        <f t="shared" si="9"/>
        <v>10952</v>
      </c>
      <c r="GP42" s="1541">
        <f t="shared" si="10"/>
        <v>11476</v>
      </c>
      <c r="GQ42" s="1541">
        <f t="shared" si="11"/>
        <v>10180</v>
      </c>
      <c r="GR42" s="1541">
        <f t="shared" si="12"/>
        <v>8493</v>
      </c>
      <c r="GS42" s="1542">
        <f t="shared" si="13"/>
        <v>8710</v>
      </c>
      <c r="GT42" s="1542">
        <f t="shared" si="14"/>
        <v>8398</v>
      </c>
      <c r="GU42" s="1543"/>
      <c r="GV42" s="279"/>
      <c r="GW42" s="407"/>
      <c r="GX42" s="412"/>
      <c r="GY42" s="412"/>
      <c r="GZ42" s="412"/>
      <c r="HA42" s="407"/>
      <c r="HB42" s="412"/>
      <c r="HC42" s="412"/>
      <c r="HD42" s="412"/>
      <c r="HE42" s="836">
        <v>12814</v>
      </c>
      <c r="HF42" s="837">
        <v>11544</v>
      </c>
      <c r="HG42" s="837">
        <v>8966</v>
      </c>
      <c r="HH42" s="837">
        <v>8423.2781249376112</v>
      </c>
      <c r="HI42" s="837">
        <v>15138</v>
      </c>
      <c r="HJ42" s="837">
        <v>31275</v>
      </c>
      <c r="HK42" s="837">
        <v>46957</v>
      </c>
      <c r="HL42" s="837">
        <v>51198</v>
      </c>
      <c r="HM42" s="838">
        <v>48310</v>
      </c>
      <c r="HN42" s="838">
        <f t="shared" si="15"/>
        <v>40528</v>
      </c>
      <c r="HO42" s="1568">
        <f t="shared" si="16"/>
        <v>32341</v>
      </c>
      <c r="HP42" s="298"/>
      <c r="HQ42" s="298"/>
      <c r="HR42" s="298"/>
      <c r="HS42" s="467"/>
      <c r="HT42" s="2287"/>
      <c r="HU42" s="1736"/>
      <c r="HV42" s="1736"/>
      <c r="HW42" s="1736"/>
      <c r="HX42" s="1736"/>
    </row>
    <row r="43" spans="1:232" s="341" customFormat="1" ht="21.95" hidden="1" customHeight="1">
      <c r="A43" s="370"/>
      <c r="C43" s="371" t="s">
        <v>577</v>
      </c>
      <c r="D43" s="372">
        <v>775</v>
      </c>
      <c r="E43" s="373">
        <v>663</v>
      </c>
      <c r="F43" s="373">
        <v>839</v>
      </c>
      <c r="G43" s="373">
        <v>756</v>
      </c>
      <c r="H43" s="373">
        <v>745</v>
      </c>
      <c r="I43" s="373">
        <v>1105</v>
      </c>
      <c r="J43" s="373">
        <v>885</v>
      </c>
      <c r="K43" s="373">
        <v>1294</v>
      </c>
      <c r="L43" s="373">
        <v>1170</v>
      </c>
      <c r="M43" s="373">
        <v>1983</v>
      </c>
      <c r="N43" s="373">
        <v>1503</v>
      </c>
      <c r="O43" s="374">
        <v>371</v>
      </c>
      <c r="P43" s="375">
        <v>492</v>
      </c>
      <c r="Q43" s="376">
        <v>1137</v>
      </c>
      <c r="R43" s="376">
        <v>845</v>
      </c>
      <c r="S43" s="376">
        <v>907</v>
      </c>
      <c r="T43" s="376">
        <v>902</v>
      </c>
      <c r="U43" s="376">
        <v>541</v>
      </c>
      <c r="V43" s="376">
        <v>681</v>
      </c>
      <c r="W43" s="376">
        <v>934</v>
      </c>
      <c r="X43" s="376">
        <v>803</v>
      </c>
      <c r="Y43" s="376">
        <v>1300</v>
      </c>
      <c r="Z43" s="376">
        <v>1180</v>
      </c>
      <c r="AA43" s="501">
        <v>376</v>
      </c>
      <c r="AB43" s="378">
        <v>287</v>
      </c>
      <c r="AC43" s="379">
        <v>551</v>
      </c>
      <c r="AD43" s="379">
        <v>575</v>
      </c>
      <c r="AE43" s="379">
        <v>454</v>
      </c>
      <c r="AF43" s="379">
        <v>409</v>
      </c>
      <c r="AG43" s="379">
        <v>600</v>
      </c>
      <c r="AH43" s="379">
        <v>365</v>
      </c>
      <c r="AI43" s="379">
        <v>647</v>
      </c>
      <c r="AJ43" s="379">
        <v>463</v>
      </c>
      <c r="AK43" s="379">
        <v>640</v>
      </c>
      <c r="AL43" s="379">
        <v>588</v>
      </c>
      <c r="AM43" s="379">
        <v>189</v>
      </c>
      <c r="AN43" s="380">
        <v>284</v>
      </c>
      <c r="AO43" s="380">
        <v>459</v>
      </c>
      <c r="AP43" s="380">
        <v>424</v>
      </c>
      <c r="AQ43" s="380">
        <v>336</v>
      </c>
      <c r="AR43" s="380">
        <v>748</v>
      </c>
      <c r="AS43" s="380">
        <v>813</v>
      </c>
      <c r="AT43" s="380">
        <v>587</v>
      </c>
      <c r="AU43" s="380">
        <v>757</v>
      </c>
      <c r="AV43" s="380">
        <v>1147</v>
      </c>
      <c r="AW43" s="380">
        <v>1486</v>
      </c>
      <c r="AX43" s="380">
        <v>1026.4995707640401</v>
      </c>
      <c r="AY43" s="381">
        <v>997</v>
      </c>
      <c r="AZ43" s="382">
        <v>1092</v>
      </c>
      <c r="BA43" s="383">
        <v>1431</v>
      </c>
      <c r="BB43" s="383">
        <v>1685</v>
      </c>
      <c r="BC43" s="383">
        <v>2142</v>
      </c>
      <c r="BD43" s="383">
        <v>2079</v>
      </c>
      <c r="BE43" s="383">
        <v>2085</v>
      </c>
      <c r="BF43" s="383">
        <v>1462</v>
      </c>
      <c r="BG43" s="383">
        <v>1972</v>
      </c>
      <c r="BH43" s="383">
        <v>1835</v>
      </c>
      <c r="BI43" s="383">
        <v>2005</v>
      </c>
      <c r="BJ43" s="383">
        <v>2645</v>
      </c>
      <c r="BK43" s="384">
        <v>1587</v>
      </c>
      <c r="BL43" s="385">
        <v>1036</v>
      </c>
      <c r="BM43" s="386">
        <v>928</v>
      </c>
      <c r="BN43" s="386">
        <v>2581</v>
      </c>
      <c r="BO43" s="386">
        <v>1968</v>
      </c>
      <c r="BP43" s="386">
        <v>4357</v>
      </c>
      <c r="BQ43" s="386">
        <v>4615</v>
      </c>
      <c r="BR43" s="386">
        <v>4308</v>
      </c>
      <c r="BS43" s="386">
        <v>3216</v>
      </c>
      <c r="BT43" s="387">
        <v>5385</v>
      </c>
      <c r="BU43" s="387">
        <v>5215</v>
      </c>
      <c r="BV43" s="387">
        <v>5331</v>
      </c>
      <c r="BW43" s="471">
        <v>2034</v>
      </c>
      <c r="BX43" s="472">
        <v>2290</v>
      </c>
      <c r="BY43" s="390">
        <v>2702</v>
      </c>
      <c r="BZ43" s="390">
        <v>4060</v>
      </c>
      <c r="CA43" s="390">
        <v>3416</v>
      </c>
      <c r="CB43" s="390">
        <v>3996</v>
      </c>
      <c r="CC43" s="390">
        <v>3976</v>
      </c>
      <c r="CD43" s="390">
        <v>3104</v>
      </c>
      <c r="CE43" s="390">
        <v>2726</v>
      </c>
      <c r="CF43" s="390">
        <v>3644</v>
      </c>
      <c r="CG43" s="390">
        <v>3209</v>
      </c>
      <c r="CH43" s="390">
        <v>3863</v>
      </c>
      <c r="CI43" s="391">
        <v>3486</v>
      </c>
      <c r="CJ43" s="392">
        <v>2457</v>
      </c>
      <c r="CK43" s="393">
        <v>4684</v>
      </c>
      <c r="CL43" s="393">
        <v>3484</v>
      </c>
      <c r="CM43" s="393">
        <v>2885</v>
      </c>
      <c r="CN43" s="393">
        <v>3497</v>
      </c>
      <c r="CO43" s="393">
        <v>3334</v>
      </c>
      <c r="CP43" s="393">
        <v>3718</v>
      </c>
      <c r="CQ43" s="393">
        <v>3400</v>
      </c>
      <c r="CR43" s="393">
        <v>3970</v>
      </c>
      <c r="CS43" s="393">
        <v>3836</v>
      </c>
      <c r="CT43" s="393">
        <v>5097</v>
      </c>
      <c r="CU43" s="394">
        <v>2490</v>
      </c>
      <c r="CV43" s="486">
        <v>4070</v>
      </c>
      <c r="CW43" s="393">
        <v>3451</v>
      </c>
      <c r="CX43" s="487">
        <v>3710</v>
      </c>
      <c r="CY43" s="487">
        <v>3644</v>
      </c>
      <c r="CZ43" s="487">
        <v>4218</v>
      </c>
      <c r="DA43" s="487">
        <v>3485</v>
      </c>
      <c r="DB43" s="487">
        <v>3577</v>
      </c>
      <c r="DC43" s="487">
        <v>3466</v>
      </c>
      <c r="DD43" s="396">
        <v>3916</v>
      </c>
      <c r="DE43" s="396">
        <v>3802</v>
      </c>
      <c r="DF43" s="383"/>
      <c r="DG43" s="383"/>
      <c r="DH43" s="1509">
        <v>3559</v>
      </c>
      <c r="DI43" s="1510">
        <v>3469</v>
      </c>
      <c r="DJ43" s="1510">
        <v>3261</v>
      </c>
      <c r="DK43" s="1511">
        <v>3285</v>
      </c>
      <c r="DL43" s="1511">
        <v>3105</v>
      </c>
      <c r="DM43" s="1511">
        <v>3612</v>
      </c>
      <c r="DN43" s="1511">
        <v>3531</v>
      </c>
      <c r="DO43" s="1511">
        <v>3455</v>
      </c>
      <c r="DP43" s="1511">
        <v>2257</v>
      </c>
      <c r="DQ43" s="1511">
        <v>4265</v>
      </c>
      <c r="DR43" s="1511">
        <v>3670</v>
      </c>
      <c r="DS43" s="1513">
        <v>1908</v>
      </c>
      <c r="DT43" s="1514">
        <v>2243</v>
      </c>
      <c r="DU43" s="1514">
        <v>2142</v>
      </c>
      <c r="DV43" s="1514">
        <v>2804</v>
      </c>
      <c r="DW43" s="1514">
        <v>2231</v>
      </c>
      <c r="DX43" s="1514">
        <v>2321</v>
      </c>
      <c r="DY43" s="1514">
        <v>2631</v>
      </c>
      <c r="DZ43" s="1680"/>
      <c r="EA43" s="1680"/>
      <c r="EB43" s="1680"/>
      <c r="EC43" s="1680"/>
      <c r="ED43" s="1680"/>
      <c r="EE43" s="1680"/>
      <c r="EF43" s="1514">
        <v>2243</v>
      </c>
      <c r="EG43" s="1514">
        <v>2142</v>
      </c>
      <c r="EH43" s="1514">
        <v>2804</v>
      </c>
      <c r="EI43" s="1514">
        <v>2231</v>
      </c>
      <c r="EJ43" s="1514">
        <v>2321</v>
      </c>
      <c r="EK43" s="1514">
        <v>2631</v>
      </c>
      <c r="EL43" s="1680"/>
      <c r="EM43" s="1680"/>
      <c r="EN43" s="1680"/>
      <c r="EO43" s="1680"/>
      <c r="EP43" s="1680"/>
      <c r="EQ43" s="1680"/>
      <c r="ER43" s="1514">
        <v>2243</v>
      </c>
      <c r="ES43" s="1514">
        <v>2142</v>
      </c>
      <c r="ET43" s="1514">
        <v>2804</v>
      </c>
      <c r="EU43" s="1514">
        <v>2231</v>
      </c>
      <c r="EV43" s="1514">
        <v>2321</v>
      </c>
      <c r="EW43" s="1514">
        <v>2631</v>
      </c>
      <c r="EX43" s="1680"/>
      <c r="EY43" s="1680"/>
      <c r="EZ43" s="1680"/>
      <c r="FA43" s="1680"/>
      <c r="FB43" s="1680"/>
      <c r="FC43" s="1680"/>
      <c r="FD43" s="1680"/>
      <c r="FE43" s="279"/>
      <c r="FF43" s="397">
        <v>2277</v>
      </c>
      <c r="FG43" s="398">
        <v>2606</v>
      </c>
      <c r="FH43" s="398">
        <v>3349</v>
      </c>
      <c r="FI43" s="399">
        <v>3857</v>
      </c>
      <c r="FJ43" s="400">
        <v>2474</v>
      </c>
      <c r="FK43" s="401">
        <v>2350</v>
      </c>
      <c r="FL43" s="401">
        <v>2418</v>
      </c>
      <c r="FM43" s="402">
        <v>2856</v>
      </c>
      <c r="FN43" s="403">
        <v>1413</v>
      </c>
      <c r="FO43" s="404">
        <v>1463</v>
      </c>
      <c r="FP43" s="405">
        <v>1475</v>
      </c>
      <c r="FQ43" s="405">
        <v>1417</v>
      </c>
      <c r="FR43" s="406">
        <v>1167</v>
      </c>
      <c r="FS43" s="407">
        <v>1897</v>
      </c>
      <c r="FT43" s="407">
        <v>2491</v>
      </c>
      <c r="FU43" s="408">
        <v>3509.4995707640401</v>
      </c>
      <c r="FV43" s="409">
        <v>4208</v>
      </c>
      <c r="FW43" s="410">
        <v>6306</v>
      </c>
      <c r="FX43" s="410">
        <v>5269</v>
      </c>
      <c r="FY43" s="411">
        <v>6237</v>
      </c>
      <c r="FZ43" s="407">
        <v>4545</v>
      </c>
      <c r="GA43" s="407">
        <v>10940</v>
      </c>
      <c r="GB43" s="407">
        <v>12909</v>
      </c>
      <c r="GC43" s="407">
        <v>12580</v>
      </c>
      <c r="GD43" s="412">
        <v>9052</v>
      </c>
      <c r="GE43" s="412">
        <v>11388</v>
      </c>
      <c r="GF43" s="412">
        <v>9474</v>
      </c>
      <c r="GG43" s="412">
        <v>10558</v>
      </c>
      <c r="GH43" s="413">
        <v>10625</v>
      </c>
      <c r="GI43" s="413">
        <v>9716</v>
      </c>
      <c r="GJ43" s="413">
        <v>10954</v>
      </c>
      <c r="GK43" s="413">
        <v>11423</v>
      </c>
      <c r="GL43" s="414">
        <v>11231</v>
      </c>
      <c r="GM43" s="414">
        <v>11664</v>
      </c>
      <c r="GN43" s="414">
        <v>10845</v>
      </c>
      <c r="GO43" s="1541">
        <f t="shared" si="9"/>
        <v>10289</v>
      </c>
      <c r="GP43" s="1541">
        <f t="shared" si="10"/>
        <v>10002</v>
      </c>
      <c r="GQ43" s="1541">
        <f t="shared" si="11"/>
        <v>9243</v>
      </c>
      <c r="GR43" s="1541">
        <f t="shared" si="12"/>
        <v>9843</v>
      </c>
      <c r="GS43" s="1542">
        <f t="shared" si="13"/>
        <v>7189</v>
      </c>
      <c r="GT43" s="1542">
        <f t="shared" si="14"/>
        <v>7183</v>
      </c>
      <c r="GU43" s="1543"/>
      <c r="GV43" s="279"/>
      <c r="GW43" s="407"/>
      <c r="GX43" s="412"/>
      <c r="GY43" s="412"/>
      <c r="GZ43" s="412"/>
      <c r="HA43" s="407"/>
      <c r="HB43" s="412"/>
      <c r="HC43" s="412"/>
      <c r="HD43" s="412"/>
      <c r="HE43" s="836">
        <v>12089</v>
      </c>
      <c r="HF43" s="837">
        <v>10098</v>
      </c>
      <c r="HG43" s="837">
        <v>5768</v>
      </c>
      <c r="HH43" s="837">
        <v>9064.499570764041</v>
      </c>
      <c r="HI43" s="837">
        <v>22020</v>
      </c>
      <c r="HJ43" s="837">
        <v>40974</v>
      </c>
      <c r="HK43" s="837">
        <v>40472</v>
      </c>
      <c r="HL43" s="837">
        <v>42852</v>
      </c>
      <c r="HM43" s="838">
        <v>44926</v>
      </c>
      <c r="HN43" s="838">
        <f t="shared" si="15"/>
        <v>38061</v>
      </c>
      <c r="HO43" s="1568">
        <f t="shared" si="16"/>
        <v>29927</v>
      </c>
      <c r="HP43" s="298"/>
      <c r="HQ43" s="298"/>
      <c r="HR43" s="298"/>
      <c r="HS43" s="467"/>
      <c r="HT43" s="2287"/>
      <c r="HU43" s="1736"/>
      <c r="HV43" s="1736"/>
      <c r="HW43" s="1736"/>
      <c r="HX43" s="1736"/>
    </row>
    <row r="44" spans="1:232" s="341" customFormat="1" ht="21.95" hidden="1" customHeight="1">
      <c r="A44" s="370"/>
      <c r="C44" s="371" t="s">
        <v>578</v>
      </c>
      <c r="D44" s="372">
        <v>1883</v>
      </c>
      <c r="E44" s="373">
        <v>1657</v>
      </c>
      <c r="F44" s="373">
        <v>1327</v>
      </c>
      <c r="G44" s="373">
        <v>1486</v>
      </c>
      <c r="H44" s="373">
        <v>2201</v>
      </c>
      <c r="I44" s="373">
        <v>3604</v>
      </c>
      <c r="J44" s="373">
        <v>3509</v>
      </c>
      <c r="K44" s="373">
        <v>3236</v>
      </c>
      <c r="L44" s="373">
        <v>2537</v>
      </c>
      <c r="M44" s="373">
        <v>2554</v>
      </c>
      <c r="N44" s="373">
        <v>2676</v>
      </c>
      <c r="O44" s="374">
        <v>3210</v>
      </c>
      <c r="P44" s="375">
        <v>2593</v>
      </c>
      <c r="Q44" s="376">
        <v>2890</v>
      </c>
      <c r="R44" s="376">
        <v>2030</v>
      </c>
      <c r="S44" s="376">
        <v>1676</v>
      </c>
      <c r="T44" s="376">
        <v>1641</v>
      </c>
      <c r="U44" s="376">
        <v>1567</v>
      </c>
      <c r="V44" s="376">
        <v>1836</v>
      </c>
      <c r="W44" s="376">
        <v>2705</v>
      </c>
      <c r="X44" s="376">
        <v>2156</v>
      </c>
      <c r="Y44" s="376">
        <v>1860</v>
      </c>
      <c r="Z44" s="376">
        <v>1845</v>
      </c>
      <c r="AA44" s="501">
        <v>1709</v>
      </c>
      <c r="AB44" s="378">
        <v>2679</v>
      </c>
      <c r="AC44" s="379">
        <v>1612</v>
      </c>
      <c r="AD44" s="379">
        <v>1971</v>
      </c>
      <c r="AE44" s="379">
        <v>2265</v>
      </c>
      <c r="AF44" s="379">
        <v>438</v>
      </c>
      <c r="AG44" s="379">
        <v>2358</v>
      </c>
      <c r="AH44" s="379">
        <v>2117</v>
      </c>
      <c r="AI44" s="379">
        <v>2228</v>
      </c>
      <c r="AJ44" s="379">
        <v>1865</v>
      </c>
      <c r="AK44" s="379">
        <v>2161</v>
      </c>
      <c r="AL44" s="379">
        <v>2220</v>
      </c>
      <c r="AM44" s="379">
        <v>1801</v>
      </c>
      <c r="AN44" s="380">
        <v>2783</v>
      </c>
      <c r="AO44" s="380">
        <v>2057</v>
      </c>
      <c r="AP44" s="380">
        <v>1543</v>
      </c>
      <c r="AQ44" s="380">
        <v>1821</v>
      </c>
      <c r="AR44" s="380">
        <v>2319</v>
      </c>
      <c r="AS44" s="380">
        <v>2281</v>
      </c>
      <c r="AT44" s="380">
        <v>2194</v>
      </c>
      <c r="AU44" s="380">
        <v>2970</v>
      </c>
      <c r="AV44" s="380">
        <v>2164</v>
      </c>
      <c r="AW44" s="380">
        <v>2240</v>
      </c>
      <c r="AX44" s="380">
        <v>10381.591427259478</v>
      </c>
      <c r="AY44" s="381">
        <v>2371</v>
      </c>
      <c r="AZ44" s="382">
        <v>2680</v>
      </c>
      <c r="BA44" s="383">
        <v>2563</v>
      </c>
      <c r="BB44" s="383">
        <v>1944</v>
      </c>
      <c r="BC44" s="383">
        <v>2119</v>
      </c>
      <c r="BD44" s="383">
        <v>1994</v>
      </c>
      <c r="BE44" s="383">
        <v>2793</v>
      </c>
      <c r="BF44" s="383">
        <v>2433</v>
      </c>
      <c r="BG44" s="383">
        <v>2791</v>
      </c>
      <c r="BH44" s="383">
        <v>2051</v>
      </c>
      <c r="BI44" s="383">
        <v>1537</v>
      </c>
      <c r="BJ44" s="383">
        <v>2283</v>
      </c>
      <c r="BK44" s="384">
        <v>1459</v>
      </c>
      <c r="BL44" s="385">
        <v>1785</v>
      </c>
      <c r="BM44" s="386">
        <v>1685</v>
      </c>
      <c r="BN44" s="386">
        <v>1086</v>
      </c>
      <c r="BO44" s="386">
        <v>1869</v>
      </c>
      <c r="BP44" s="386">
        <v>2160</v>
      </c>
      <c r="BQ44" s="386">
        <v>2332</v>
      </c>
      <c r="BR44" s="386">
        <v>2240</v>
      </c>
      <c r="BS44" s="386">
        <v>3166</v>
      </c>
      <c r="BT44" s="387">
        <v>2134</v>
      </c>
      <c r="BU44" s="387">
        <v>2416</v>
      </c>
      <c r="BV44" s="387">
        <v>2694</v>
      </c>
      <c r="BW44" s="471">
        <v>3297</v>
      </c>
      <c r="BX44" s="472">
        <v>2413</v>
      </c>
      <c r="BY44" s="390">
        <v>1877</v>
      </c>
      <c r="BZ44" s="390">
        <v>1269</v>
      </c>
      <c r="CA44" s="390">
        <v>1566</v>
      </c>
      <c r="CB44" s="390">
        <v>1643</v>
      </c>
      <c r="CC44" s="390">
        <v>1803</v>
      </c>
      <c r="CD44" s="390">
        <v>925</v>
      </c>
      <c r="CE44" s="390">
        <v>1671</v>
      </c>
      <c r="CF44" s="390">
        <v>1492</v>
      </c>
      <c r="CG44" s="390">
        <v>1377</v>
      </c>
      <c r="CH44" s="390">
        <v>1546</v>
      </c>
      <c r="CI44" s="391">
        <v>1822</v>
      </c>
      <c r="CJ44" s="392">
        <v>1643</v>
      </c>
      <c r="CK44" s="393">
        <v>1252</v>
      </c>
      <c r="CL44" s="393">
        <v>982</v>
      </c>
      <c r="CM44" s="393">
        <v>970</v>
      </c>
      <c r="CN44" s="393">
        <v>982</v>
      </c>
      <c r="CO44" s="393">
        <v>987</v>
      </c>
      <c r="CP44" s="393">
        <v>1121</v>
      </c>
      <c r="CQ44" s="393">
        <v>1228</v>
      </c>
      <c r="CR44" s="393">
        <v>1125</v>
      </c>
      <c r="CS44" s="393">
        <v>1046</v>
      </c>
      <c r="CT44" s="393">
        <v>1138</v>
      </c>
      <c r="CU44" s="394">
        <v>1452</v>
      </c>
      <c r="CV44" s="486">
        <v>1144</v>
      </c>
      <c r="CW44" s="393">
        <v>995</v>
      </c>
      <c r="CX44" s="487">
        <v>901</v>
      </c>
      <c r="CY44" s="487">
        <v>809</v>
      </c>
      <c r="CZ44" s="487">
        <v>812</v>
      </c>
      <c r="DA44" s="487">
        <v>1255</v>
      </c>
      <c r="DB44" s="487">
        <v>1088</v>
      </c>
      <c r="DC44" s="487">
        <v>1108</v>
      </c>
      <c r="DD44" s="396">
        <v>1098</v>
      </c>
      <c r="DE44" s="396">
        <v>1037</v>
      </c>
      <c r="DF44" s="383"/>
      <c r="DG44" s="383"/>
      <c r="DH44" s="1509">
        <v>1150</v>
      </c>
      <c r="DI44" s="1510">
        <v>934</v>
      </c>
      <c r="DJ44" s="1510">
        <v>1033</v>
      </c>
      <c r="DK44" s="1511">
        <v>882</v>
      </c>
      <c r="DL44" s="1511">
        <v>982</v>
      </c>
      <c r="DM44" s="1511">
        <v>1399</v>
      </c>
      <c r="DN44" s="1511">
        <v>1302</v>
      </c>
      <c r="DO44" s="1511">
        <v>1196</v>
      </c>
      <c r="DP44" s="1511">
        <v>2903</v>
      </c>
      <c r="DQ44" s="1511">
        <f>4441+5217</f>
        <v>9658</v>
      </c>
      <c r="DR44" s="1511">
        <v>5266</v>
      </c>
      <c r="DS44" s="1513">
        <v>9991</v>
      </c>
      <c r="DT44" s="1514">
        <v>5888</v>
      </c>
      <c r="DU44" s="1514">
        <v>6056</v>
      </c>
      <c r="DV44" s="1514">
        <v>5759</v>
      </c>
      <c r="DW44" s="1514">
        <v>6061</v>
      </c>
      <c r="DX44" s="1514">
        <v>5858</v>
      </c>
      <c r="DY44" s="1514">
        <v>8774</v>
      </c>
      <c r="DZ44" s="1680"/>
      <c r="EA44" s="1680"/>
      <c r="EB44" s="1680"/>
      <c r="EC44" s="1680"/>
      <c r="ED44" s="1680"/>
      <c r="EE44" s="1680"/>
      <c r="EF44" s="1514">
        <v>5888</v>
      </c>
      <c r="EG44" s="1514">
        <v>6056</v>
      </c>
      <c r="EH44" s="1514">
        <v>5759</v>
      </c>
      <c r="EI44" s="1514">
        <v>6061</v>
      </c>
      <c r="EJ44" s="1514">
        <v>5858</v>
      </c>
      <c r="EK44" s="1514">
        <v>8774</v>
      </c>
      <c r="EL44" s="1680"/>
      <c r="EM44" s="1680"/>
      <c r="EN44" s="1680"/>
      <c r="EO44" s="1680"/>
      <c r="EP44" s="1680"/>
      <c r="EQ44" s="1680"/>
      <c r="ER44" s="1514">
        <v>5888</v>
      </c>
      <c r="ES44" s="1514">
        <v>6056</v>
      </c>
      <c r="ET44" s="1514">
        <v>5759</v>
      </c>
      <c r="EU44" s="1514">
        <v>6061</v>
      </c>
      <c r="EV44" s="1514">
        <v>5858</v>
      </c>
      <c r="EW44" s="1514">
        <v>8774</v>
      </c>
      <c r="EX44" s="1680"/>
      <c r="EY44" s="1680"/>
      <c r="EZ44" s="1680"/>
      <c r="FA44" s="1680"/>
      <c r="FB44" s="1680"/>
      <c r="FC44" s="1680"/>
      <c r="FD44" s="1680"/>
      <c r="FE44" s="279"/>
      <c r="FF44" s="397">
        <v>4867</v>
      </c>
      <c r="FG44" s="398">
        <v>7291</v>
      </c>
      <c r="FH44" s="398">
        <v>9282</v>
      </c>
      <c r="FI44" s="399">
        <v>8440</v>
      </c>
      <c r="FJ44" s="400">
        <v>7513</v>
      </c>
      <c r="FK44" s="401">
        <v>4884</v>
      </c>
      <c r="FL44" s="401">
        <v>6697</v>
      </c>
      <c r="FM44" s="402">
        <v>5414</v>
      </c>
      <c r="FN44" s="403">
        <v>6262</v>
      </c>
      <c r="FO44" s="404">
        <v>5061</v>
      </c>
      <c r="FP44" s="405">
        <v>6210</v>
      </c>
      <c r="FQ44" s="405">
        <v>6182</v>
      </c>
      <c r="FR44" s="406">
        <v>6383</v>
      </c>
      <c r="FS44" s="407">
        <v>6421</v>
      </c>
      <c r="FT44" s="407">
        <v>7328</v>
      </c>
      <c r="FU44" s="408">
        <v>14992.591427259478</v>
      </c>
      <c r="FV44" s="409">
        <v>7187</v>
      </c>
      <c r="FW44" s="410">
        <v>6906</v>
      </c>
      <c r="FX44" s="410">
        <v>7275</v>
      </c>
      <c r="FY44" s="411">
        <v>5279</v>
      </c>
      <c r="FZ44" s="407">
        <v>4556</v>
      </c>
      <c r="GA44" s="407">
        <v>6361</v>
      </c>
      <c r="GB44" s="407">
        <v>7540</v>
      </c>
      <c r="GC44" s="407">
        <v>8407</v>
      </c>
      <c r="GD44" s="412">
        <v>5559</v>
      </c>
      <c r="GE44" s="412">
        <v>5012</v>
      </c>
      <c r="GF44" s="412">
        <v>4088</v>
      </c>
      <c r="GG44" s="412">
        <v>4745</v>
      </c>
      <c r="GH44" s="413">
        <v>3877</v>
      </c>
      <c r="GI44" s="413">
        <v>2939</v>
      </c>
      <c r="GJ44" s="413">
        <v>3395</v>
      </c>
      <c r="GK44" s="413">
        <v>3636</v>
      </c>
      <c r="GL44" s="414">
        <v>3040</v>
      </c>
      <c r="GM44" s="414">
        <v>2658</v>
      </c>
      <c r="GN44" s="414">
        <v>3233</v>
      </c>
      <c r="GO44" s="1541">
        <f t="shared" si="9"/>
        <v>3117</v>
      </c>
      <c r="GP44" s="1541">
        <f t="shared" si="10"/>
        <v>3263</v>
      </c>
      <c r="GQ44" s="1541">
        <f t="shared" si="11"/>
        <v>5401</v>
      </c>
      <c r="GR44" s="1541">
        <f t="shared" si="12"/>
        <v>24915</v>
      </c>
      <c r="GS44" s="1542">
        <f t="shared" si="13"/>
        <v>17703</v>
      </c>
      <c r="GT44" s="1542">
        <f t="shared" si="14"/>
        <v>20693</v>
      </c>
      <c r="GU44" s="1543"/>
      <c r="GV44" s="279"/>
      <c r="GW44" s="407"/>
      <c r="GX44" s="412"/>
      <c r="GY44" s="412"/>
      <c r="GZ44" s="412"/>
      <c r="HA44" s="407"/>
      <c r="HB44" s="412"/>
      <c r="HC44" s="412"/>
      <c r="HD44" s="412"/>
      <c r="HE44" s="836">
        <v>29880</v>
      </c>
      <c r="HF44" s="837">
        <v>24508</v>
      </c>
      <c r="HG44" s="837">
        <v>23715</v>
      </c>
      <c r="HH44" s="837">
        <v>35124.591427259482</v>
      </c>
      <c r="HI44" s="837">
        <v>26647</v>
      </c>
      <c r="HJ44" s="837">
        <v>26864</v>
      </c>
      <c r="HK44" s="837">
        <v>19404</v>
      </c>
      <c r="HL44" s="837">
        <v>13926</v>
      </c>
      <c r="HM44" s="838">
        <v>12837</v>
      </c>
      <c r="HN44" s="838">
        <f t="shared" si="15"/>
        <v>41434</v>
      </c>
      <c r="HO44" s="1568">
        <f t="shared" si="16"/>
        <v>67410</v>
      </c>
      <c r="HP44" s="298"/>
      <c r="HQ44" s="298"/>
      <c r="HR44" s="298"/>
      <c r="HS44" s="467"/>
      <c r="HT44" s="2287"/>
      <c r="HU44" s="1736"/>
      <c r="HV44" s="1736"/>
      <c r="HW44" s="1736"/>
      <c r="HX44" s="1736"/>
    </row>
    <row r="45" spans="1:232" s="341" customFormat="1" ht="21.95" hidden="1" customHeight="1">
      <c r="A45" s="370"/>
      <c r="C45" s="371" t="s">
        <v>53</v>
      </c>
      <c r="D45" s="372">
        <v>4783</v>
      </c>
      <c r="E45" s="373">
        <v>4134</v>
      </c>
      <c r="F45" s="373">
        <v>4077</v>
      </c>
      <c r="G45" s="373">
        <v>3525</v>
      </c>
      <c r="H45" s="373">
        <v>3362</v>
      </c>
      <c r="I45" s="373">
        <v>2512</v>
      </c>
      <c r="J45" s="373">
        <v>3996</v>
      </c>
      <c r="K45" s="373">
        <v>3396</v>
      </c>
      <c r="L45" s="373">
        <v>2487</v>
      </c>
      <c r="M45" s="373">
        <v>2388</v>
      </c>
      <c r="N45" s="373">
        <v>2757</v>
      </c>
      <c r="O45" s="374">
        <v>2918</v>
      </c>
      <c r="P45" s="375">
        <v>4821</v>
      </c>
      <c r="Q45" s="376">
        <v>5536</v>
      </c>
      <c r="R45" s="376">
        <v>5072</v>
      </c>
      <c r="S45" s="376">
        <v>4594</v>
      </c>
      <c r="T45" s="376">
        <v>5071</v>
      </c>
      <c r="U45" s="376">
        <v>6110</v>
      </c>
      <c r="V45" s="376">
        <v>7060</v>
      </c>
      <c r="W45" s="376">
        <v>7391</v>
      </c>
      <c r="X45" s="376">
        <v>4246</v>
      </c>
      <c r="Y45" s="376">
        <v>5190</v>
      </c>
      <c r="Z45" s="376">
        <v>4782</v>
      </c>
      <c r="AA45" s="501">
        <v>4025</v>
      </c>
      <c r="AB45" s="378">
        <v>6495</v>
      </c>
      <c r="AC45" s="379">
        <v>6475</v>
      </c>
      <c r="AD45" s="379">
        <v>5388</v>
      </c>
      <c r="AE45" s="379">
        <v>4805</v>
      </c>
      <c r="AF45" s="379">
        <v>4509</v>
      </c>
      <c r="AG45" s="379">
        <v>6490</v>
      </c>
      <c r="AH45" s="379">
        <v>6440</v>
      </c>
      <c r="AI45" s="379">
        <v>7596</v>
      </c>
      <c r="AJ45" s="379">
        <v>6858</v>
      </c>
      <c r="AK45" s="379">
        <v>6415</v>
      </c>
      <c r="AL45" s="379">
        <v>6479</v>
      </c>
      <c r="AM45" s="379">
        <v>8718</v>
      </c>
      <c r="AN45" s="380">
        <v>8568</v>
      </c>
      <c r="AO45" s="380">
        <v>8622</v>
      </c>
      <c r="AP45" s="380">
        <v>7042</v>
      </c>
      <c r="AQ45" s="380">
        <v>5936</v>
      </c>
      <c r="AR45" s="380">
        <v>4420</v>
      </c>
      <c r="AS45" s="380">
        <v>4519</v>
      </c>
      <c r="AT45" s="380">
        <v>3901</v>
      </c>
      <c r="AU45" s="380">
        <v>4756</v>
      </c>
      <c r="AV45" s="380">
        <v>2866</v>
      </c>
      <c r="AW45" s="380">
        <v>2890</v>
      </c>
      <c r="AX45" s="380">
        <v>2190.1705763740542</v>
      </c>
      <c r="AY45" s="381">
        <v>2282</v>
      </c>
      <c r="AZ45" s="382">
        <v>2683</v>
      </c>
      <c r="BA45" s="383">
        <v>2283</v>
      </c>
      <c r="BB45" s="383">
        <v>3776</v>
      </c>
      <c r="BC45" s="383">
        <v>2371</v>
      </c>
      <c r="BD45" s="383">
        <v>3580</v>
      </c>
      <c r="BE45" s="383">
        <v>4368</v>
      </c>
      <c r="BF45" s="383">
        <v>3375</v>
      </c>
      <c r="BG45" s="383">
        <v>3528</v>
      </c>
      <c r="BH45" s="383">
        <v>3370</v>
      </c>
      <c r="BI45" s="383">
        <v>3410</v>
      </c>
      <c r="BJ45" s="383">
        <v>3543</v>
      </c>
      <c r="BK45" s="384">
        <v>3211</v>
      </c>
      <c r="BL45" s="385">
        <v>1707</v>
      </c>
      <c r="BM45" s="386">
        <v>1662</v>
      </c>
      <c r="BN45" s="386">
        <v>3753</v>
      </c>
      <c r="BO45" s="386">
        <v>4295</v>
      </c>
      <c r="BP45" s="386">
        <v>3504</v>
      </c>
      <c r="BQ45" s="386">
        <v>4198</v>
      </c>
      <c r="BR45" s="386">
        <v>3126</v>
      </c>
      <c r="BS45" s="386">
        <v>4598</v>
      </c>
      <c r="BT45" s="387">
        <v>3635</v>
      </c>
      <c r="BU45" s="387">
        <v>3500</v>
      </c>
      <c r="BV45" s="387">
        <v>3876</v>
      </c>
      <c r="BW45" s="471">
        <v>5165</v>
      </c>
      <c r="BX45" s="472">
        <v>5702</v>
      </c>
      <c r="BY45" s="390">
        <v>5203</v>
      </c>
      <c r="BZ45" s="390">
        <v>4632</v>
      </c>
      <c r="CA45" s="390">
        <v>5333</v>
      </c>
      <c r="CB45" s="390">
        <v>6487</v>
      </c>
      <c r="CC45" s="390">
        <v>8469</v>
      </c>
      <c r="CD45" s="390">
        <v>6830</v>
      </c>
      <c r="CE45" s="390">
        <v>7187</v>
      </c>
      <c r="CF45" s="390">
        <v>7349</v>
      </c>
      <c r="CG45" s="390">
        <v>6676</v>
      </c>
      <c r="CH45" s="390">
        <v>6954</v>
      </c>
      <c r="CI45" s="391">
        <v>9911</v>
      </c>
      <c r="CJ45" s="392">
        <v>8268</v>
      </c>
      <c r="CK45" s="393">
        <v>9133</v>
      </c>
      <c r="CL45" s="393">
        <v>8894</v>
      </c>
      <c r="CM45" s="393">
        <v>7678</v>
      </c>
      <c r="CN45" s="393">
        <v>8441</v>
      </c>
      <c r="CO45" s="393">
        <v>8581</v>
      </c>
      <c r="CP45" s="393">
        <v>11015</v>
      </c>
      <c r="CQ45" s="393">
        <v>9745</v>
      </c>
      <c r="CR45" s="393">
        <v>8934</v>
      </c>
      <c r="CS45" s="393">
        <v>9422</v>
      </c>
      <c r="CT45" s="393">
        <v>9758</v>
      </c>
      <c r="CU45" s="394">
        <v>13693</v>
      </c>
      <c r="CV45" s="486">
        <v>9727</v>
      </c>
      <c r="CW45" s="393">
        <v>8552</v>
      </c>
      <c r="CX45" s="487">
        <v>8459</v>
      </c>
      <c r="CY45" s="487">
        <v>7753</v>
      </c>
      <c r="CZ45" s="487">
        <v>8931</v>
      </c>
      <c r="DA45" s="487">
        <v>10600</v>
      </c>
      <c r="DB45" s="487">
        <v>11113</v>
      </c>
      <c r="DC45" s="487">
        <v>9026</v>
      </c>
      <c r="DD45" s="396">
        <v>8662</v>
      </c>
      <c r="DE45" s="396">
        <v>9115</v>
      </c>
      <c r="DF45" s="383"/>
      <c r="DG45" s="383"/>
      <c r="DH45" s="1509">
        <v>10756</v>
      </c>
      <c r="DI45" s="1510">
        <v>9754</v>
      </c>
      <c r="DJ45" s="1510">
        <v>8681</v>
      </c>
      <c r="DK45" s="1511">
        <v>7775</v>
      </c>
      <c r="DL45" s="1511">
        <v>8907</v>
      </c>
      <c r="DM45" s="1511">
        <v>11583</v>
      </c>
      <c r="DN45" s="1511">
        <v>11360</v>
      </c>
      <c r="DO45" s="1511">
        <v>9236</v>
      </c>
      <c r="DP45" s="1511">
        <v>5887</v>
      </c>
      <c r="DQ45" s="1511">
        <v>5065</v>
      </c>
      <c r="DR45" s="1511">
        <v>5738</v>
      </c>
      <c r="DS45" s="1513">
        <v>8773</v>
      </c>
      <c r="DT45" s="1515">
        <v>6089</v>
      </c>
      <c r="DU45" s="1515">
        <v>5766</v>
      </c>
      <c r="DV45" s="1515">
        <v>5666</v>
      </c>
      <c r="DW45" s="1515">
        <v>5412</v>
      </c>
      <c r="DX45" s="1515">
        <v>5624</v>
      </c>
      <c r="DY45" s="1515">
        <v>7707</v>
      </c>
      <c r="DZ45" s="1681"/>
      <c r="EA45" s="1681"/>
      <c r="EB45" s="1681"/>
      <c r="EC45" s="1681"/>
      <c r="ED45" s="1681"/>
      <c r="EE45" s="1681"/>
      <c r="EF45" s="1515">
        <v>6089</v>
      </c>
      <c r="EG45" s="1515">
        <v>5766</v>
      </c>
      <c r="EH45" s="1515">
        <v>5666</v>
      </c>
      <c r="EI45" s="1515">
        <v>5412</v>
      </c>
      <c r="EJ45" s="1515">
        <v>5624</v>
      </c>
      <c r="EK45" s="1515">
        <v>7707</v>
      </c>
      <c r="EL45" s="1681"/>
      <c r="EM45" s="1681"/>
      <c r="EN45" s="1681"/>
      <c r="EO45" s="1681"/>
      <c r="EP45" s="1681"/>
      <c r="EQ45" s="1681"/>
      <c r="ER45" s="1515">
        <v>6089</v>
      </c>
      <c r="ES45" s="1515">
        <v>5766</v>
      </c>
      <c r="ET45" s="1515">
        <v>5666</v>
      </c>
      <c r="EU45" s="1515">
        <v>5412</v>
      </c>
      <c r="EV45" s="1515">
        <v>5624</v>
      </c>
      <c r="EW45" s="1515">
        <v>7707</v>
      </c>
      <c r="EX45" s="1681"/>
      <c r="EY45" s="1681"/>
      <c r="EZ45" s="1681"/>
      <c r="FA45" s="1681"/>
      <c r="FB45" s="1681"/>
      <c r="FC45" s="1681"/>
      <c r="FD45" s="1681"/>
      <c r="FE45" s="279"/>
      <c r="FF45" s="397">
        <v>12994</v>
      </c>
      <c r="FG45" s="398">
        <v>9399</v>
      </c>
      <c r="FH45" s="398">
        <v>9879</v>
      </c>
      <c r="FI45" s="399">
        <v>8063</v>
      </c>
      <c r="FJ45" s="400">
        <v>15429</v>
      </c>
      <c r="FK45" s="401">
        <v>15775</v>
      </c>
      <c r="FL45" s="401">
        <v>18697</v>
      </c>
      <c r="FM45" s="402">
        <v>13997</v>
      </c>
      <c r="FN45" s="403">
        <v>18358</v>
      </c>
      <c r="FO45" s="404">
        <v>15804</v>
      </c>
      <c r="FP45" s="405">
        <v>20894</v>
      </c>
      <c r="FQ45" s="405">
        <v>21612</v>
      </c>
      <c r="FR45" s="406">
        <v>24232</v>
      </c>
      <c r="FS45" s="407">
        <v>14873</v>
      </c>
      <c r="FT45" s="407">
        <v>11523</v>
      </c>
      <c r="FU45" s="408">
        <v>7362.1705763740538</v>
      </c>
      <c r="FV45" s="409">
        <v>8742</v>
      </c>
      <c r="FW45" s="410">
        <v>10319</v>
      </c>
      <c r="FX45" s="410">
        <v>10273</v>
      </c>
      <c r="FY45" s="411">
        <v>10164</v>
      </c>
      <c r="FZ45" s="407">
        <v>7122</v>
      </c>
      <c r="GA45" s="407">
        <v>11997</v>
      </c>
      <c r="GB45" s="407">
        <v>11359</v>
      </c>
      <c r="GC45" s="407">
        <v>12541</v>
      </c>
      <c r="GD45" s="412">
        <v>15537</v>
      </c>
      <c r="GE45" s="412">
        <v>20289</v>
      </c>
      <c r="GF45" s="412">
        <v>21366</v>
      </c>
      <c r="GG45" s="412">
        <v>23541</v>
      </c>
      <c r="GH45" s="413">
        <v>26295</v>
      </c>
      <c r="GI45" s="413">
        <v>24700</v>
      </c>
      <c r="GJ45" s="413">
        <v>30182</v>
      </c>
      <c r="GK45" s="413">
        <v>32873</v>
      </c>
      <c r="GL45" s="414">
        <v>26738</v>
      </c>
      <c r="GM45" s="414">
        <v>25799</v>
      </c>
      <c r="GN45" s="414">
        <v>29254</v>
      </c>
      <c r="GO45" s="1541">
        <f t="shared" si="9"/>
        <v>29191</v>
      </c>
      <c r="GP45" s="1541">
        <f t="shared" si="10"/>
        <v>28265</v>
      </c>
      <c r="GQ45" s="1541">
        <f t="shared" si="11"/>
        <v>26483</v>
      </c>
      <c r="GR45" s="1541">
        <f t="shared" si="12"/>
        <v>19576</v>
      </c>
      <c r="GS45" s="1542">
        <f t="shared" si="13"/>
        <v>17521</v>
      </c>
      <c r="GT45" s="1542">
        <f t="shared" si="14"/>
        <v>18743</v>
      </c>
      <c r="GU45" s="1543"/>
      <c r="GV45" s="279"/>
      <c r="GW45" s="407"/>
      <c r="GX45" s="412"/>
      <c r="GY45" s="412"/>
      <c r="GZ45" s="412"/>
      <c r="HA45" s="407"/>
      <c r="HB45" s="412"/>
      <c r="HC45" s="412"/>
      <c r="HD45" s="412"/>
      <c r="HE45" s="836">
        <v>40335</v>
      </c>
      <c r="HF45" s="837">
        <v>63898</v>
      </c>
      <c r="HG45" s="837">
        <v>76668</v>
      </c>
      <c r="HH45" s="837">
        <v>57992.170576374054</v>
      </c>
      <c r="HI45" s="837">
        <v>39498</v>
      </c>
      <c r="HJ45" s="837">
        <v>43019</v>
      </c>
      <c r="HK45" s="837">
        <v>80733</v>
      </c>
      <c r="HL45" s="837">
        <v>113562</v>
      </c>
      <c r="HM45" s="838">
        <v>115389</v>
      </c>
      <c r="HN45" s="838">
        <f t="shared" si="15"/>
        <v>98848</v>
      </c>
      <c r="HO45" s="1568">
        <f t="shared" si="16"/>
        <v>70963</v>
      </c>
      <c r="HP45" s="298"/>
      <c r="HQ45" s="298"/>
      <c r="HR45" s="298"/>
      <c r="HS45" s="467"/>
      <c r="HT45" s="2287"/>
      <c r="HU45" s="1736"/>
      <c r="HV45" s="1736"/>
      <c r="HW45" s="1736"/>
      <c r="HX45" s="1736"/>
    </row>
    <row r="46" spans="1:232" s="341" customFormat="1" ht="21.95" hidden="1" customHeight="1" thickBot="1">
      <c r="A46" s="370"/>
      <c r="C46" s="371" t="s">
        <v>54</v>
      </c>
      <c r="D46" s="418">
        <v>29447</v>
      </c>
      <c r="E46" s="419">
        <v>29249</v>
      </c>
      <c r="F46" s="419">
        <v>32536</v>
      </c>
      <c r="G46" s="419">
        <v>26929</v>
      </c>
      <c r="H46" s="419">
        <v>28526</v>
      </c>
      <c r="I46" s="419">
        <v>41105</v>
      </c>
      <c r="J46" s="419">
        <v>49933</v>
      </c>
      <c r="K46" s="419">
        <v>42244</v>
      </c>
      <c r="L46" s="419">
        <v>31407</v>
      </c>
      <c r="M46" s="419">
        <v>33891</v>
      </c>
      <c r="N46" s="419">
        <v>35806</v>
      </c>
      <c r="O46" s="420">
        <v>36780</v>
      </c>
      <c r="P46" s="421">
        <v>34991</v>
      </c>
      <c r="Q46" s="422">
        <v>46490</v>
      </c>
      <c r="R46" s="422">
        <v>36805</v>
      </c>
      <c r="S46" s="422">
        <v>31105</v>
      </c>
      <c r="T46" s="422">
        <v>35598</v>
      </c>
      <c r="U46" s="422">
        <v>45584</v>
      </c>
      <c r="V46" s="422">
        <v>50484</v>
      </c>
      <c r="W46" s="422">
        <v>43576</v>
      </c>
      <c r="X46" s="422">
        <v>34318</v>
      </c>
      <c r="Y46" s="422">
        <v>36977</v>
      </c>
      <c r="Z46" s="422">
        <v>38290</v>
      </c>
      <c r="AA46" s="502">
        <v>37281</v>
      </c>
      <c r="AB46" s="378">
        <v>35904</v>
      </c>
      <c r="AC46" s="379">
        <v>32995</v>
      </c>
      <c r="AD46" s="379">
        <v>34242</v>
      </c>
      <c r="AE46" s="379">
        <v>33161</v>
      </c>
      <c r="AF46" s="379">
        <v>32773</v>
      </c>
      <c r="AG46" s="379">
        <v>46796</v>
      </c>
      <c r="AH46" s="379">
        <v>50069</v>
      </c>
      <c r="AI46" s="379">
        <v>44378</v>
      </c>
      <c r="AJ46" s="379">
        <v>33494</v>
      </c>
      <c r="AK46" s="379">
        <v>35959</v>
      </c>
      <c r="AL46" s="379">
        <v>38401</v>
      </c>
      <c r="AM46" s="379">
        <v>43693</v>
      </c>
      <c r="AN46" s="380">
        <v>38603</v>
      </c>
      <c r="AO46" s="380">
        <v>39843</v>
      </c>
      <c r="AP46" s="380">
        <v>38029</v>
      </c>
      <c r="AQ46" s="380">
        <v>31598</v>
      </c>
      <c r="AR46" s="380">
        <v>37116</v>
      </c>
      <c r="AS46" s="380">
        <v>46093</v>
      </c>
      <c r="AT46" s="380">
        <v>49766</v>
      </c>
      <c r="AU46" s="380">
        <v>42481</v>
      </c>
      <c r="AV46" s="380">
        <v>33003</v>
      </c>
      <c r="AW46" s="380">
        <v>38298</v>
      </c>
      <c r="AX46" s="380">
        <v>38170.999999999993</v>
      </c>
      <c r="AY46" s="381">
        <v>41220</v>
      </c>
      <c r="AZ46" s="424">
        <v>37463</v>
      </c>
      <c r="BA46" s="425">
        <v>35978</v>
      </c>
      <c r="BB46" s="425">
        <v>39415</v>
      </c>
      <c r="BC46" s="425">
        <v>35949</v>
      </c>
      <c r="BD46" s="425">
        <v>38023</v>
      </c>
      <c r="BE46" s="425">
        <v>47844</v>
      </c>
      <c r="BF46" s="425">
        <v>51152</v>
      </c>
      <c r="BG46" s="425">
        <v>43036</v>
      </c>
      <c r="BH46" s="425">
        <v>34628</v>
      </c>
      <c r="BI46" s="425">
        <v>38582</v>
      </c>
      <c r="BJ46" s="425">
        <v>41073</v>
      </c>
      <c r="BK46" s="426">
        <v>44235</v>
      </c>
      <c r="BL46" s="427">
        <v>37773</v>
      </c>
      <c r="BM46" s="428">
        <v>35654</v>
      </c>
      <c r="BN46" s="428">
        <v>40663</v>
      </c>
      <c r="BO46" s="428">
        <v>36524</v>
      </c>
      <c r="BP46" s="428">
        <v>40720</v>
      </c>
      <c r="BQ46" s="428">
        <v>54166</v>
      </c>
      <c r="BR46" s="428">
        <v>56168</v>
      </c>
      <c r="BS46" s="428">
        <v>46212</v>
      </c>
      <c r="BT46" s="429">
        <v>39747</v>
      </c>
      <c r="BU46" s="429">
        <v>44864</v>
      </c>
      <c r="BV46" s="429">
        <v>46422</v>
      </c>
      <c r="BW46" s="473">
        <v>54545</v>
      </c>
      <c r="BX46" s="474">
        <v>46137</v>
      </c>
      <c r="BY46" s="475">
        <v>43174</v>
      </c>
      <c r="BZ46" s="475">
        <v>49027</v>
      </c>
      <c r="CA46" s="475">
        <v>41634</v>
      </c>
      <c r="CB46" s="475">
        <v>48103</v>
      </c>
      <c r="CC46" s="475">
        <v>61054</v>
      </c>
      <c r="CD46" s="475">
        <v>64119</v>
      </c>
      <c r="CE46" s="475">
        <v>52709</v>
      </c>
      <c r="CF46" s="475">
        <v>49386</v>
      </c>
      <c r="CG46" s="475">
        <v>52967</v>
      </c>
      <c r="CH46" s="475">
        <v>56261</v>
      </c>
      <c r="CI46" s="503">
        <v>64359</v>
      </c>
      <c r="CJ46" s="434">
        <v>51688</v>
      </c>
      <c r="CK46" s="435">
        <v>53622</v>
      </c>
      <c r="CL46" s="435">
        <v>51748</v>
      </c>
      <c r="CM46" s="435">
        <v>49570</v>
      </c>
      <c r="CN46" s="435">
        <v>52174</v>
      </c>
      <c r="CO46" s="435">
        <v>58795</v>
      </c>
      <c r="CP46" s="435">
        <v>71099</v>
      </c>
      <c r="CQ46" s="435">
        <v>57790</v>
      </c>
      <c r="CR46" s="435">
        <v>55854</v>
      </c>
      <c r="CS46" s="435">
        <v>59469</v>
      </c>
      <c r="CT46" s="435">
        <v>63257</v>
      </c>
      <c r="CU46" s="436">
        <v>77949</v>
      </c>
      <c r="CV46" s="437">
        <v>58224</v>
      </c>
      <c r="CW46" s="438">
        <v>53321</v>
      </c>
      <c r="CX46" s="439">
        <v>59393</v>
      </c>
      <c r="CY46" s="439">
        <v>53854</v>
      </c>
      <c r="CZ46" s="439">
        <v>56638</v>
      </c>
      <c r="DA46" s="439">
        <v>67138</v>
      </c>
      <c r="DB46" s="439">
        <v>73006</v>
      </c>
      <c r="DC46" s="439">
        <v>52994</v>
      </c>
      <c r="DD46" s="440">
        <v>51643</v>
      </c>
      <c r="DE46" s="440">
        <v>56449</v>
      </c>
      <c r="DF46" s="383"/>
      <c r="DG46" s="383"/>
      <c r="DH46" s="1489">
        <v>52833</v>
      </c>
      <c r="DI46" s="1490">
        <v>51438</v>
      </c>
      <c r="DJ46" s="1490">
        <v>54420</v>
      </c>
      <c r="DK46" s="1491">
        <v>40983</v>
      </c>
      <c r="DL46" s="1491">
        <v>46162</v>
      </c>
      <c r="DM46" s="1491">
        <v>61277</v>
      </c>
      <c r="DN46" s="1491">
        <v>66352</v>
      </c>
      <c r="DO46" s="1491">
        <v>47805</v>
      </c>
      <c r="DP46" s="1491">
        <v>40169</v>
      </c>
      <c r="DQ46" s="1491">
        <v>53831</v>
      </c>
      <c r="DR46" s="1491">
        <v>48311</v>
      </c>
      <c r="DS46" s="1516">
        <v>64045</v>
      </c>
      <c r="DT46" s="1517">
        <v>50614</v>
      </c>
      <c r="DU46" s="1517">
        <v>47432</v>
      </c>
      <c r="DV46" s="1517">
        <v>53021</v>
      </c>
      <c r="DW46" s="1517">
        <v>50208</v>
      </c>
      <c r="DX46" s="1517">
        <v>46786</v>
      </c>
      <c r="DY46" s="1517">
        <v>65866</v>
      </c>
      <c r="DZ46" s="1682"/>
      <c r="EA46" s="1682"/>
      <c r="EB46" s="1682"/>
      <c r="EC46" s="1682"/>
      <c r="ED46" s="1682"/>
      <c r="EE46" s="1682"/>
      <c r="EF46" s="1517">
        <v>50614</v>
      </c>
      <c r="EG46" s="1517">
        <v>47432</v>
      </c>
      <c r="EH46" s="1517">
        <v>53021</v>
      </c>
      <c r="EI46" s="1517">
        <v>50208</v>
      </c>
      <c r="EJ46" s="1517">
        <v>46786</v>
      </c>
      <c r="EK46" s="1517">
        <v>65866</v>
      </c>
      <c r="EL46" s="1682"/>
      <c r="EM46" s="1682"/>
      <c r="EN46" s="1682"/>
      <c r="EO46" s="1682"/>
      <c r="EP46" s="1682"/>
      <c r="EQ46" s="1682"/>
      <c r="ER46" s="1517">
        <v>50614</v>
      </c>
      <c r="ES46" s="1517">
        <v>47432</v>
      </c>
      <c r="ET46" s="1517">
        <v>53021</v>
      </c>
      <c r="EU46" s="1517">
        <v>50208</v>
      </c>
      <c r="EV46" s="1517">
        <v>46786</v>
      </c>
      <c r="EW46" s="1517">
        <v>65866</v>
      </c>
      <c r="EX46" s="1682"/>
      <c r="EY46" s="1682"/>
      <c r="EZ46" s="1682"/>
      <c r="FA46" s="1682"/>
      <c r="FB46" s="1682"/>
      <c r="FC46" s="1682"/>
      <c r="FD46" s="1681"/>
      <c r="FE46" s="279"/>
      <c r="FF46" s="441">
        <v>91232</v>
      </c>
      <c r="FG46" s="442">
        <v>96560</v>
      </c>
      <c r="FH46" s="442">
        <v>123584</v>
      </c>
      <c r="FI46" s="443">
        <v>106477</v>
      </c>
      <c r="FJ46" s="444">
        <v>118286</v>
      </c>
      <c r="FK46" s="445">
        <v>112287</v>
      </c>
      <c r="FL46" s="445">
        <v>128378</v>
      </c>
      <c r="FM46" s="446">
        <v>112548</v>
      </c>
      <c r="FN46" s="447">
        <v>103141</v>
      </c>
      <c r="FO46" s="448">
        <v>112730</v>
      </c>
      <c r="FP46" s="448">
        <v>127941</v>
      </c>
      <c r="FQ46" s="448">
        <v>118053</v>
      </c>
      <c r="FR46" s="449">
        <v>116475</v>
      </c>
      <c r="FS46" s="450">
        <v>114805</v>
      </c>
      <c r="FT46" s="450">
        <v>125250</v>
      </c>
      <c r="FU46" s="476">
        <v>117689</v>
      </c>
      <c r="FV46" s="451">
        <v>112856</v>
      </c>
      <c r="FW46" s="452">
        <v>121816</v>
      </c>
      <c r="FX46" s="452">
        <v>128816</v>
      </c>
      <c r="FY46" s="453">
        <v>123890</v>
      </c>
      <c r="FZ46" s="407">
        <v>114090</v>
      </c>
      <c r="GA46" s="407">
        <v>131410</v>
      </c>
      <c r="GB46" s="407">
        <v>142127</v>
      </c>
      <c r="GC46" s="407">
        <v>145831</v>
      </c>
      <c r="GD46" s="412">
        <v>138338</v>
      </c>
      <c r="GE46" s="412">
        <v>150791</v>
      </c>
      <c r="GF46" s="412">
        <v>166214</v>
      </c>
      <c r="GG46" s="412">
        <v>173587</v>
      </c>
      <c r="GH46" s="413">
        <v>157058</v>
      </c>
      <c r="GI46" s="413">
        <v>160539</v>
      </c>
      <c r="GJ46" s="413">
        <v>188358</v>
      </c>
      <c r="GK46" s="413">
        <v>200675</v>
      </c>
      <c r="GL46" s="414">
        <v>170938</v>
      </c>
      <c r="GM46" s="414">
        <v>166941</v>
      </c>
      <c r="GN46" s="414">
        <v>182449</v>
      </c>
      <c r="GO46" s="1541">
        <f t="shared" si="9"/>
        <v>158691</v>
      </c>
      <c r="GP46" s="1541">
        <f t="shared" si="10"/>
        <v>148422</v>
      </c>
      <c r="GQ46" s="1541">
        <f t="shared" si="11"/>
        <v>154326</v>
      </c>
      <c r="GR46" s="1541">
        <f t="shared" si="12"/>
        <v>166187</v>
      </c>
      <c r="GS46" s="1542">
        <f t="shared" si="13"/>
        <v>151067</v>
      </c>
      <c r="GT46" s="1542">
        <f t="shared" si="14"/>
        <v>162860</v>
      </c>
      <c r="GU46" s="1543"/>
      <c r="GV46" s="279"/>
      <c r="GW46" s="407"/>
      <c r="GX46" s="412"/>
      <c r="GY46" s="412"/>
      <c r="GZ46" s="412"/>
      <c r="HA46" s="407"/>
      <c r="HB46" s="412"/>
      <c r="HC46" s="412"/>
      <c r="HD46" s="412"/>
      <c r="HE46" s="839">
        <v>417853</v>
      </c>
      <c r="HF46" s="840">
        <v>471499</v>
      </c>
      <c r="HG46" s="840">
        <v>461865</v>
      </c>
      <c r="HH46" s="840">
        <v>474221</v>
      </c>
      <c r="HI46" s="840">
        <v>487378</v>
      </c>
      <c r="HJ46" s="840">
        <v>533458</v>
      </c>
      <c r="HK46" s="840">
        <v>628930</v>
      </c>
      <c r="HL46" s="840">
        <v>703015</v>
      </c>
      <c r="HM46" s="838">
        <v>723866</v>
      </c>
      <c r="HN46" s="838">
        <f t="shared" si="15"/>
        <v>625407</v>
      </c>
      <c r="HO46" s="1568">
        <f t="shared" si="16"/>
        <v>568088</v>
      </c>
      <c r="HP46" s="298"/>
      <c r="HQ46" s="298"/>
      <c r="HR46" s="298"/>
      <c r="HS46" s="467"/>
      <c r="HT46" s="2287"/>
      <c r="HU46" s="1736"/>
      <c r="HV46" s="1736"/>
      <c r="HW46" s="1736"/>
      <c r="HX46" s="1736"/>
    </row>
    <row r="47" spans="1:232" s="276" customFormat="1" ht="18.75" hidden="1" customHeight="1">
      <c r="A47" s="504"/>
      <c r="B47" s="505"/>
      <c r="C47" s="506"/>
      <c r="D47" s="507">
        <v>0</v>
      </c>
      <c r="E47" s="506">
        <v>0</v>
      </c>
      <c r="F47" s="506">
        <v>0</v>
      </c>
      <c r="G47" s="508">
        <v>0</v>
      </c>
      <c r="H47" s="506">
        <v>0</v>
      </c>
      <c r="I47" s="506">
        <v>0</v>
      </c>
      <c r="J47" s="506">
        <v>0</v>
      </c>
      <c r="K47" s="506">
        <v>0</v>
      </c>
      <c r="L47" s="506">
        <v>0</v>
      </c>
      <c r="M47" s="508">
        <v>0</v>
      </c>
      <c r="N47" s="506">
        <v>0</v>
      </c>
      <c r="O47" s="506">
        <v>0</v>
      </c>
      <c r="P47" s="506">
        <v>0</v>
      </c>
      <c r="Q47" s="506">
        <v>0</v>
      </c>
      <c r="R47" s="506">
        <v>0</v>
      </c>
      <c r="S47" s="508">
        <v>0</v>
      </c>
      <c r="T47" s="506">
        <v>0</v>
      </c>
      <c r="U47" s="506">
        <v>0</v>
      </c>
      <c r="V47" s="506">
        <v>0</v>
      </c>
      <c r="W47" s="506">
        <v>0</v>
      </c>
      <c r="X47" s="506">
        <v>0</v>
      </c>
      <c r="Y47" s="506">
        <v>0</v>
      </c>
      <c r="Z47" s="506">
        <v>0</v>
      </c>
      <c r="AA47" s="506">
        <v>0</v>
      </c>
      <c r="AB47" s="506">
        <v>0</v>
      </c>
      <c r="AC47" s="506">
        <v>0</v>
      </c>
      <c r="AD47" s="506">
        <v>0</v>
      </c>
      <c r="AE47" s="506">
        <v>0</v>
      </c>
      <c r="AF47" s="506">
        <v>0</v>
      </c>
      <c r="AG47" s="506">
        <v>0</v>
      </c>
      <c r="AH47" s="506">
        <v>0</v>
      </c>
      <c r="AI47" s="506">
        <v>0</v>
      </c>
      <c r="AJ47" s="506">
        <v>0</v>
      </c>
      <c r="AK47" s="506">
        <v>0</v>
      </c>
      <c r="AL47" s="506">
        <v>0</v>
      </c>
      <c r="AM47" s="506">
        <v>0</v>
      </c>
      <c r="AN47" s="506">
        <v>0</v>
      </c>
      <c r="AO47" s="506">
        <v>0</v>
      </c>
      <c r="AP47" s="506">
        <v>0</v>
      </c>
      <c r="AQ47" s="506">
        <v>0</v>
      </c>
      <c r="AR47" s="506">
        <v>0</v>
      </c>
      <c r="AS47" s="506">
        <v>0</v>
      </c>
      <c r="AT47" s="506">
        <v>0</v>
      </c>
      <c r="AU47" s="506">
        <v>0</v>
      </c>
      <c r="AV47" s="506">
        <v>0</v>
      </c>
      <c r="AW47" s="506">
        <v>0</v>
      </c>
      <c r="AX47" s="506">
        <v>38170.999999999993</v>
      </c>
      <c r="AY47" s="506">
        <v>0</v>
      </c>
      <c r="AZ47" s="509">
        <v>0</v>
      </c>
      <c r="BA47" s="509">
        <v>0</v>
      </c>
      <c r="BB47" s="509">
        <v>0</v>
      </c>
      <c r="BC47" s="509">
        <v>0</v>
      </c>
      <c r="BD47" s="509">
        <v>0</v>
      </c>
      <c r="BE47" s="509">
        <v>0</v>
      </c>
      <c r="BF47" s="509"/>
      <c r="BG47" s="509">
        <v>0</v>
      </c>
      <c r="BH47" s="509"/>
      <c r="BI47" s="509">
        <v>0</v>
      </c>
      <c r="BJ47" s="509"/>
      <c r="BK47" s="509">
        <v>0</v>
      </c>
      <c r="BL47" s="509"/>
      <c r="BM47" s="509"/>
      <c r="BN47" s="509"/>
      <c r="BO47" s="509">
        <v>0</v>
      </c>
      <c r="BP47" s="509"/>
      <c r="BQ47" s="509"/>
      <c r="BR47" s="509"/>
      <c r="BS47" s="509"/>
      <c r="BT47" s="509"/>
      <c r="BU47" s="509"/>
      <c r="BV47" s="509"/>
      <c r="BW47" s="509"/>
      <c r="BX47" s="509"/>
      <c r="BY47" s="509"/>
      <c r="BZ47" s="509"/>
      <c r="CA47" s="509"/>
      <c r="CB47" s="509"/>
      <c r="CC47" s="509"/>
      <c r="CD47" s="509"/>
      <c r="CE47" s="509"/>
      <c r="CF47" s="509"/>
      <c r="CG47" s="509"/>
      <c r="CH47" s="509"/>
      <c r="CI47" s="509"/>
      <c r="CJ47" s="509"/>
      <c r="CK47" s="509"/>
      <c r="CL47" s="509"/>
      <c r="CM47" s="509"/>
      <c r="CN47" s="509"/>
      <c r="CO47" s="509"/>
      <c r="CP47" s="509"/>
      <c r="CQ47" s="509"/>
      <c r="CR47" s="509"/>
      <c r="CS47" s="509"/>
      <c r="CT47" s="509"/>
      <c r="CU47" s="509"/>
      <c r="CV47" s="509">
        <v>0</v>
      </c>
      <c r="CW47" s="509"/>
      <c r="CX47" s="509"/>
      <c r="CY47" s="509"/>
      <c r="CZ47" s="509"/>
      <c r="DA47" s="509"/>
      <c r="DB47" s="509"/>
      <c r="DC47" s="509"/>
      <c r="DD47" s="509"/>
      <c r="DE47" s="509"/>
      <c r="DF47" s="509"/>
      <c r="DG47" s="509"/>
      <c r="DH47" s="1518"/>
      <c r="DI47" s="1518"/>
      <c r="DJ47" s="1518"/>
      <c r="DK47" s="1518"/>
      <c r="DL47" s="1518"/>
      <c r="DM47" s="1518"/>
      <c r="DN47" s="1518"/>
      <c r="DO47" s="1518"/>
      <c r="DP47" s="1518"/>
      <c r="DQ47" s="1518"/>
      <c r="DR47" s="1518"/>
      <c r="DS47" s="1518"/>
      <c r="DT47" s="1518"/>
      <c r="DU47" s="1518"/>
      <c r="DV47" s="1518"/>
      <c r="DW47" s="1518"/>
      <c r="DX47" s="1518"/>
      <c r="DY47" s="1518"/>
      <c r="DZ47" s="1518"/>
      <c r="EA47" s="1518"/>
      <c r="EB47" s="1518"/>
      <c r="EC47" s="1518"/>
      <c r="ED47" s="1518"/>
      <c r="EE47" s="1518"/>
      <c r="EF47" s="1518"/>
      <c r="EG47" s="1518"/>
      <c r="EH47" s="1518"/>
      <c r="EI47" s="1518"/>
      <c r="EJ47" s="1518"/>
      <c r="EK47" s="1518"/>
      <c r="EL47" s="1518"/>
      <c r="EM47" s="1518"/>
      <c r="EN47" s="1518"/>
      <c r="EO47" s="1518"/>
      <c r="EP47" s="1518"/>
      <c r="EQ47" s="1518"/>
      <c r="ER47" s="1518"/>
      <c r="ES47" s="1518"/>
      <c r="ET47" s="1518"/>
      <c r="EU47" s="1518"/>
      <c r="EV47" s="1518"/>
      <c r="EW47" s="1518"/>
      <c r="EX47" s="1518"/>
      <c r="EY47" s="1518"/>
      <c r="EZ47" s="1518"/>
      <c r="FA47" s="1518"/>
      <c r="FB47" s="1518"/>
      <c r="FC47" s="1518"/>
      <c r="FD47" s="2436"/>
      <c r="FE47" s="509">
        <v>0</v>
      </c>
      <c r="FF47" s="509">
        <v>0</v>
      </c>
      <c r="FG47" s="509">
        <v>0</v>
      </c>
      <c r="FH47" s="509">
        <v>0</v>
      </c>
      <c r="FI47" s="509">
        <v>0</v>
      </c>
      <c r="FJ47" s="509">
        <v>0</v>
      </c>
      <c r="FK47" s="509">
        <v>0</v>
      </c>
      <c r="FL47" s="509">
        <v>0</v>
      </c>
      <c r="FM47" s="509">
        <v>0</v>
      </c>
      <c r="FN47" s="509">
        <v>0</v>
      </c>
      <c r="FO47" s="509">
        <v>0</v>
      </c>
      <c r="FP47" s="509">
        <v>0</v>
      </c>
      <c r="FQ47" s="509">
        <v>0</v>
      </c>
      <c r="FR47" s="509">
        <v>0</v>
      </c>
      <c r="FS47" s="509">
        <v>-2</v>
      </c>
      <c r="FT47" s="509">
        <v>0</v>
      </c>
      <c r="FU47" s="509">
        <v>0</v>
      </c>
      <c r="FV47" s="509">
        <v>0</v>
      </c>
      <c r="FW47" s="509"/>
      <c r="FX47" s="509"/>
      <c r="FY47" s="509"/>
      <c r="FZ47" s="509">
        <v>0</v>
      </c>
      <c r="GA47" s="509"/>
      <c r="GB47" s="509"/>
      <c r="GC47" s="509"/>
      <c r="GD47" s="509"/>
      <c r="GE47" s="509"/>
      <c r="GF47" s="509"/>
      <c r="GG47" s="509"/>
      <c r="GH47" s="509"/>
      <c r="GI47" s="509"/>
      <c r="GJ47" s="509"/>
      <c r="GK47" s="509"/>
      <c r="GL47" s="509"/>
      <c r="GM47" s="509"/>
      <c r="GN47" s="509"/>
      <c r="GO47" s="1558"/>
      <c r="GP47" s="1558"/>
      <c r="GQ47" s="1558"/>
      <c r="GR47" s="1558"/>
      <c r="GS47" s="1559"/>
      <c r="GT47" s="1559"/>
      <c r="GU47" s="1518"/>
      <c r="GV47" s="509"/>
      <c r="GW47" s="509"/>
      <c r="GX47" s="509"/>
      <c r="GY47" s="509"/>
      <c r="GZ47" s="509"/>
      <c r="HA47" s="509"/>
      <c r="HB47" s="509"/>
      <c r="HC47" s="509"/>
      <c r="HD47" s="509"/>
      <c r="HE47" s="849"/>
      <c r="HF47" s="849"/>
      <c r="HG47" s="849"/>
      <c r="HH47" s="849"/>
      <c r="HI47" s="849"/>
      <c r="HJ47" s="849"/>
      <c r="HK47" s="849"/>
      <c r="HL47" s="849"/>
      <c r="HM47" s="849"/>
      <c r="HN47" s="849"/>
      <c r="HO47" s="1574"/>
      <c r="HP47" s="935"/>
      <c r="HQ47" s="935"/>
      <c r="HR47" s="935"/>
      <c r="HS47" s="1926"/>
      <c r="HT47" s="2289"/>
      <c r="HU47" s="1735"/>
      <c r="HV47" s="1735"/>
      <c r="HW47" s="1735"/>
      <c r="HX47" s="1735"/>
    </row>
    <row r="48" spans="1:232" s="276" customFormat="1" ht="19.5" hidden="1" customHeight="1" thickBot="1">
      <c r="A48" s="275"/>
      <c r="C48" s="322"/>
      <c r="D48" s="483"/>
      <c r="E48" s="463"/>
      <c r="F48" s="463"/>
      <c r="G48" s="463"/>
      <c r="H48" s="463"/>
      <c r="I48" s="463"/>
      <c r="J48" s="463"/>
      <c r="K48" s="463"/>
      <c r="L48" s="463"/>
      <c r="M48" s="463"/>
      <c r="N48" s="463"/>
      <c r="O48" s="484"/>
      <c r="P48" s="479"/>
      <c r="Q48" s="479"/>
      <c r="R48" s="479"/>
      <c r="S48" s="479"/>
      <c r="T48" s="479"/>
      <c r="U48" s="479"/>
      <c r="V48" s="479"/>
      <c r="W48" s="479"/>
      <c r="X48" s="479"/>
      <c r="Y48" s="479"/>
      <c r="Z48" s="479"/>
      <c r="AA48" s="485"/>
      <c r="AB48" s="479"/>
      <c r="AC48" s="479"/>
      <c r="AD48" s="479"/>
      <c r="AE48" s="479"/>
      <c r="AF48" s="479"/>
      <c r="AG48" s="479"/>
      <c r="AH48" s="479"/>
      <c r="AI48" s="479"/>
      <c r="AJ48" s="479"/>
      <c r="AK48" s="479"/>
      <c r="AL48" s="479"/>
      <c r="AM48" s="479"/>
      <c r="AN48" s="479"/>
      <c r="AO48" s="479"/>
      <c r="AP48" s="479"/>
      <c r="AQ48" s="479"/>
      <c r="AR48" s="479"/>
      <c r="AS48" s="479"/>
      <c r="AT48" s="479"/>
      <c r="AU48" s="479"/>
      <c r="AV48" s="479"/>
      <c r="AW48" s="479"/>
      <c r="AX48" s="479"/>
      <c r="AY48" s="479"/>
      <c r="AZ48" s="463"/>
      <c r="BA48" s="463"/>
      <c r="BB48" s="463"/>
      <c r="BC48" s="463"/>
      <c r="BD48" s="463"/>
      <c r="BE48" s="463"/>
      <c r="BF48" s="463"/>
      <c r="BG48" s="463"/>
      <c r="BH48" s="463"/>
      <c r="BI48" s="463"/>
      <c r="BJ48" s="463"/>
      <c r="BK48" s="463"/>
      <c r="BL48" s="463"/>
      <c r="BM48" s="463"/>
      <c r="BN48" s="463"/>
      <c r="BO48" s="463"/>
      <c r="BP48" s="463"/>
      <c r="BQ48" s="463"/>
      <c r="BR48" s="463"/>
      <c r="BS48" s="463"/>
      <c r="BT48" s="463"/>
      <c r="BU48" s="463"/>
      <c r="BV48" s="463"/>
      <c r="BW48" s="463"/>
      <c r="BX48" s="463"/>
      <c r="BY48" s="463"/>
      <c r="BZ48" s="463"/>
      <c r="CA48" s="463"/>
      <c r="CB48" s="463"/>
      <c r="CC48" s="463"/>
      <c r="CD48" s="463"/>
      <c r="CE48" s="463"/>
      <c r="CF48" s="463"/>
      <c r="CG48" s="463"/>
      <c r="CH48" s="463"/>
      <c r="CI48" s="463"/>
      <c r="CJ48" s="463"/>
      <c r="CK48" s="463"/>
      <c r="CL48" s="463"/>
      <c r="CM48" s="463"/>
      <c r="CN48" s="463"/>
      <c r="CO48" s="463"/>
      <c r="CP48" s="463"/>
      <c r="CQ48" s="463"/>
      <c r="CR48" s="463"/>
      <c r="CS48" s="463"/>
      <c r="CT48" s="463"/>
      <c r="CU48" s="463"/>
      <c r="CV48" s="463"/>
      <c r="CW48" s="463"/>
      <c r="CX48" s="463"/>
      <c r="CY48" s="463"/>
      <c r="CZ48" s="463"/>
      <c r="DA48" s="463"/>
      <c r="DB48" s="463"/>
      <c r="DC48" s="463"/>
      <c r="DD48" s="463"/>
      <c r="DE48" s="463"/>
      <c r="DF48" s="463"/>
      <c r="DG48" s="463"/>
      <c r="DH48" s="34"/>
      <c r="DI48" s="34"/>
      <c r="DJ48" s="34"/>
      <c r="DK48" s="34"/>
      <c r="DL48" s="34"/>
      <c r="DM48" s="34"/>
      <c r="DN48" s="34"/>
      <c r="DO48" s="34"/>
      <c r="DP48" s="34"/>
      <c r="DQ48" s="34"/>
      <c r="DR48" s="34"/>
      <c r="DS48" s="34"/>
      <c r="DT48" s="34"/>
      <c r="DU48" s="34"/>
      <c r="DV48" s="34"/>
      <c r="DW48" s="34"/>
      <c r="DX48" s="34"/>
      <c r="DY48" s="34"/>
      <c r="DZ48" s="34"/>
      <c r="EA48" s="34"/>
      <c r="EB48" s="34"/>
      <c r="EC48" s="34"/>
      <c r="ED48" s="34"/>
      <c r="EE48" s="34"/>
      <c r="EF48" s="34"/>
      <c r="EG48" s="34"/>
      <c r="EH48" s="34"/>
      <c r="EI48" s="34"/>
      <c r="EJ48" s="34"/>
      <c r="EK48" s="34"/>
      <c r="EL48" s="34"/>
      <c r="EM48" s="34"/>
      <c r="EN48" s="34"/>
      <c r="EO48" s="34"/>
      <c r="EP48" s="34"/>
      <c r="EQ48" s="34"/>
      <c r="ER48" s="34"/>
      <c r="ES48" s="34"/>
      <c r="ET48" s="34"/>
      <c r="EU48" s="34"/>
      <c r="EV48" s="34"/>
      <c r="EW48" s="34"/>
      <c r="EX48" s="34"/>
      <c r="EY48" s="34"/>
      <c r="EZ48" s="34"/>
      <c r="FA48" s="34"/>
      <c r="FB48" s="34"/>
      <c r="FC48" s="34"/>
      <c r="FD48" s="2434"/>
      <c r="FE48" s="279"/>
      <c r="FF48" s="477"/>
      <c r="FG48" s="477"/>
      <c r="FH48" s="477"/>
      <c r="FI48" s="477"/>
      <c r="FJ48" s="477"/>
      <c r="FK48" s="477"/>
      <c r="FL48" s="477"/>
      <c r="FM48" s="477"/>
      <c r="FN48" s="463"/>
      <c r="FO48" s="463"/>
      <c r="FP48" s="463"/>
      <c r="FQ48" s="477"/>
      <c r="FR48" s="477"/>
      <c r="FS48" s="477"/>
      <c r="FT48" s="477"/>
      <c r="FU48" s="477"/>
      <c r="FV48" s="463"/>
      <c r="FW48" s="463"/>
      <c r="FX48" s="463"/>
      <c r="FY48" s="463"/>
      <c r="FZ48" s="279"/>
      <c r="GA48" s="279"/>
      <c r="GB48" s="279"/>
      <c r="GC48" s="279"/>
      <c r="GD48" s="279"/>
      <c r="GE48" s="279"/>
      <c r="GF48" s="279"/>
      <c r="GG48" s="279"/>
      <c r="GH48" s="279"/>
      <c r="GI48" s="279"/>
      <c r="GJ48" s="279"/>
      <c r="GK48" s="279"/>
      <c r="GL48" s="279"/>
      <c r="GM48" s="279"/>
      <c r="GN48" s="279"/>
      <c r="GO48" s="1546"/>
      <c r="GP48" s="1546"/>
      <c r="GQ48" s="1546"/>
      <c r="GR48" s="1546"/>
      <c r="GS48" s="1547"/>
      <c r="GT48" s="1547"/>
      <c r="GU48" s="1479"/>
      <c r="GV48" s="279"/>
      <c r="GW48" s="279"/>
      <c r="GX48" s="279"/>
      <c r="GY48" s="279"/>
      <c r="GZ48" s="279"/>
      <c r="HA48" s="279"/>
      <c r="HB48" s="279"/>
      <c r="HC48" s="279"/>
      <c r="HD48" s="279"/>
      <c r="HE48" s="844"/>
      <c r="HF48" s="844"/>
      <c r="HG48" s="844"/>
      <c r="HH48" s="844"/>
      <c r="HI48" s="844"/>
      <c r="HJ48" s="844"/>
      <c r="HK48" s="844"/>
      <c r="HL48" s="844"/>
      <c r="HM48" s="844"/>
      <c r="HN48" s="844"/>
      <c r="HO48" s="1575"/>
      <c r="HP48" s="298"/>
      <c r="HQ48" s="298"/>
      <c r="HR48" s="298"/>
      <c r="HS48" s="467"/>
      <c r="HT48" s="2287"/>
      <c r="HU48" s="1735"/>
      <c r="HV48" s="1735"/>
      <c r="HW48" s="1735"/>
      <c r="HX48" s="1735"/>
    </row>
    <row r="49" spans="1:237" s="530" customFormat="1" ht="31.5">
      <c r="A49" s="529"/>
      <c r="C49" s="2351" t="s">
        <v>225</v>
      </c>
      <c r="D49" s="3852">
        <v>2007</v>
      </c>
      <c r="E49" s="3853"/>
      <c r="F49" s="3853"/>
      <c r="G49" s="3853"/>
      <c r="H49" s="3853"/>
      <c r="I49" s="3853"/>
      <c r="J49" s="3853"/>
      <c r="K49" s="3853"/>
      <c r="L49" s="3853"/>
      <c r="M49" s="3853"/>
      <c r="N49" s="3853"/>
      <c r="O49" s="3854"/>
      <c r="P49" s="3855">
        <v>2008</v>
      </c>
      <c r="Q49" s="3856"/>
      <c r="R49" s="3856"/>
      <c r="S49" s="3856"/>
      <c r="T49" s="3856"/>
      <c r="U49" s="3856"/>
      <c r="V49" s="3856"/>
      <c r="W49" s="3856"/>
      <c r="X49" s="3856"/>
      <c r="Y49" s="3856"/>
      <c r="Z49" s="3856"/>
      <c r="AA49" s="3857"/>
      <c r="AB49" s="3858">
        <v>2009</v>
      </c>
      <c r="AC49" s="3859"/>
      <c r="AD49" s="3859"/>
      <c r="AE49" s="3859"/>
      <c r="AF49" s="3859"/>
      <c r="AG49" s="3859"/>
      <c r="AH49" s="3859"/>
      <c r="AI49" s="3859"/>
      <c r="AJ49" s="3859"/>
      <c r="AK49" s="3859"/>
      <c r="AL49" s="3859"/>
      <c r="AM49" s="3860"/>
      <c r="AN49" s="3804">
        <v>2010</v>
      </c>
      <c r="AO49" s="3805"/>
      <c r="AP49" s="3805"/>
      <c r="AQ49" s="3805"/>
      <c r="AR49" s="3805"/>
      <c r="AS49" s="3805"/>
      <c r="AT49" s="3805"/>
      <c r="AU49" s="3805"/>
      <c r="AV49" s="3805"/>
      <c r="AW49" s="3805"/>
      <c r="AX49" s="3805"/>
      <c r="AY49" s="3806"/>
      <c r="AZ49" s="3807">
        <v>2011</v>
      </c>
      <c r="BA49" s="3808"/>
      <c r="BB49" s="3808"/>
      <c r="BC49" s="3808"/>
      <c r="BD49" s="3808"/>
      <c r="BE49" s="3808"/>
      <c r="BF49" s="3808"/>
      <c r="BG49" s="3808"/>
      <c r="BH49" s="3808"/>
      <c r="BI49" s="3808"/>
      <c r="BJ49" s="3808"/>
      <c r="BK49" s="3809"/>
      <c r="BL49" s="3810">
        <v>2012</v>
      </c>
      <c r="BM49" s="3811"/>
      <c r="BN49" s="3811"/>
      <c r="BO49" s="3811"/>
      <c r="BP49" s="3811"/>
      <c r="BQ49" s="3811"/>
      <c r="BR49" s="3811"/>
      <c r="BS49" s="3811"/>
      <c r="BT49" s="3811"/>
      <c r="BU49" s="3811"/>
      <c r="BV49" s="3811"/>
      <c r="BW49" s="3812"/>
      <c r="BX49" s="3813">
        <v>2013</v>
      </c>
      <c r="BY49" s="3808"/>
      <c r="BZ49" s="3808"/>
      <c r="CA49" s="3808"/>
      <c r="CB49" s="3808"/>
      <c r="CC49" s="3808"/>
      <c r="CD49" s="3808"/>
      <c r="CE49" s="3808"/>
      <c r="CF49" s="3808"/>
      <c r="CG49" s="3808"/>
      <c r="CH49" s="3808"/>
      <c r="CI49" s="3814"/>
      <c r="CJ49" s="3818">
        <v>2014</v>
      </c>
      <c r="CK49" s="3819"/>
      <c r="CL49" s="3819"/>
      <c r="CM49" s="3819"/>
      <c r="CN49" s="3819"/>
      <c r="CO49" s="3819"/>
      <c r="CP49" s="3819"/>
      <c r="CQ49" s="3819"/>
      <c r="CR49" s="3819"/>
      <c r="CS49" s="3819"/>
      <c r="CT49" s="3819"/>
      <c r="CU49" s="3820"/>
      <c r="CV49" s="3821">
        <v>2015</v>
      </c>
      <c r="CW49" s="3822"/>
      <c r="CX49" s="3822"/>
      <c r="CY49" s="3822"/>
      <c r="CZ49" s="3822"/>
      <c r="DA49" s="3822"/>
      <c r="DB49" s="3822"/>
      <c r="DC49" s="3822"/>
      <c r="DD49" s="3822"/>
      <c r="DE49" s="3822"/>
      <c r="DF49" s="3822"/>
      <c r="DG49" s="3823"/>
      <c r="DH49" s="3847">
        <v>2016</v>
      </c>
      <c r="DI49" s="3848"/>
      <c r="DJ49" s="3848"/>
      <c r="DK49" s="3848"/>
      <c r="DL49" s="3848"/>
      <c r="DM49" s="3848"/>
      <c r="DN49" s="3848"/>
      <c r="DO49" s="3848"/>
      <c r="DP49" s="3848"/>
      <c r="DQ49" s="3848"/>
      <c r="DR49" s="3848"/>
      <c r="DS49" s="3849"/>
      <c r="DT49" s="3882">
        <v>2017</v>
      </c>
      <c r="DU49" s="3883"/>
      <c r="DV49" s="3883"/>
      <c r="DW49" s="3883"/>
      <c r="DX49" s="3883"/>
      <c r="DY49" s="3883"/>
      <c r="DZ49" s="3883"/>
      <c r="EA49" s="3883"/>
      <c r="EB49" s="3883"/>
      <c r="EC49" s="3883"/>
      <c r="ED49" s="3883"/>
      <c r="EE49" s="3884"/>
      <c r="EF49" s="3885">
        <v>2018</v>
      </c>
      <c r="EG49" s="3886"/>
      <c r="EH49" s="3886"/>
      <c r="EI49" s="3886"/>
      <c r="EJ49" s="3886"/>
      <c r="EK49" s="3886"/>
      <c r="EL49" s="3886"/>
      <c r="EM49" s="3886"/>
      <c r="EN49" s="3886"/>
      <c r="EO49" s="3886"/>
      <c r="EP49" s="3886"/>
      <c r="EQ49" s="3886"/>
      <c r="ER49" s="2447">
        <v>2019</v>
      </c>
      <c r="ES49" s="2448"/>
      <c r="ET49" s="2448"/>
      <c r="EU49" s="2448"/>
      <c r="EV49" s="2448"/>
      <c r="EW49" s="2448"/>
      <c r="EX49" s="2448"/>
      <c r="EY49" s="2448"/>
      <c r="EZ49" s="2448"/>
      <c r="FA49" s="2448"/>
      <c r="FB49" s="2448"/>
      <c r="FC49" s="2449"/>
      <c r="FD49" s="2280"/>
      <c r="FE49" s="3824">
        <v>2007</v>
      </c>
      <c r="FF49" s="3825"/>
      <c r="FG49" s="3825"/>
      <c r="FH49" s="3826"/>
      <c r="FI49" s="3827">
        <v>2008</v>
      </c>
      <c r="FJ49" s="3828"/>
      <c r="FK49" s="3828"/>
      <c r="FL49" s="3829"/>
      <c r="FM49" s="3830">
        <v>2009</v>
      </c>
      <c r="FN49" s="3831"/>
      <c r="FO49" s="3831"/>
      <c r="FP49" s="3832"/>
      <c r="FQ49" s="3815">
        <v>2010</v>
      </c>
      <c r="FR49" s="3816"/>
      <c r="FS49" s="3816"/>
      <c r="FT49" s="3817"/>
      <c r="FU49" s="3834">
        <v>2011</v>
      </c>
      <c r="FV49" s="3835"/>
      <c r="FW49" s="3835"/>
      <c r="FX49" s="3836"/>
      <c r="FY49" s="3837">
        <v>2012</v>
      </c>
      <c r="FZ49" s="3838"/>
      <c r="GA49" s="3838"/>
      <c r="GB49" s="3838"/>
      <c r="GC49" s="3839">
        <v>2013</v>
      </c>
      <c r="GD49" s="3839"/>
      <c r="GE49" s="3839"/>
      <c r="GF49" s="3839"/>
      <c r="GG49" s="3840">
        <v>2014</v>
      </c>
      <c r="GH49" s="3840"/>
      <c r="GI49" s="3840"/>
      <c r="GJ49" s="3840"/>
      <c r="GK49" s="3841">
        <v>2015</v>
      </c>
      <c r="GL49" s="3841"/>
      <c r="GM49" s="3841"/>
      <c r="GN49" s="3841"/>
      <c r="GO49" s="3915">
        <v>2016</v>
      </c>
      <c r="GP49" s="3915"/>
      <c r="GQ49" s="3915"/>
      <c r="GR49" s="3915"/>
      <c r="GS49" s="3916">
        <v>2017</v>
      </c>
      <c r="GT49" s="3916"/>
      <c r="GU49" s="3916"/>
      <c r="GV49" s="3916"/>
      <c r="GW49" s="3907">
        <v>2018</v>
      </c>
      <c r="GX49" s="3908"/>
      <c r="GY49" s="3908"/>
      <c r="GZ49" s="3908"/>
      <c r="HA49" s="3845">
        <v>2019</v>
      </c>
      <c r="HB49" s="3846"/>
      <c r="HC49" s="3846"/>
      <c r="HD49" s="3846"/>
      <c r="HE49" s="2352"/>
      <c r="HF49" s="2353">
        <v>2007</v>
      </c>
      <c r="HG49" s="2354">
        <v>2008</v>
      </c>
      <c r="HH49" s="2354">
        <v>2009</v>
      </c>
      <c r="HI49" s="2354">
        <v>2010</v>
      </c>
      <c r="HJ49" s="2354">
        <v>2011</v>
      </c>
      <c r="HK49" s="2354">
        <v>2012</v>
      </c>
      <c r="HL49" s="2354">
        <v>2013</v>
      </c>
      <c r="HM49" s="2354">
        <v>2014</v>
      </c>
      <c r="HN49" s="2354">
        <v>2015</v>
      </c>
      <c r="HO49" s="2354">
        <v>2016</v>
      </c>
      <c r="HP49" s="2354">
        <v>2017</v>
      </c>
      <c r="HQ49" s="2354">
        <v>2018</v>
      </c>
      <c r="HR49" s="2425">
        <v>2019</v>
      </c>
      <c r="HS49" s="2355" t="s">
        <v>1145</v>
      </c>
      <c r="HT49" s="3842" t="s">
        <v>1118</v>
      </c>
      <c r="HU49" s="3833" t="s">
        <v>1021</v>
      </c>
      <c r="HV49" s="3802" t="s">
        <v>742</v>
      </c>
      <c r="HW49" s="3802" t="s">
        <v>1149</v>
      </c>
      <c r="HX49" s="3906" t="s">
        <v>1150</v>
      </c>
      <c r="HY49" s="2356"/>
      <c r="HZ49" s="3803" t="s">
        <v>759</v>
      </c>
      <c r="IA49" s="3801" t="s">
        <v>1123</v>
      </c>
      <c r="IB49" s="3801" t="s">
        <v>1146</v>
      </c>
      <c r="IC49" s="3905" t="s">
        <v>1147</v>
      </c>
    </row>
    <row r="50" spans="1:237" s="530" customFormat="1" ht="4.5" customHeight="1">
      <c r="A50" s="529"/>
      <c r="C50" s="2357"/>
      <c r="D50" s="2358"/>
      <c r="E50" s="2359"/>
      <c r="F50" s="2359"/>
      <c r="G50" s="2359"/>
      <c r="H50" s="2359"/>
      <c r="I50" s="2359"/>
      <c r="J50" s="2359"/>
      <c r="K50" s="2359"/>
      <c r="L50" s="2359"/>
      <c r="M50" s="2359"/>
      <c r="N50" s="2359"/>
      <c r="O50" s="2360"/>
      <c r="P50" s="2358"/>
      <c r="Q50" s="2359"/>
      <c r="R50" s="2359"/>
      <c r="S50" s="2359"/>
      <c r="T50" s="2359"/>
      <c r="U50" s="2359"/>
      <c r="V50" s="2359"/>
      <c r="W50" s="2359"/>
      <c r="X50" s="2359"/>
      <c r="Y50" s="2359"/>
      <c r="Z50" s="2359"/>
      <c r="AA50" s="2360"/>
      <c r="AB50" s="2358"/>
      <c r="AC50" s="2359"/>
      <c r="AD50" s="2359"/>
      <c r="AE50" s="2359"/>
      <c r="AF50" s="2359"/>
      <c r="AG50" s="2359"/>
      <c r="AH50" s="2359"/>
      <c r="AI50" s="2359"/>
      <c r="AJ50" s="2359"/>
      <c r="AK50" s="2359"/>
      <c r="AL50" s="2359"/>
      <c r="AM50" s="2360"/>
      <c r="AN50" s="2358"/>
      <c r="AO50" s="2359"/>
      <c r="AP50" s="2359"/>
      <c r="AQ50" s="2359"/>
      <c r="AR50" s="2359"/>
      <c r="AS50" s="2359"/>
      <c r="AT50" s="2359"/>
      <c r="AU50" s="2359"/>
      <c r="AV50" s="2359"/>
      <c r="AW50" s="2359"/>
      <c r="AX50" s="2359"/>
      <c r="AY50" s="2360"/>
      <c r="AZ50" s="2359"/>
      <c r="BA50" s="2359"/>
      <c r="BB50" s="2359"/>
      <c r="BC50" s="2359"/>
      <c r="BD50" s="2359"/>
      <c r="BE50" s="2359"/>
      <c r="BF50" s="2359"/>
      <c r="BG50" s="2359"/>
      <c r="BH50" s="2359"/>
      <c r="BI50" s="2359"/>
      <c r="BJ50" s="2359"/>
      <c r="BK50" s="2361"/>
      <c r="BL50" s="2362"/>
      <c r="BM50" s="2331"/>
      <c r="BN50" s="2331"/>
      <c r="BO50" s="2331"/>
      <c r="BP50" s="2331"/>
      <c r="BQ50" s="2331"/>
      <c r="BR50" s="2331"/>
      <c r="BS50" s="2331"/>
      <c r="BT50" s="2331"/>
      <c r="BU50" s="2331"/>
      <c r="BV50" s="2331"/>
      <c r="BW50" s="2363"/>
      <c r="BX50" s="2362"/>
      <c r="BY50" s="2331"/>
      <c r="BZ50" s="2331"/>
      <c r="CA50" s="2331"/>
      <c r="CB50" s="2331"/>
      <c r="CC50" s="2331"/>
      <c r="CD50" s="2331"/>
      <c r="CE50" s="2331"/>
      <c r="CF50" s="2331"/>
      <c r="CG50" s="2331"/>
      <c r="CH50" s="2331"/>
      <c r="CI50" s="2331"/>
      <c r="CJ50" s="2364"/>
      <c r="CK50" s="2365"/>
      <c r="CL50" s="2365"/>
      <c r="CM50" s="2365"/>
      <c r="CN50" s="2365"/>
      <c r="CO50" s="2365"/>
      <c r="CP50" s="2365"/>
      <c r="CQ50" s="2365"/>
      <c r="CR50" s="2365"/>
      <c r="CS50" s="2365"/>
      <c r="CT50" s="2365"/>
      <c r="CU50" s="2366"/>
      <c r="CV50" s="2367"/>
      <c r="CW50" s="2368"/>
      <c r="CX50" s="2368"/>
      <c r="CY50" s="2368"/>
      <c r="CZ50" s="2368"/>
      <c r="DA50" s="2368"/>
      <c r="DB50" s="2368"/>
      <c r="DC50" s="2368"/>
      <c r="DD50" s="2368"/>
      <c r="DE50" s="2368"/>
      <c r="DF50" s="2368"/>
      <c r="DG50" s="2369"/>
      <c r="DH50" s="2370"/>
      <c r="DI50" s="2371"/>
      <c r="DJ50" s="2371"/>
      <c r="DK50" s="2371"/>
      <c r="DL50" s="2371"/>
      <c r="DM50" s="2371"/>
      <c r="DN50" s="2371"/>
      <c r="DO50" s="2371"/>
      <c r="DP50" s="2371"/>
      <c r="DQ50" s="2371"/>
      <c r="DR50" s="2371"/>
      <c r="DS50" s="2372"/>
      <c r="DT50" s="2373"/>
      <c r="DU50" s="2374"/>
      <c r="DV50" s="2374"/>
      <c r="DW50" s="2374"/>
      <c r="DX50" s="2374"/>
      <c r="DY50" s="2374"/>
      <c r="DZ50" s="2374"/>
      <c r="EA50" s="2374"/>
      <c r="EB50" s="2374"/>
      <c r="EC50" s="2374"/>
      <c r="ED50" s="2374"/>
      <c r="EE50" s="2374"/>
      <c r="EF50" s="2279"/>
      <c r="EG50" s="2280"/>
      <c r="EH50" s="2280"/>
      <c r="EI50" s="2280"/>
      <c r="EJ50" s="2280"/>
      <c r="EK50" s="2280"/>
      <c r="EL50" s="2280"/>
      <c r="EM50" s="2280"/>
      <c r="EN50" s="2280"/>
      <c r="EO50" s="2331"/>
      <c r="EP50" s="2280"/>
      <c r="EQ50" s="2280"/>
      <c r="ER50" s="2279"/>
      <c r="ES50" s="2280"/>
      <c r="ET50" s="2280"/>
      <c r="EU50" s="2280"/>
      <c r="EV50" s="2280"/>
      <c r="EW50" s="2280"/>
      <c r="EX50" s="2280"/>
      <c r="EY50" s="2280"/>
      <c r="EZ50" s="2280"/>
      <c r="FA50" s="2280"/>
      <c r="FB50" s="2280"/>
      <c r="FC50" s="2344"/>
      <c r="FD50" s="2280"/>
      <c r="FE50" s="2375"/>
      <c r="FF50" s="2375"/>
      <c r="FG50" s="2375"/>
      <c r="FH50" s="2375"/>
      <c r="FI50" s="2376"/>
      <c r="FJ50" s="2376"/>
      <c r="FK50" s="2376"/>
      <c r="FL50" s="2376"/>
      <c r="FM50" s="2376"/>
      <c r="FN50" s="2376"/>
      <c r="FO50" s="2376"/>
      <c r="FP50" s="2376"/>
      <c r="FQ50" s="2376"/>
      <c r="FR50" s="2376"/>
      <c r="FS50" s="2376"/>
      <c r="FT50" s="2376"/>
      <c r="FU50" s="2377"/>
      <c r="FV50" s="2377"/>
      <c r="FW50" s="2377"/>
      <c r="FX50" s="2377"/>
      <c r="FY50" s="2378"/>
      <c r="FZ50" s="2378"/>
      <c r="GA50" s="2378"/>
      <c r="GB50" s="2378"/>
      <c r="GC50" s="2379"/>
      <c r="GD50" s="2379"/>
      <c r="GE50" s="2379"/>
      <c r="GF50" s="2379"/>
      <c r="GG50" s="2380"/>
      <c r="GH50" s="2380"/>
      <c r="GI50" s="2380"/>
      <c r="GJ50" s="2380"/>
      <c r="GK50" s="2381"/>
      <c r="GL50" s="2381"/>
      <c r="GM50" s="2381"/>
      <c r="GN50" s="2381"/>
      <c r="GO50" s="2382"/>
      <c r="GP50" s="2382"/>
      <c r="GQ50" s="2382"/>
      <c r="GR50" s="2382"/>
      <c r="GS50" s="2383"/>
      <c r="GT50" s="2383"/>
      <c r="GU50" s="2383"/>
      <c r="GV50" s="2383"/>
      <c r="GW50" s="2384"/>
      <c r="GX50" s="2379"/>
      <c r="GY50" s="2379"/>
      <c r="GZ50" s="2379"/>
      <c r="HA50" s="2384"/>
      <c r="HB50" s="2379"/>
      <c r="HC50" s="2379"/>
      <c r="HD50" s="2379"/>
      <c r="HE50" s="2385"/>
      <c r="HF50" s="2386"/>
      <c r="HG50" s="2376"/>
      <c r="HH50" s="2376"/>
      <c r="HI50" s="2376"/>
      <c r="HJ50" s="2376"/>
      <c r="HK50" s="2376"/>
      <c r="HL50" s="2376"/>
      <c r="HM50" s="2376"/>
      <c r="HN50" s="2376"/>
      <c r="HO50" s="2376"/>
      <c r="HP50" s="2376"/>
      <c r="HQ50" s="2376"/>
      <c r="HR50" s="2426"/>
      <c r="HS50" s="2387"/>
      <c r="HT50" s="3843"/>
      <c r="HU50" s="3833"/>
      <c r="HV50" s="3802"/>
      <c r="HW50" s="3802"/>
      <c r="HX50" s="3906"/>
      <c r="HY50" s="2356"/>
      <c r="HZ50" s="3803"/>
      <c r="IA50" s="3801"/>
      <c r="IB50" s="3801"/>
      <c r="IC50" s="3905"/>
    </row>
    <row r="51" spans="1:237" s="530" customFormat="1" ht="26.25" thickBot="1">
      <c r="A51" s="529"/>
      <c r="C51" s="531" t="s">
        <v>226</v>
      </c>
      <c r="D51" s="2388" t="s">
        <v>37</v>
      </c>
      <c r="E51" s="2389" t="s">
        <v>38</v>
      </c>
      <c r="F51" s="2389" t="s">
        <v>39</v>
      </c>
      <c r="G51" s="2389" t="s">
        <v>40</v>
      </c>
      <c r="H51" s="2389" t="s">
        <v>41</v>
      </c>
      <c r="I51" s="2389" t="s">
        <v>42</v>
      </c>
      <c r="J51" s="2389" t="s">
        <v>43</v>
      </c>
      <c r="K51" s="2389" t="s">
        <v>44</v>
      </c>
      <c r="L51" s="2389" t="s">
        <v>45</v>
      </c>
      <c r="M51" s="2389" t="s">
        <v>46</v>
      </c>
      <c r="N51" s="2389" t="s">
        <v>47</v>
      </c>
      <c r="O51" s="2390" t="s">
        <v>48</v>
      </c>
      <c r="P51" s="2391" t="s">
        <v>37</v>
      </c>
      <c r="Q51" s="2392" t="s">
        <v>38</v>
      </c>
      <c r="R51" s="2392" t="s">
        <v>39</v>
      </c>
      <c r="S51" s="2392" t="s">
        <v>40</v>
      </c>
      <c r="T51" s="2392" t="s">
        <v>41</v>
      </c>
      <c r="U51" s="2392" t="s">
        <v>42</v>
      </c>
      <c r="V51" s="2392" t="s">
        <v>43</v>
      </c>
      <c r="W51" s="2392" t="s">
        <v>44</v>
      </c>
      <c r="X51" s="2392" t="s">
        <v>45</v>
      </c>
      <c r="Y51" s="2392" t="s">
        <v>46</v>
      </c>
      <c r="Z51" s="2392" t="s">
        <v>47</v>
      </c>
      <c r="AA51" s="2393" t="s">
        <v>48</v>
      </c>
      <c r="AB51" s="2394" t="s">
        <v>37</v>
      </c>
      <c r="AC51" s="2395" t="s">
        <v>38</v>
      </c>
      <c r="AD51" s="2395" t="s">
        <v>39</v>
      </c>
      <c r="AE51" s="2395" t="s">
        <v>40</v>
      </c>
      <c r="AF51" s="2395" t="s">
        <v>41</v>
      </c>
      <c r="AG51" s="2395" t="s">
        <v>42</v>
      </c>
      <c r="AH51" s="2395" t="s">
        <v>43</v>
      </c>
      <c r="AI51" s="2395" t="s">
        <v>44</v>
      </c>
      <c r="AJ51" s="2395" t="s">
        <v>45</v>
      </c>
      <c r="AK51" s="2395" t="s">
        <v>46</v>
      </c>
      <c r="AL51" s="2395" t="s">
        <v>47</v>
      </c>
      <c r="AM51" s="2396" t="s">
        <v>48</v>
      </c>
      <c r="AN51" s="2394" t="s">
        <v>37</v>
      </c>
      <c r="AO51" s="2395" t="s">
        <v>38</v>
      </c>
      <c r="AP51" s="2395" t="s">
        <v>39</v>
      </c>
      <c r="AQ51" s="2395" t="s">
        <v>40</v>
      </c>
      <c r="AR51" s="2395" t="s">
        <v>41</v>
      </c>
      <c r="AS51" s="2395" t="s">
        <v>42</v>
      </c>
      <c r="AT51" s="2395" t="s">
        <v>43</v>
      </c>
      <c r="AU51" s="2395" t="s">
        <v>44</v>
      </c>
      <c r="AV51" s="2395" t="s">
        <v>45</v>
      </c>
      <c r="AW51" s="2395" t="s">
        <v>46</v>
      </c>
      <c r="AX51" s="2395" t="s">
        <v>47</v>
      </c>
      <c r="AY51" s="2396" t="s">
        <v>48</v>
      </c>
      <c r="AZ51" s="2282" t="s">
        <v>37</v>
      </c>
      <c r="BA51" s="2282" t="s">
        <v>38</v>
      </c>
      <c r="BB51" s="2282" t="s">
        <v>39</v>
      </c>
      <c r="BC51" s="2282" t="s">
        <v>40</v>
      </c>
      <c r="BD51" s="2282" t="s">
        <v>41</v>
      </c>
      <c r="BE51" s="2282" t="s">
        <v>42</v>
      </c>
      <c r="BF51" s="2282" t="s">
        <v>43</v>
      </c>
      <c r="BG51" s="2282" t="s">
        <v>44</v>
      </c>
      <c r="BH51" s="2282" t="s">
        <v>45</v>
      </c>
      <c r="BI51" s="2282" t="s">
        <v>46</v>
      </c>
      <c r="BJ51" s="2282" t="s">
        <v>47</v>
      </c>
      <c r="BK51" s="2397" t="s">
        <v>48</v>
      </c>
      <c r="BL51" s="2398" t="s">
        <v>37</v>
      </c>
      <c r="BM51" s="2399" t="s">
        <v>38</v>
      </c>
      <c r="BN51" s="2399" t="s">
        <v>39</v>
      </c>
      <c r="BO51" s="2399" t="s">
        <v>40</v>
      </c>
      <c r="BP51" s="2399" t="s">
        <v>41</v>
      </c>
      <c r="BQ51" s="2399" t="s">
        <v>42</v>
      </c>
      <c r="BR51" s="2399" t="s">
        <v>43</v>
      </c>
      <c r="BS51" s="2399" t="s">
        <v>44</v>
      </c>
      <c r="BT51" s="2400" t="s">
        <v>45</v>
      </c>
      <c r="BU51" s="2400" t="s">
        <v>46</v>
      </c>
      <c r="BV51" s="2400" t="s">
        <v>47</v>
      </c>
      <c r="BW51" s="2401" t="s">
        <v>48</v>
      </c>
      <c r="BX51" s="2402" t="s">
        <v>37</v>
      </c>
      <c r="BY51" s="2282" t="s">
        <v>38</v>
      </c>
      <c r="BZ51" s="2282" t="s">
        <v>39</v>
      </c>
      <c r="CA51" s="2282" t="s">
        <v>40</v>
      </c>
      <c r="CB51" s="2282" t="s">
        <v>41</v>
      </c>
      <c r="CC51" s="2282" t="s">
        <v>42</v>
      </c>
      <c r="CD51" s="2282" t="s">
        <v>43</v>
      </c>
      <c r="CE51" s="2282" t="s">
        <v>44</v>
      </c>
      <c r="CF51" s="2282" t="s">
        <v>45</v>
      </c>
      <c r="CG51" s="2282" t="s">
        <v>46</v>
      </c>
      <c r="CH51" s="2282" t="s">
        <v>47</v>
      </c>
      <c r="CI51" s="2282" t="s">
        <v>48</v>
      </c>
      <c r="CJ51" s="2394" t="s">
        <v>37</v>
      </c>
      <c r="CK51" s="2395" t="s">
        <v>38</v>
      </c>
      <c r="CL51" s="2395" t="s">
        <v>39</v>
      </c>
      <c r="CM51" s="2395" t="s">
        <v>40</v>
      </c>
      <c r="CN51" s="2395" t="s">
        <v>41</v>
      </c>
      <c r="CO51" s="2395" t="s">
        <v>42</v>
      </c>
      <c r="CP51" s="2395" t="s">
        <v>43</v>
      </c>
      <c r="CQ51" s="2395" t="s">
        <v>44</v>
      </c>
      <c r="CR51" s="2395" t="s">
        <v>45</v>
      </c>
      <c r="CS51" s="2395" t="s">
        <v>46</v>
      </c>
      <c r="CT51" s="2395" t="s">
        <v>47</v>
      </c>
      <c r="CU51" s="2396" t="s">
        <v>48</v>
      </c>
      <c r="CV51" s="2403" t="s">
        <v>37</v>
      </c>
      <c r="CW51" s="2282" t="s">
        <v>38</v>
      </c>
      <c r="CX51" s="2282" t="s">
        <v>39</v>
      </c>
      <c r="CY51" s="2282" t="s">
        <v>40</v>
      </c>
      <c r="CZ51" s="2282" t="s">
        <v>41</v>
      </c>
      <c r="DA51" s="2282" t="s">
        <v>42</v>
      </c>
      <c r="DB51" s="2282" t="s">
        <v>43</v>
      </c>
      <c r="DC51" s="2282" t="s">
        <v>44</v>
      </c>
      <c r="DD51" s="2282" t="s">
        <v>45</v>
      </c>
      <c r="DE51" s="2282" t="s">
        <v>46</v>
      </c>
      <c r="DF51" s="2282">
        <f>+DF8</f>
        <v>0</v>
      </c>
      <c r="DG51" s="2404" t="s">
        <v>48</v>
      </c>
      <c r="DH51" s="2403" t="s">
        <v>37</v>
      </c>
      <c r="DI51" s="2282" t="s">
        <v>38</v>
      </c>
      <c r="DJ51" s="2282" t="s">
        <v>39</v>
      </c>
      <c r="DK51" s="2282" t="s">
        <v>40</v>
      </c>
      <c r="DL51" s="2282" t="s">
        <v>41</v>
      </c>
      <c r="DM51" s="2282" t="s">
        <v>42</v>
      </c>
      <c r="DN51" s="2282" t="s">
        <v>43</v>
      </c>
      <c r="DO51" s="2282" t="s">
        <v>44</v>
      </c>
      <c r="DP51" s="2282" t="s">
        <v>202</v>
      </c>
      <c r="DQ51" s="2282" t="s">
        <v>46</v>
      </c>
      <c r="DR51" s="2282" t="s">
        <v>47</v>
      </c>
      <c r="DS51" s="2404" t="s">
        <v>48</v>
      </c>
      <c r="DT51" s="2403" t="s">
        <v>37</v>
      </c>
      <c r="DU51" s="2282" t="s">
        <v>38</v>
      </c>
      <c r="DV51" s="2282" t="s">
        <v>39</v>
      </c>
      <c r="DW51" s="2282" t="s">
        <v>40</v>
      </c>
      <c r="DX51" s="2282" t="s">
        <v>41</v>
      </c>
      <c r="DY51" s="2282" t="s">
        <v>42</v>
      </c>
      <c r="DZ51" s="2282" t="s">
        <v>43</v>
      </c>
      <c r="EA51" s="2282" t="s">
        <v>44</v>
      </c>
      <c r="EB51" s="2282" t="s">
        <v>202</v>
      </c>
      <c r="EC51" s="2282" t="s">
        <v>46</v>
      </c>
      <c r="ED51" s="2282" t="s">
        <v>47</v>
      </c>
      <c r="EE51" s="2282" t="s">
        <v>48</v>
      </c>
      <c r="EF51" s="2281" t="s">
        <v>37</v>
      </c>
      <c r="EG51" s="2282" t="s">
        <v>38</v>
      </c>
      <c r="EH51" s="2282" t="s">
        <v>39</v>
      </c>
      <c r="EI51" s="2282" t="s">
        <v>40</v>
      </c>
      <c r="EJ51" s="2282" t="s">
        <v>41</v>
      </c>
      <c r="EK51" s="2282" t="s">
        <v>42</v>
      </c>
      <c r="EL51" s="2282" t="s">
        <v>43</v>
      </c>
      <c r="EM51" s="2282" t="s">
        <v>44</v>
      </c>
      <c r="EN51" s="2282" t="s">
        <v>202</v>
      </c>
      <c r="EO51" s="2332" t="s">
        <v>46</v>
      </c>
      <c r="EP51" s="2332" t="s">
        <v>47</v>
      </c>
      <c r="EQ51" s="2282" t="s">
        <v>48</v>
      </c>
      <c r="ER51" s="2281" t="s">
        <v>37</v>
      </c>
      <c r="ES51" s="2282" t="s">
        <v>38</v>
      </c>
      <c r="ET51" s="2282" t="s">
        <v>39</v>
      </c>
      <c r="EU51" s="2282" t="s">
        <v>40</v>
      </c>
      <c r="EV51" s="2282" t="s">
        <v>41</v>
      </c>
      <c r="EW51" s="2282" t="s">
        <v>42</v>
      </c>
      <c r="EX51" s="2282" t="s">
        <v>43</v>
      </c>
      <c r="EY51" s="2282" t="s">
        <v>44</v>
      </c>
      <c r="EZ51" s="2282" t="s">
        <v>202</v>
      </c>
      <c r="FA51" s="2282" t="s">
        <v>46</v>
      </c>
      <c r="FB51" s="2332" t="s">
        <v>47</v>
      </c>
      <c r="FC51" s="2442" t="s">
        <v>48</v>
      </c>
      <c r="FD51" s="2282"/>
      <c r="FE51" s="2405" t="s">
        <v>186</v>
      </c>
      <c r="FF51" s="2406" t="s">
        <v>554</v>
      </c>
      <c r="FG51" s="2406" t="s">
        <v>555</v>
      </c>
      <c r="FH51" s="2407" t="s">
        <v>556</v>
      </c>
      <c r="FI51" s="2405" t="s">
        <v>186</v>
      </c>
      <c r="FJ51" s="2406" t="s">
        <v>554</v>
      </c>
      <c r="FK51" s="2406" t="s">
        <v>555</v>
      </c>
      <c r="FL51" s="2407" t="s">
        <v>556</v>
      </c>
      <c r="FM51" s="2408" t="s">
        <v>186</v>
      </c>
      <c r="FN51" s="2409" t="s">
        <v>554</v>
      </c>
      <c r="FO51" s="2409" t="s">
        <v>557</v>
      </c>
      <c r="FP51" s="2409" t="s">
        <v>558</v>
      </c>
      <c r="FQ51" s="2410" t="s">
        <v>186</v>
      </c>
      <c r="FR51" s="2411" t="s">
        <v>559</v>
      </c>
      <c r="FS51" s="2411" t="s">
        <v>560</v>
      </c>
      <c r="FT51" s="2412" t="s">
        <v>556</v>
      </c>
      <c r="FU51" s="2413" t="s">
        <v>186</v>
      </c>
      <c r="FV51" s="2414" t="s">
        <v>554</v>
      </c>
      <c r="FW51" s="2414" t="s">
        <v>557</v>
      </c>
      <c r="FX51" s="2415" t="s">
        <v>558</v>
      </c>
      <c r="FY51" s="2416" t="s">
        <v>186</v>
      </c>
      <c r="FZ51" s="2416" t="s">
        <v>554</v>
      </c>
      <c r="GA51" s="2416" t="s">
        <v>557</v>
      </c>
      <c r="GB51" s="2416" t="s">
        <v>558</v>
      </c>
      <c r="GC51" s="2416" t="s">
        <v>186</v>
      </c>
      <c r="GD51" s="2416" t="s">
        <v>554</v>
      </c>
      <c r="GE51" s="2416" t="s">
        <v>557</v>
      </c>
      <c r="GF51" s="2416" t="s">
        <v>558</v>
      </c>
      <c r="GG51" s="2416" t="s">
        <v>186</v>
      </c>
      <c r="GH51" s="2416" t="s">
        <v>554</v>
      </c>
      <c r="GI51" s="2416" t="s">
        <v>557</v>
      </c>
      <c r="GJ51" s="2416" t="s">
        <v>558</v>
      </c>
      <c r="GK51" s="2416" t="s">
        <v>186</v>
      </c>
      <c r="GL51" s="2416" t="s">
        <v>187</v>
      </c>
      <c r="GM51" s="2416" t="s">
        <v>557</v>
      </c>
      <c r="GN51" s="2416" t="s">
        <v>558</v>
      </c>
      <c r="GO51" s="2417" t="s">
        <v>186</v>
      </c>
      <c r="GP51" s="2417" t="s">
        <v>554</v>
      </c>
      <c r="GQ51" s="2416" t="s">
        <v>557</v>
      </c>
      <c r="GR51" s="2416" t="s">
        <v>558</v>
      </c>
      <c r="GS51" s="2416" t="s">
        <v>186</v>
      </c>
      <c r="GT51" s="2416" t="s">
        <v>554</v>
      </c>
      <c r="GU51" s="2416" t="s">
        <v>557</v>
      </c>
      <c r="GV51" s="2416" t="s">
        <v>558</v>
      </c>
      <c r="GW51" s="2418" t="s">
        <v>186</v>
      </c>
      <c r="GX51" s="2416" t="s">
        <v>554</v>
      </c>
      <c r="GY51" s="2416" t="s">
        <v>557</v>
      </c>
      <c r="GZ51" s="2416" t="s">
        <v>558</v>
      </c>
      <c r="HA51" s="2418" t="s">
        <v>186</v>
      </c>
      <c r="HB51" s="2416" t="s">
        <v>554</v>
      </c>
      <c r="HC51" s="2416" t="s">
        <v>557</v>
      </c>
      <c r="HD51" s="2416" t="s">
        <v>558</v>
      </c>
      <c r="HE51" s="2352"/>
      <c r="HF51" s="2419" t="s">
        <v>49</v>
      </c>
      <c r="HG51" s="2419" t="s">
        <v>49</v>
      </c>
      <c r="HH51" s="2419" t="s">
        <v>49</v>
      </c>
      <c r="HI51" s="2419" t="s">
        <v>49</v>
      </c>
      <c r="HJ51" s="2419" t="s">
        <v>49</v>
      </c>
      <c r="HK51" s="2419" t="s">
        <v>49</v>
      </c>
      <c r="HL51" s="2419" t="s">
        <v>49</v>
      </c>
      <c r="HM51" s="2419" t="s">
        <v>49</v>
      </c>
      <c r="HN51" s="2419" t="s">
        <v>49</v>
      </c>
      <c r="HO51" s="2419" t="s">
        <v>49</v>
      </c>
      <c r="HP51" s="2419" t="s">
        <v>49</v>
      </c>
      <c r="HQ51" s="2419" t="s">
        <v>49</v>
      </c>
      <c r="HR51" s="2427" t="s">
        <v>1148</v>
      </c>
      <c r="HS51" s="2420" t="s">
        <v>1411</v>
      </c>
      <c r="HT51" s="3844"/>
      <c r="HU51" s="3833"/>
      <c r="HV51" s="3802"/>
      <c r="HW51" s="3802"/>
      <c r="HX51" s="3906"/>
      <c r="HY51" s="2356"/>
      <c r="HZ51" s="3803"/>
      <c r="IA51" s="3801"/>
      <c r="IB51" s="3801"/>
      <c r="IC51" s="3905"/>
    </row>
    <row r="52" spans="1:237" s="341" customFormat="1" ht="21.95" customHeight="1">
      <c r="A52" s="544"/>
      <c r="B52" s="543"/>
      <c r="C52" s="545" t="s">
        <v>9</v>
      </c>
      <c r="D52" s="1684">
        <v>4125</v>
      </c>
      <c r="E52" s="1685">
        <v>5109</v>
      </c>
      <c r="F52" s="1685">
        <v>3995</v>
      </c>
      <c r="G52" s="1685">
        <v>3559</v>
      </c>
      <c r="H52" s="1685">
        <v>4084</v>
      </c>
      <c r="I52" s="1685">
        <v>7256</v>
      </c>
      <c r="J52" s="1685">
        <v>7516</v>
      </c>
      <c r="K52" s="1685">
        <v>5818</v>
      </c>
      <c r="L52" s="1685">
        <v>4173</v>
      </c>
      <c r="M52" s="1685">
        <v>3257</v>
      </c>
      <c r="N52" s="1685">
        <v>4570</v>
      </c>
      <c r="O52" s="1686">
        <v>5712</v>
      </c>
      <c r="P52" s="1687">
        <v>3653</v>
      </c>
      <c r="Q52" s="1688">
        <v>4175</v>
      </c>
      <c r="R52" s="1688">
        <v>2857</v>
      </c>
      <c r="S52" s="1688">
        <v>1942</v>
      </c>
      <c r="T52" s="1688">
        <v>2424</v>
      </c>
      <c r="U52" s="1688">
        <v>3478</v>
      </c>
      <c r="V52" s="1688">
        <v>2812</v>
      </c>
      <c r="W52" s="1688">
        <v>2074</v>
      </c>
      <c r="X52" s="1688">
        <v>1182</v>
      </c>
      <c r="Y52" s="1688">
        <v>1427</v>
      </c>
      <c r="Z52" s="1688">
        <v>1712</v>
      </c>
      <c r="AA52" s="1689">
        <v>2004</v>
      </c>
      <c r="AB52" s="1690">
        <v>1619</v>
      </c>
      <c r="AC52" s="1691">
        <v>2092</v>
      </c>
      <c r="AD52" s="1691">
        <v>1575</v>
      </c>
      <c r="AE52" s="1691">
        <v>1177</v>
      </c>
      <c r="AF52" s="1691">
        <v>2236.5</v>
      </c>
      <c r="AG52" s="1691">
        <v>3296</v>
      </c>
      <c r="AH52" s="1691">
        <v>3158</v>
      </c>
      <c r="AI52" s="1691">
        <v>4901</v>
      </c>
      <c r="AJ52" s="1691">
        <v>3664</v>
      </c>
      <c r="AK52" s="1691">
        <v>3532</v>
      </c>
      <c r="AL52" s="1691">
        <v>4094</v>
      </c>
      <c r="AM52" s="1692">
        <v>5688</v>
      </c>
      <c r="AN52" s="1693">
        <v>4126</v>
      </c>
      <c r="AO52" s="1694">
        <v>4096</v>
      </c>
      <c r="AP52" s="1694">
        <v>3069</v>
      </c>
      <c r="AQ52" s="1694">
        <v>2441</v>
      </c>
      <c r="AR52" s="1694">
        <v>3614</v>
      </c>
      <c r="AS52" s="1694">
        <v>4973</v>
      </c>
      <c r="AT52" s="1694">
        <v>4295</v>
      </c>
      <c r="AU52" s="1694">
        <v>3922</v>
      </c>
      <c r="AV52" s="1694">
        <v>3884</v>
      </c>
      <c r="AW52" s="1694">
        <v>4361</v>
      </c>
      <c r="AX52" s="1694">
        <v>3757</v>
      </c>
      <c r="AY52" s="1695">
        <v>4309</v>
      </c>
      <c r="AZ52" s="1696">
        <v>3744</v>
      </c>
      <c r="BA52" s="1696">
        <v>3244</v>
      </c>
      <c r="BB52" s="1696">
        <v>3052</v>
      </c>
      <c r="BC52" s="1696">
        <v>2818</v>
      </c>
      <c r="BD52" s="1696">
        <v>2629</v>
      </c>
      <c r="BE52" s="1696">
        <v>4974</v>
      </c>
      <c r="BF52" s="1696">
        <v>3543</v>
      </c>
      <c r="BG52" s="1696">
        <v>3098</v>
      </c>
      <c r="BH52" s="1696">
        <v>2495</v>
      </c>
      <c r="BI52" s="1696">
        <v>2223</v>
      </c>
      <c r="BJ52" s="1696">
        <v>2836</v>
      </c>
      <c r="BK52" s="1697">
        <v>3329</v>
      </c>
      <c r="BL52" s="1698">
        <v>5325</v>
      </c>
      <c r="BM52" s="1699">
        <v>3242</v>
      </c>
      <c r="BN52" s="1699">
        <v>2313</v>
      </c>
      <c r="BO52" s="1699">
        <v>1550</v>
      </c>
      <c r="BP52" s="1699">
        <v>1783</v>
      </c>
      <c r="BQ52" s="1699">
        <v>2956</v>
      </c>
      <c r="BR52" s="1699">
        <v>2188</v>
      </c>
      <c r="BS52" s="1699">
        <v>1977</v>
      </c>
      <c r="BT52" s="1700">
        <v>1675</v>
      </c>
      <c r="BU52" s="1700">
        <v>1300</v>
      </c>
      <c r="BV52" s="1700">
        <v>2993</v>
      </c>
      <c r="BW52" s="1701">
        <v>5640</v>
      </c>
      <c r="BX52" s="1702">
        <v>3618</v>
      </c>
      <c r="BY52" s="1511">
        <v>3340</v>
      </c>
      <c r="BZ52" s="1511">
        <v>2667</v>
      </c>
      <c r="CA52" s="1511">
        <v>2436</v>
      </c>
      <c r="CB52" s="1511">
        <v>3369</v>
      </c>
      <c r="CC52" s="1511">
        <v>5607</v>
      </c>
      <c r="CD52" s="1511">
        <v>3901</v>
      </c>
      <c r="CE52" s="1511">
        <v>3792</v>
      </c>
      <c r="CF52" s="1511">
        <v>3812</v>
      </c>
      <c r="CG52" s="1511">
        <v>3101</v>
      </c>
      <c r="CH52" s="1511">
        <v>3939</v>
      </c>
      <c r="CI52" s="1513">
        <v>7349</v>
      </c>
      <c r="CJ52" s="1703">
        <v>3947</v>
      </c>
      <c r="CK52" s="1704">
        <v>4481</v>
      </c>
      <c r="CL52" s="1704">
        <v>3791</v>
      </c>
      <c r="CM52" s="1704">
        <v>3116</v>
      </c>
      <c r="CN52" s="1704">
        <v>3597</v>
      </c>
      <c r="CO52" s="1704">
        <v>3912</v>
      </c>
      <c r="CP52" s="1704">
        <v>5548</v>
      </c>
      <c r="CQ52" s="1704">
        <v>3826</v>
      </c>
      <c r="CR52" s="1704">
        <v>3484</v>
      </c>
      <c r="CS52" s="1704">
        <v>4113</v>
      </c>
      <c r="CT52" s="1704">
        <v>4509</v>
      </c>
      <c r="CU52" s="1705">
        <v>9532</v>
      </c>
      <c r="CV52" s="1703">
        <v>4858</v>
      </c>
      <c r="CW52" s="1704">
        <v>5146</v>
      </c>
      <c r="CX52" s="1510">
        <v>4036</v>
      </c>
      <c r="CY52" s="1510">
        <v>3546</v>
      </c>
      <c r="CZ52" s="1510">
        <v>4120</v>
      </c>
      <c r="DA52" s="1510">
        <v>7490</v>
      </c>
      <c r="DB52" s="1510">
        <v>7418</v>
      </c>
      <c r="DC52" s="1510">
        <v>4723</v>
      </c>
      <c r="DD52" s="1510">
        <v>4463</v>
      </c>
      <c r="DE52" s="1510">
        <v>4758</v>
      </c>
      <c r="DF52" s="1510">
        <v>5286</v>
      </c>
      <c r="DG52" s="1705">
        <v>11022</v>
      </c>
      <c r="DH52" s="1706">
        <v>5764</v>
      </c>
      <c r="DI52" s="1707">
        <v>5469</v>
      </c>
      <c r="DJ52" s="1707">
        <v>4902</v>
      </c>
      <c r="DK52" s="1708">
        <v>3816</v>
      </c>
      <c r="DL52" s="1708">
        <v>4385</v>
      </c>
      <c r="DM52" s="1708">
        <v>7671</v>
      </c>
      <c r="DN52" s="1708">
        <v>7438</v>
      </c>
      <c r="DO52" s="1708">
        <v>5209</v>
      </c>
      <c r="DP52" s="1708">
        <v>5845</v>
      </c>
      <c r="DQ52" s="1708">
        <v>7124</v>
      </c>
      <c r="DR52" s="1708">
        <v>8072</v>
      </c>
      <c r="DS52" s="1709">
        <v>18166</v>
      </c>
      <c r="DT52" s="1683">
        <v>8337</v>
      </c>
      <c r="DU52" s="1502">
        <v>9615</v>
      </c>
      <c r="DV52" s="1502">
        <v>8824</v>
      </c>
      <c r="DW52" s="1487">
        <v>8982</v>
      </c>
      <c r="DX52" s="1487">
        <v>8939</v>
      </c>
      <c r="DY52" s="1487">
        <v>14373</v>
      </c>
      <c r="DZ52" s="1487">
        <v>14826</v>
      </c>
      <c r="EA52" s="1487">
        <v>10995</v>
      </c>
      <c r="EB52" s="1487">
        <v>9420</v>
      </c>
      <c r="EC52" s="1487">
        <v>9665</v>
      </c>
      <c r="ED52" s="1487">
        <v>10353</v>
      </c>
      <c r="EE52" s="1486">
        <v>22807</v>
      </c>
      <c r="EF52" s="1927">
        <v>10292</v>
      </c>
      <c r="EG52" s="34">
        <v>11655</v>
      </c>
      <c r="EH52" s="34">
        <v>10438</v>
      </c>
      <c r="EI52" s="34">
        <v>8633</v>
      </c>
      <c r="EJ52" s="34">
        <v>10488</v>
      </c>
      <c r="EK52" s="34">
        <v>15641</v>
      </c>
      <c r="EL52" s="34">
        <v>15616</v>
      </c>
      <c r="EM52" s="2345">
        <v>12823</v>
      </c>
      <c r="EN52" s="2345">
        <v>10573</v>
      </c>
      <c r="EO52" s="2346">
        <v>10536</v>
      </c>
      <c r="EP52" s="2346">
        <v>11647</v>
      </c>
      <c r="EQ52" s="2347">
        <v>23383</v>
      </c>
      <c r="ER52" s="3100">
        <v>10824</v>
      </c>
      <c r="ES52" s="3101"/>
      <c r="ET52" s="3101"/>
      <c r="EU52" s="3101"/>
      <c r="EV52" s="3101"/>
      <c r="EW52" s="3101"/>
      <c r="EX52" s="3101"/>
      <c r="EY52" s="3101"/>
      <c r="EZ52" s="3101"/>
      <c r="FA52" s="3101"/>
      <c r="FB52" s="3101"/>
      <c r="FC52" s="3102"/>
      <c r="FD52" s="2437"/>
      <c r="FE52" s="1710">
        <v>13229</v>
      </c>
      <c r="FF52" s="1711">
        <v>14899</v>
      </c>
      <c r="FG52" s="1711">
        <v>17507</v>
      </c>
      <c r="FH52" s="1712">
        <v>13539</v>
      </c>
      <c r="FI52" s="1713">
        <v>10685</v>
      </c>
      <c r="FJ52" s="1714">
        <v>7844</v>
      </c>
      <c r="FK52" s="1714">
        <v>6068</v>
      </c>
      <c r="FL52" s="1715">
        <v>5143</v>
      </c>
      <c r="FM52" s="1716">
        <v>5286</v>
      </c>
      <c r="FN52" s="1717">
        <v>6709.5</v>
      </c>
      <c r="FO52" s="1718">
        <v>11723</v>
      </c>
      <c r="FP52" s="1718">
        <v>13314</v>
      </c>
      <c r="FQ52" s="1719">
        <v>11291</v>
      </c>
      <c r="FR52" s="1720">
        <v>11028</v>
      </c>
      <c r="FS52" s="1720">
        <v>12101</v>
      </c>
      <c r="FT52" s="1721">
        <v>12427</v>
      </c>
      <c r="FU52" s="1722">
        <v>10040</v>
      </c>
      <c r="FV52" s="1723">
        <v>10421</v>
      </c>
      <c r="FW52" s="1723">
        <v>9136</v>
      </c>
      <c r="FX52" s="1724">
        <v>8388</v>
      </c>
      <c r="FY52" s="1720">
        <v>10880</v>
      </c>
      <c r="FZ52" s="1720">
        <v>6289</v>
      </c>
      <c r="GA52" s="1720">
        <v>5840</v>
      </c>
      <c r="GB52" s="1720">
        <v>9933</v>
      </c>
      <c r="GC52" s="1725">
        <v>9625</v>
      </c>
      <c r="GD52" s="1725">
        <v>11412</v>
      </c>
      <c r="GE52" s="1725">
        <v>11505</v>
      </c>
      <c r="GF52" s="1725">
        <v>14389</v>
      </c>
      <c r="GG52" s="1726">
        <v>12219</v>
      </c>
      <c r="GH52" s="1726">
        <v>10625</v>
      </c>
      <c r="GI52" s="1726">
        <f t="shared" ref="GI52:GI82" si="17">+CP52+CQ52+CR52</f>
        <v>12858</v>
      </c>
      <c r="GJ52" s="1726">
        <v>18154</v>
      </c>
      <c r="GK52" s="1727">
        <v>14040</v>
      </c>
      <c r="GL52" s="1727">
        <f t="shared" ref="GL52:GL82" si="18">+CY52+CZ52+DA52</f>
        <v>15156</v>
      </c>
      <c r="GM52" s="1727">
        <f t="shared" ref="GM52:GM82" si="19">+DB52+DC52+DD52</f>
        <v>16604</v>
      </c>
      <c r="GN52" s="1726">
        <f t="shared" ref="GN52:GN82" si="20">+DE52+DF52+DG52</f>
        <v>21066</v>
      </c>
      <c r="GO52" s="1541">
        <f t="shared" ref="GO52:GO82" si="21">+DH52+DI52+DJ52</f>
        <v>16135</v>
      </c>
      <c r="GP52" s="1541">
        <f t="shared" ref="GP52:GP82" si="22">+DM52+DL52+DK52</f>
        <v>15872</v>
      </c>
      <c r="GQ52" s="1541">
        <f t="shared" ref="GQ52:GQ82" si="23">+DS52+DO52+DN52</f>
        <v>30813</v>
      </c>
      <c r="GR52" s="1541">
        <f t="shared" ref="GR52:GR82" si="24">+DQ52+DR52+DS52</f>
        <v>33362</v>
      </c>
      <c r="GS52" s="1728">
        <f t="shared" ref="GS52:GS82" si="25">+DT52+DU52+DV52</f>
        <v>26776</v>
      </c>
      <c r="GT52" s="1728">
        <f t="shared" ref="GT52:GT82" si="26">+DW52+DX52+DY52</f>
        <v>32294</v>
      </c>
      <c r="GU52" s="1728">
        <f t="shared" ref="GU52:GU82" si="27">+DZ52+EA52+EB52</f>
        <v>35241</v>
      </c>
      <c r="GV52" s="1728">
        <f t="shared" ref="GV52:GV82" si="28">+EC52+ED52+EE52</f>
        <v>42825</v>
      </c>
      <c r="GW52" s="1939">
        <f t="shared" ref="GW52:GW82" si="29">EF52+EG52+EH52</f>
        <v>32385</v>
      </c>
      <c r="GX52" s="1725">
        <f t="shared" ref="GX52:GX82" si="30">EI52+EJ52+EK52</f>
        <v>34762</v>
      </c>
      <c r="GY52" s="1725">
        <f t="shared" ref="GY52:GY82" si="31">EL52+EM52+EN52</f>
        <v>39012</v>
      </c>
      <c r="GZ52" s="1725">
        <f t="shared" ref="GZ52:GZ82" si="32">EO52+EP52+EQ52</f>
        <v>45566</v>
      </c>
      <c r="HA52" s="2443">
        <f t="shared" ref="HA52:HA82" si="33">ER52+ES52+ET52</f>
        <v>10824</v>
      </c>
      <c r="HB52" s="2444">
        <f t="shared" ref="HB52:HB82" si="34">EU52+EV52+EW52</f>
        <v>0</v>
      </c>
      <c r="HC52" s="2444">
        <f t="shared" ref="HC52:HC82" si="35">EX52+EY52+EZ52</f>
        <v>0</v>
      </c>
      <c r="HD52" s="2444">
        <f t="shared" ref="HD52:HD82" si="36">FA52+FB52+FC52</f>
        <v>0</v>
      </c>
      <c r="HE52" s="1940"/>
      <c r="HF52" s="1729">
        <v>59174</v>
      </c>
      <c r="HG52" s="1730">
        <v>29740</v>
      </c>
      <c r="HH52" s="1730">
        <v>37032.5</v>
      </c>
      <c r="HI52" s="1730">
        <v>46847</v>
      </c>
      <c r="HJ52" s="1730">
        <v>37985</v>
      </c>
      <c r="HK52" s="1730">
        <v>32942</v>
      </c>
      <c r="HL52" s="2421">
        <v>46931</v>
      </c>
      <c r="HM52" s="2423">
        <v>53856</v>
      </c>
      <c r="HN52" s="2423">
        <f t="shared" ref="HN52:HN82" si="37">SUM(CV52:DG52)</f>
        <v>66866</v>
      </c>
      <c r="HO52" s="2423">
        <f t="shared" ref="HO52:HO82" si="38">SUM(DH52:DS52)</f>
        <v>83861</v>
      </c>
      <c r="HP52" s="2423">
        <f t="shared" ref="HP52:HP82" si="39">SUM(DT52:EE52)</f>
        <v>137136</v>
      </c>
      <c r="HQ52" s="2423">
        <f t="shared" ref="HQ52:HQ82" si="40">SUM(EF52:EQ52)</f>
        <v>151725</v>
      </c>
      <c r="HR52" s="2452">
        <f t="shared" ref="HR52:HR82" si="41">SUM(ER52:ES52)</f>
        <v>10824</v>
      </c>
      <c r="HS52" s="2453">
        <f>SUM(EG52:ER52)</f>
        <v>152257</v>
      </c>
      <c r="HT52" s="2455">
        <f t="shared" ref="HT52:HT82" si="42">AVERAGE(HM52,HN52,HO52,HP52,HQ52,HS52)</f>
        <v>107616.83333333333</v>
      </c>
      <c r="HU52" s="1737">
        <f t="shared" ref="HU52:HU82" si="43">HO52/$HO$84</f>
        <v>0.13361619818171969</v>
      </c>
      <c r="HV52" s="1737">
        <f t="shared" ref="HV52:HV82" si="44">HP52/$HP$84</f>
        <v>0.21003138157018122</v>
      </c>
      <c r="HW52" s="1737">
        <f>HQ52/$HS$84</f>
        <v>0.2191098126825915</v>
      </c>
      <c r="HX52" s="2458">
        <f>HT52/$HS$84</f>
        <v>0.15541212188604603</v>
      </c>
      <c r="HY52" s="1734"/>
      <c r="HZ52" s="2302">
        <f t="shared" ref="HZ52:HZ82" si="45">HP52/HO52-1</f>
        <v>0.63527742335531423</v>
      </c>
      <c r="IA52" s="2300">
        <f t="shared" ref="IA52:IA82" si="46">HT52/HO52-1</f>
        <v>0.28327629450320568</v>
      </c>
      <c r="IB52" s="2300">
        <f t="shared" ref="IB52:IB82" si="47">HQ52/HP52-1</f>
        <v>0.10638344417220869</v>
      </c>
      <c r="IC52" s="2302">
        <f t="shared" ref="IC52:IC82" si="48">HS52/HQ52-1</f>
        <v>3.5063437139561948E-3</v>
      </c>
    </row>
    <row r="53" spans="1:237" s="341" customFormat="1" ht="21.95" customHeight="1">
      <c r="A53" s="544"/>
      <c r="B53" s="543"/>
      <c r="C53" s="545" t="s">
        <v>5</v>
      </c>
      <c r="D53" s="1684">
        <v>7760</v>
      </c>
      <c r="E53" s="1685">
        <v>7608</v>
      </c>
      <c r="F53" s="1685">
        <v>9828</v>
      </c>
      <c r="G53" s="1685">
        <v>7137</v>
      </c>
      <c r="H53" s="1685">
        <v>8490</v>
      </c>
      <c r="I53" s="1685">
        <v>14706</v>
      </c>
      <c r="J53" s="1685">
        <v>16146</v>
      </c>
      <c r="K53" s="1685">
        <v>12359</v>
      </c>
      <c r="L53" s="1685">
        <v>6638</v>
      </c>
      <c r="M53" s="1685">
        <v>7413</v>
      </c>
      <c r="N53" s="1685">
        <v>8563</v>
      </c>
      <c r="O53" s="1686">
        <v>11317</v>
      </c>
      <c r="P53" s="1687">
        <v>10075</v>
      </c>
      <c r="Q53" s="1688">
        <v>13044</v>
      </c>
      <c r="R53" s="1688">
        <v>11621</v>
      </c>
      <c r="S53" s="1688">
        <v>8418</v>
      </c>
      <c r="T53" s="1688">
        <v>11294</v>
      </c>
      <c r="U53" s="1688">
        <v>18034</v>
      </c>
      <c r="V53" s="1688">
        <v>16699</v>
      </c>
      <c r="W53" s="1688">
        <v>12325</v>
      </c>
      <c r="X53" s="1688">
        <v>7659</v>
      </c>
      <c r="Y53" s="1688">
        <v>7702</v>
      </c>
      <c r="Z53" s="1688">
        <v>8570</v>
      </c>
      <c r="AA53" s="1689">
        <v>11704</v>
      </c>
      <c r="AB53" s="1690">
        <v>9962</v>
      </c>
      <c r="AC53" s="1691">
        <v>9139</v>
      </c>
      <c r="AD53" s="1691">
        <v>10302</v>
      </c>
      <c r="AE53" s="1691">
        <v>8924</v>
      </c>
      <c r="AF53" s="1691">
        <v>12993</v>
      </c>
      <c r="AG53" s="1691">
        <v>17062</v>
      </c>
      <c r="AH53" s="1691">
        <v>16655</v>
      </c>
      <c r="AI53" s="1691">
        <v>11416</v>
      </c>
      <c r="AJ53" s="1691">
        <v>6635</v>
      </c>
      <c r="AK53" s="1691">
        <v>7211</v>
      </c>
      <c r="AL53" s="1691">
        <v>7598</v>
      </c>
      <c r="AM53" s="1692">
        <v>11858</v>
      </c>
      <c r="AN53" s="1693">
        <v>9232</v>
      </c>
      <c r="AO53" s="1694">
        <v>8487</v>
      </c>
      <c r="AP53" s="1694">
        <v>10219</v>
      </c>
      <c r="AQ53" s="1694">
        <v>7810</v>
      </c>
      <c r="AR53" s="1694">
        <v>10758</v>
      </c>
      <c r="AS53" s="1694">
        <v>15930</v>
      </c>
      <c r="AT53" s="1694">
        <v>15799</v>
      </c>
      <c r="AU53" s="1694">
        <v>10584</v>
      </c>
      <c r="AV53" s="1694">
        <v>6327</v>
      </c>
      <c r="AW53" s="1694">
        <v>7725</v>
      </c>
      <c r="AX53" s="1694">
        <v>7556</v>
      </c>
      <c r="AY53" s="1695">
        <v>11437</v>
      </c>
      <c r="AZ53" s="1680">
        <v>9093</v>
      </c>
      <c r="BA53" s="1680">
        <v>9118</v>
      </c>
      <c r="BB53" s="1680">
        <v>11492</v>
      </c>
      <c r="BC53" s="1680">
        <v>9029</v>
      </c>
      <c r="BD53" s="1680">
        <v>11497</v>
      </c>
      <c r="BE53" s="1680">
        <v>16581</v>
      </c>
      <c r="BF53" s="1680">
        <v>16087</v>
      </c>
      <c r="BG53" s="1680">
        <v>10842</v>
      </c>
      <c r="BH53" s="1680">
        <v>6954</v>
      </c>
      <c r="BI53" s="1680">
        <v>7874</v>
      </c>
      <c r="BJ53" s="1680">
        <v>8957</v>
      </c>
      <c r="BK53" s="1731">
        <v>12798</v>
      </c>
      <c r="BL53" s="1698">
        <v>9054</v>
      </c>
      <c r="BM53" s="1699">
        <v>8325</v>
      </c>
      <c r="BN53" s="1699">
        <v>11925</v>
      </c>
      <c r="BO53" s="1699">
        <v>9068</v>
      </c>
      <c r="BP53" s="1699">
        <v>11902</v>
      </c>
      <c r="BQ53" s="1699">
        <v>18638</v>
      </c>
      <c r="BR53" s="1699">
        <v>18162</v>
      </c>
      <c r="BS53" s="1699">
        <v>12296</v>
      </c>
      <c r="BT53" s="1700">
        <v>8393</v>
      </c>
      <c r="BU53" s="1700">
        <v>9607</v>
      </c>
      <c r="BV53" s="1700">
        <v>9130</v>
      </c>
      <c r="BW53" s="1701">
        <v>14125</v>
      </c>
      <c r="BX53" s="1702">
        <v>11222</v>
      </c>
      <c r="BY53" s="1511">
        <v>10182</v>
      </c>
      <c r="BZ53" s="1511">
        <v>12798</v>
      </c>
      <c r="CA53" s="1511">
        <v>8722</v>
      </c>
      <c r="CB53" s="1511">
        <v>11830</v>
      </c>
      <c r="CC53" s="1511">
        <v>18551</v>
      </c>
      <c r="CD53" s="1511">
        <v>17188</v>
      </c>
      <c r="CE53" s="1511">
        <v>11501</v>
      </c>
      <c r="CF53" s="1511">
        <v>8067</v>
      </c>
      <c r="CG53" s="1511">
        <v>9168</v>
      </c>
      <c r="CH53" s="1511">
        <v>8606</v>
      </c>
      <c r="CI53" s="1513">
        <v>13760</v>
      </c>
      <c r="CJ53" s="1703">
        <v>10287</v>
      </c>
      <c r="CK53" s="1704">
        <v>10836</v>
      </c>
      <c r="CL53" s="1704">
        <v>12287</v>
      </c>
      <c r="CM53" s="1704">
        <v>9534</v>
      </c>
      <c r="CN53" s="1704">
        <v>12241</v>
      </c>
      <c r="CO53" s="1704">
        <v>19418</v>
      </c>
      <c r="CP53" s="1704">
        <v>18361</v>
      </c>
      <c r="CQ53" s="1704">
        <v>11442</v>
      </c>
      <c r="CR53" s="1704">
        <v>7926</v>
      </c>
      <c r="CS53" s="1704">
        <v>9349</v>
      </c>
      <c r="CT53" s="1704">
        <v>9325</v>
      </c>
      <c r="CU53" s="1705">
        <v>16124</v>
      </c>
      <c r="CV53" s="1703">
        <v>13066</v>
      </c>
      <c r="CW53" s="1704">
        <v>11670</v>
      </c>
      <c r="CX53" s="1510">
        <v>13778</v>
      </c>
      <c r="CY53" s="1510">
        <v>10311</v>
      </c>
      <c r="CZ53" s="1510">
        <v>13333</v>
      </c>
      <c r="DA53" s="1510">
        <v>20663</v>
      </c>
      <c r="DB53" s="1510">
        <v>21177</v>
      </c>
      <c r="DC53" s="1510">
        <v>12790</v>
      </c>
      <c r="DD53" s="1510">
        <v>8295</v>
      </c>
      <c r="DE53" s="1510">
        <v>10454</v>
      </c>
      <c r="DF53" s="1510">
        <v>10526</v>
      </c>
      <c r="DG53" s="1705">
        <v>17781</v>
      </c>
      <c r="DH53" s="1706">
        <v>13010</v>
      </c>
      <c r="DI53" s="1707">
        <v>12991</v>
      </c>
      <c r="DJ53" s="1707">
        <v>16523</v>
      </c>
      <c r="DK53" s="1708">
        <v>11438</v>
      </c>
      <c r="DL53" s="1708">
        <v>14743</v>
      </c>
      <c r="DM53" s="1708">
        <v>22278</v>
      </c>
      <c r="DN53" s="1708">
        <v>20718</v>
      </c>
      <c r="DO53" s="1708">
        <v>12747</v>
      </c>
      <c r="DP53" s="1708">
        <v>7961</v>
      </c>
      <c r="DQ53" s="1708">
        <v>8608</v>
      </c>
      <c r="DR53" s="1708">
        <v>8458</v>
      </c>
      <c r="DS53" s="1709">
        <v>14249</v>
      </c>
      <c r="DT53" s="1683">
        <v>10839</v>
      </c>
      <c r="DU53" s="1502">
        <v>9438</v>
      </c>
      <c r="DV53" s="1502">
        <v>12542</v>
      </c>
      <c r="DW53" s="1487">
        <v>10543</v>
      </c>
      <c r="DX53" s="1487">
        <v>11258</v>
      </c>
      <c r="DY53" s="1487">
        <v>20272</v>
      </c>
      <c r="DZ53" s="1487">
        <v>17940</v>
      </c>
      <c r="EA53" s="1487">
        <v>10624</v>
      </c>
      <c r="EB53" s="1487">
        <v>7285</v>
      </c>
      <c r="EC53" s="1487">
        <v>7872</v>
      </c>
      <c r="ED53" s="1487">
        <v>8957</v>
      </c>
      <c r="EE53" s="1486">
        <v>14636</v>
      </c>
      <c r="EF53" s="1927">
        <v>11180</v>
      </c>
      <c r="EG53" s="34">
        <v>10692</v>
      </c>
      <c r="EH53" s="34">
        <v>15555</v>
      </c>
      <c r="EI53" s="34">
        <v>9707</v>
      </c>
      <c r="EJ53" s="34">
        <v>13514</v>
      </c>
      <c r="EK53" s="34">
        <v>21285</v>
      </c>
      <c r="EL53" s="34">
        <v>17119</v>
      </c>
      <c r="EM53" s="2345">
        <v>10772</v>
      </c>
      <c r="EN53" s="2345">
        <v>7523</v>
      </c>
      <c r="EO53" s="2346">
        <v>8091</v>
      </c>
      <c r="EP53" s="2346">
        <v>8887</v>
      </c>
      <c r="EQ53" s="2347">
        <v>14417</v>
      </c>
      <c r="ER53" s="3103">
        <v>11535</v>
      </c>
      <c r="ES53" s="3095"/>
      <c r="ET53" s="3095"/>
      <c r="EU53" s="3095"/>
      <c r="EV53" s="3095"/>
      <c r="EW53" s="3095"/>
      <c r="EX53" s="3095"/>
      <c r="EY53" s="3095"/>
      <c r="EZ53" s="3095"/>
      <c r="FA53" s="3095"/>
      <c r="FB53" s="3095"/>
      <c r="FC53" s="3104"/>
      <c r="FD53" s="2437"/>
      <c r="FE53" s="1710">
        <v>25196</v>
      </c>
      <c r="FF53" s="1711">
        <v>30333</v>
      </c>
      <c r="FG53" s="1711">
        <v>35143</v>
      </c>
      <c r="FH53" s="1712">
        <v>27293</v>
      </c>
      <c r="FI53" s="1713">
        <v>34740</v>
      </c>
      <c r="FJ53" s="1714">
        <v>37746</v>
      </c>
      <c r="FK53" s="1714">
        <v>36683</v>
      </c>
      <c r="FL53" s="1715">
        <v>27976</v>
      </c>
      <c r="FM53" s="1716">
        <v>29403</v>
      </c>
      <c r="FN53" s="1717">
        <v>38979</v>
      </c>
      <c r="FO53" s="1718">
        <v>34706</v>
      </c>
      <c r="FP53" s="1718">
        <v>26667</v>
      </c>
      <c r="FQ53" s="1719">
        <v>27938</v>
      </c>
      <c r="FR53" s="1720">
        <v>34498</v>
      </c>
      <c r="FS53" s="1720">
        <v>32710</v>
      </c>
      <c r="FT53" s="1721">
        <v>26718</v>
      </c>
      <c r="FU53" s="1722">
        <v>29703</v>
      </c>
      <c r="FV53" s="1723">
        <v>37107</v>
      </c>
      <c r="FW53" s="1723">
        <v>33883</v>
      </c>
      <c r="FX53" s="1724">
        <v>29629</v>
      </c>
      <c r="FY53" s="1720">
        <v>29304</v>
      </c>
      <c r="FZ53" s="1720">
        <v>39608</v>
      </c>
      <c r="GA53" s="1720">
        <v>38851</v>
      </c>
      <c r="GB53" s="1720">
        <v>32862</v>
      </c>
      <c r="GC53" s="1725">
        <v>34202</v>
      </c>
      <c r="GD53" s="1725">
        <v>39103</v>
      </c>
      <c r="GE53" s="1725">
        <v>36756</v>
      </c>
      <c r="GF53" s="1725">
        <v>31534</v>
      </c>
      <c r="GG53" s="1726">
        <v>33410</v>
      </c>
      <c r="GH53" s="1726">
        <v>41193</v>
      </c>
      <c r="GI53" s="1726">
        <f t="shared" si="17"/>
        <v>37729</v>
      </c>
      <c r="GJ53" s="1726">
        <v>34798</v>
      </c>
      <c r="GK53" s="1727">
        <v>38514</v>
      </c>
      <c r="GL53" s="1727">
        <f t="shared" si="18"/>
        <v>44307</v>
      </c>
      <c r="GM53" s="1727">
        <f t="shared" si="19"/>
        <v>42262</v>
      </c>
      <c r="GN53" s="1726">
        <f t="shared" si="20"/>
        <v>38761</v>
      </c>
      <c r="GO53" s="1541">
        <f t="shared" si="21"/>
        <v>42524</v>
      </c>
      <c r="GP53" s="1541">
        <f t="shared" si="22"/>
        <v>48459</v>
      </c>
      <c r="GQ53" s="1541">
        <f t="shared" si="23"/>
        <v>47714</v>
      </c>
      <c r="GR53" s="1541">
        <f t="shared" si="24"/>
        <v>31315</v>
      </c>
      <c r="GS53" s="1728">
        <f t="shared" si="25"/>
        <v>32819</v>
      </c>
      <c r="GT53" s="1728">
        <f t="shared" si="26"/>
        <v>42073</v>
      </c>
      <c r="GU53" s="1728">
        <f t="shared" si="27"/>
        <v>35849</v>
      </c>
      <c r="GV53" s="1728">
        <f t="shared" si="28"/>
        <v>31465</v>
      </c>
      <c r="GW53" s="1939">
        <f t="shared" si="29"/>
        <v>37427</v>
      </c>
      <c r="GX53" s="1725">
        <f t="shared" si="30"/>
        <v>44506</v>
      </c>
      <c r="GY53" s="1725">
        <f t="shared" si="31"/>
        <v>35414</v>
      </c>
      <c r="GZ53" s="1725">
        <f t="shared" si="32"/>
        <v>31395</v>
      </c>
      <c r="HA53" s="2443">
        <f t="shared" si="33"/>
        <v>11535</v>
      </c>
      <c r="HB53" s="2444">
        <f t="shared" si="34"/>
        <v>0</v>
      </c>
      <c r="HC53" s="2444">
        <f t="shared" si="35"/>
        <v>0</v>
      </c>
      <c r="HD53" s="2444">
        <f t="shared" si="36"/>
        <v>0</v>
      </c>
      <c r="HE53" s="1940"/>
      <c r="HF53" s="1729">
        <v>117965</v>
      </c>
      <c r="HG53" s="1730">
        <v>137145</v>
      </c>
      <c r="HH53" s="1730">
        <v>129755</v>
      </c>
      <c r="HI53" s="1730">
        <v>121864</v>
      </c>
      <c r="HJ53" s="1730">
        <v>130322</v>
      </c>
      <c r="HK53" s="1730">
        <v>140625</v>
      </c>
      <c r="HL53" s="2421">
        <v>141595</v>
      </c>
      <c r="HM53" s="2423">
        <v>147130</v>
      </c>
      <c r="HN53" s="2423">
        <f t="shared" si="37"/>
        <v>163844</v>
      </c>
      <c r="HO53" s="2423">
        <f t="shared" si="38"/>
        <v>163724</v>
      </c>
      <c r="HP53" s="2423">
        <f t="shared" si="39"/>
        <v>142206</v>
      </c>
      <c r="HQ53" s="2423">
        <f t="shared" si="40"/>
        <v>148742</v>
      </c>
      <c r="HR53" s="2452">
        <f t="shared" si="41"/>
        <v>11535</v>
      </c>
      <c r="HS53" s="2453">
        <f t="shared" ref="HS53:HS84" si="49">SUM(EG53:ER53)</f>
        <v>149097</v>
      </c>
      <c r="HT53" s="2455">
        <f t="shared" si="42"/>
        <v>152457.16666666666</v>
      </c>
      <c r="HU53" s="1737">
        <f t="shared" si="43"/>
        <v>0.26086236070526075</v>
      </c>
      <c r="HV53" s="1737">
        <f t="shared" si="44"/>
        <v>0.2177963674568982</v>
      </c>
      <c r="HW53" s="1737">
        <f>HQ53/$HQ$84</f>
        <v>0.21479237305268509</v>
      </c>
      <c r="HX53" s="2458">
        <f>HS53/$HS$84</f>
        <v>0.21531465309959694</v>
      </c>
      <c r="HY53" s="1734"/>
      <c r="HZ53" s="2302">
        <f t="shared" si="45"/>
        <v>-0.13142850162468545</v>
      </c>
      <c r="IA53" s="2300">
        <f t="shared" si="46"/>
        <v>-6.8816015570920208E-2</v>
      </c>
      <c r="IB53" s="2300">
        <f t="shared" si="47"/>
        <v>4.5961492482736288E-2</v>
      </c>
      <c r="IC53" s="2302">
        <f t="shared" si="48"/>
        <v>2.3866829812695389E-3</v>
      </c>
    </row>
    <row r="54" spans="1:237" s="341" customFormat="1" ht="21.95" customHeight="1">
      <c r="A54" s="544"/>
      <c r="B54" s="543"/>
      <c r="C54" s="545" t="s">
        <v>6</v>
      </c>
      <c r="D54" s="1684">
        <v>3612</v>
      </c>
      <c r="E54" s="1685">
        <v>3116</v>
      </c>
      <c r="F54" s="1685">
        <v>3978</v>
      </c>
      <c r="G54" s="1685">
        <v>3576</v>
      </c>
      <c r="H54" s="1685">
        <v>3473</v>
      </c>
      <c r="I54" s="1685">
        <v>4582</v>
      </c>
      <c r="J54" s="1685">
        <v>4498</v>
      </c>
      <c r="K54" s="1685">
        <v>4352</v>
      </c>
      <c r="L54" s="1685">
        <v>3527</v>
      </c>
      <c r="M54" s="1685">
        <v>4205</v>
      </c>
      <c r="N54" s="1685">
        <v>3971</v>
      </c>
      <c r="O54" s="1686">
        <v>4158</v>
      </c>
      <c r="P54" s="1687">
        <v>4338</v>
      </c>
      <c r="Q54" s="1688">
        <v>5058</v>
      </c>
      <c r="R54" s="1688">
        <v>3960</v>
      </c>
      <c r="S54" s="1688">
        <v>3703</v>
      </c>
      <c r="T54" s="1688">
        <v>3953</v>
      </c>
      <c r="U54" s="1688">
        <v>4572</v>
      </c>
      <c r="V54" s="1688">
        <v>4180</v>
      </c>
      <c r="W54" s="1688">
        <v>4336</v>
      </c>
      <c r="X54" s="1688">
        <v>4204</v>
      </c>
      <c r="Y54" s="1688">
        <v>4674</v>
      </c>
      <c r="Z54" s="1688">
        <v>4854</v>
      </c>
      <c r="AA54" s="1689">
        <v>4274</v>
      </c>
      <c r="AB54" s="1690">
        <v>4073</v>
      </c>
      <c r="AC54" s="1691">
        <v>2886</v>
      </c>
      <c r="AD54" s="1691">
        <v>3369</v>
      </c>
      <c r="AE54" s="1691">
        <v>3480</v>
      </c>
      <c r="AF54" s="1691">
        <v>3860</v>
      </c>
      <c r="AG54" s="1691">
        <v>4240</v>
      </c>
      <c r="AH54" s="1691">
        <v>3540</v>
      </c>
      <c r="AI54" s="1691">
        <v>3377</v>
      </c>
      <c r="AJ54" s="1691">
        <v>3115</v>
      </c>
      <c r="AK54" s="1691">
        <v>3286</v>
      </c>
      <c r="AL54" s="1691">
        <v>3811</v>
      </c>
      <c r="AM54" s="1692">
        <v>4393</v>
      </c>
      <c r="AN54" s="1693">
        <v>4213</v>
      </c>
      <c r="AO54" s="1694">
        <v>5082</v>
      </c>
      <c r="AP54" s="1694">
        <v>4528</v>
      </c>
      <c r="AQ54" s="1694">
        <v>3869</v>
      </c>
      <c r="AR54" s="1694">
        <v>4155</v>
      </c>
      <c r="AS54" s="1694">
        <v>4580</v>
      </c>
      <c r="AT54" s="1694">
        <v>3726</v>
      </c>
      <c r="AU54" s="1694">
        <v>4284</v>
      </c>
      <c r="AV54" s="1694">
        <v>4206</v>
      </c>
      <c r="AW54" s="1694">
        <v>3205</v>
      </c>
      <c r="AX54" s="1694">
        <v>4265</v>
      </c>
      <c r="AY54" s="1695">
        <v>5299</v>
      </c>
      <c r="AZ54" s="1680">
        <v>4599</v>
      </c>
      <c r="BA54" s="1680">
        <v>4035</v>
      </c>
      <c r="BB54" s="1680">
        <v>4283</v>
      </c>
      <c r="BC54" s="1680">
        <v>4324</v>
      </c>
      <c r="BD54" s="1680">
        <v>4000</v>
      </c>
      <c r="BE54" s="1680">
        <v>4403</v>
      </c>
      <c r="BF54" s="1680">
        <v>4279</v>
      </c>
      <c r="BG54" s="1680">
        <v>4167</v>
      </c>
      <c r="BH54" s="1680">
        <v>3958</v>
      </c>
      <c r="BI54" s="1680">
        <v>4138</v>
      </c>
      <c r="BJ54" s="1680">
        <v>4519</v>
      </c>
      <c r="BK54" s="1731">
        <v>5404</v>
      </c>
      <c r="BL54" s="1698">
        <v>4222</v>
      </c>
      <c r="BM54" s="1699">
        <v>3651</v>
      </c>
      <c r="BN54" s="1699">
        <v>5058</v>
      </c>
      <c r="BO54" s="1699">
        <v>5339</v>
      </c>
      <c r="BP54" s="1699">
        <v>5273</v>
      </c>
      <c r="BQ54" s="1699">
        <v>7476</v>
      </c>
      <c r="BR54" s="1699">
        <v>6425</v>
      </c>
      <c r="BS54" s="1699">
        <v>5246</v>
      </c>
      <c r="BT54" s="1700">
        <v>5162</v>
      </c>
      <c r="BU54" s="1700">
        <v>6180</v>
      </c>
      <c r="BV54" s="1700">
        <v>5649</v>
      </c>
      <c r="BW54" s="1701">
        <v>7785</v>
      </c>
      <c r="BX54" s="1702">
        <v>6627</v>
      </c>
      <c r="BY54" s="1511">
        <v>4735</v>
      </c>
      <c r="BZ54" s="1511">
        <v>6020</v>
      </c>
      <c r="CA54" s="1511">
        <v>4853</v>
      </c>
      <c r="CB54" s="1511">
        <v>5241</v>
      </c>
      <c r="CC54" s="1511">
        <v>6297</v>
      </c>
      <c r="CD54" s="1511">
        <v>6066</v>
      </c>
      <c r="CE54" s="1511">
        <v>4747</v>
      </c>
      <c r="CF54" s="1511">
        <v>5233</v>
      </c>
      <c r="CG54" s="1511">
        <v>5182</v>
      </c>
      <c r="CH54" s="1511">
        <v>5169</v>
      </c>
      <c r="CI54" s="1513">
        <v>7563</v>
      </c>
      <c r="CJ54" s="1703">
        <v>6453</v>
      </c>
      <c r="CK54" s="1704">
        <v>6126</v>
      </c>
      <c r="CL54" s="1704">
        <v>4727</v>
      </c>
      <c r="CM54" s="1704">
        <v>6021</v>
      </c>
      <c r="CN54" s="1704">
        <v>5531</v>
      </c>
      <c r="CO54" s="1704">
        <v>6575</v>
      </c>
      <c r="CP54" s="1704">
        <v>5999</v>
      </c>
      <c r="CQ54" s="1704">
        <v>4680</v>
      </c>
      <c r="CR54" s="1704">
        <v>5649</v>
      </c>
      <c r="CS54" s="1704">
        <v>5721</v>
      </c>
      <c r="CT54" s="1704">
        <v>5569</v>
      </c>
      <c r="CU54" s="1705">
        <v>8371</v>
      </c>
      <c r="CV54" s="1703">
        <v>6640</v>
      </c>
      <c r="CW54" s="1704">
        <v>4736</v>
      </c>
      <c r="CX54" s="1510">
        <v>5948</v>
      </c>
      <c r="CY54" s="1510">
        <v>4689</v>
      </c>
      <c r="CZ54" s="1510">
        <v>4319</v>
      </c>
      <c r="DA54" s="1510">
        <v>4879</v>
      </c>
      <c r="DB54" s="1510">
        <v>4752</v>
      </c>
      <c r="DC54" s="1510">
        <v>3500</v>
      </c>
      <c r="DD54" s="1510">
        <v>4127</v>
      </c>
      <c r="DE54" s="1510">
        <v>4183</v>
      </c>
      <c r="DF54" s="1510">
        <v>4285</v>
      </c>
      <c r="DG54" s="1705">
        <v>4830</v>
      </c>
      <c r="DH54" s="1706">
        <v>4076</v>
      </c>
      <c r="DI54" s="1707">
        <v>3914</v>
      </c>
      <c r="DJ54" s="1707">
        <v>4490</v>
      </c>
      <c r="DK54" s="1708">
        <v>3335</v>
      </c>
      <c r="DL54" s="1708">
        <v>3996</v>
      </c>
      <c r="DM54" s="1708">
        <v>4670</v>
      </c>
      <c r="DN54" s="1708">
        <v>5537</v>
      </c>
      <c r="DO54" s="1708">
        <v>4018</v>
      </c>
      <c r="DP54" s="1708">
        <v>4246</v>
      </c>
      <c r="DQ54" s="1708">
        <v>5595</v>
      </c>
      <c r="DR54" s="1708">
        <v>4741</v>
      </c>
      <c r="DS54" s="1709">
        <v>6269</v>
      </c>
      <c r="DT54" s="1683">
        <v>5134</v>
      </c>
      <c r="DU54" s="1502">
        <v>3872</v>
      </c>
      <c r="DV54" s="1502">
        <v>5370</v>
      </c>
      <c r="DW54" s="1487">
        <v>4990</v>
      </c>
      <c r="DX54" s="1487">
        <v>3983</v>
      </c>
      <c r="DY54" s="1487">
        <v>5374</v>
      </c>
      <c r="DZ54" s="1487">
        <v>4853</v>
      </c>
      <c r="EA54" s="1487">
        <v>3383</v>
      </c>
      <c r="EB54" s="1487">
        <v>3872</v>
      </c>
      <c r="EC54" s="1487">
        <v>4508</v>
      </c>
      <c r="ED54" s="1487">
        <v>4726</v>
      </c>
      <c r="EE54" s="1486">
        <v>5220</v>
      </c>
      <c r="EF54" s="1927">
        <v>4683</v>
      </c>
      <c r="EG54" s="34">
        <v>3861</v>
      </c>
      <c r="EH54" s="34">
        <v>4441</v>
      </c>
      <c r="EI54" s="34">
        <v>4400</v>
      </c>
      <c r="EJ54" s="34">
        <v>4233</v>
      </c>
      <c r="EK54" s="34">
        <v>5316</v>
      </c>
      <c r="EL54" s="34">
        <v>5022</v>
      </c>
      <c r="EM54" s="2345">
        <v>3702</v>
      </c>
      <c r="EN54" s="2345">
        <v>4846</v>
      </c>
      <c r="EO54" s="2346">
        <v>5051</v>
      </c>
      <c r="EP54" s="2346">
        <v>4639</v>
      </c>
      <c r="EQ54" s="2347">
        <v>5112</v>
      </c>
      <c r="ER54" s="3103">
        <v>4089</v>
      </c>
      <c r="ES54" s="3095"/>
      <c r="ET54" s="3095"/>
      <c r="EU54" s="3095"/>
      <c r="EV54" s="3095"/>
      <c r="EW54" s="3095"/>
      <c r="EX54" s="3095"/>
      <c r="EY54" s="3095"/>
      <c r="EZ54" s="3095"/>
      <c r="FA54" s="3095"/>
      <c r="FB54" s="3095"/>
      <c r="FC54" s="3104"/>
      <c r="FD54" s="2437"/>
      <c r="FE54" s="1710">
        <v>10706</v>
      </c>
      <c r="FF54" s="1711">
        <v>11631</v>
      </c>
      <c r="FG54" s="1711">
        <v>12377</v>
      </c>
      <c r="FH54" s="1712">
        <v>12334</v>
      </c>
      <c r="FI54" s="1713">
        <v>13356</v>
      </c>
      <c r="FJ54" s="1714">
        <v>12228</v>
      </c>
      <c r="FK54" s="1714">
        <v>12720</v>
      </c>
      <c r="FL54" s="1715">
        <v>13802</v>
      </c>
      <c r="FM54" s="1716">
        <v>10328</v>
      </c>
      <c r="FN54" s="1717">
        <v>11580</v>
      </c>
      <c r="FO54" s="1718">
        <v>10032</v>
      </c>
      <c r="FP54" s="1718">
        <v>11490</v>
      </c>
      <c r="FQ54" s="1719">
        <v>13823</v>
      </c>
      <c r="FR54" s="1720">
        <v>12604</v>
      </c>
      <c r="FS54" s="1720">
        <v>12216</v>
      </c>
      <c r="FT54" s="1721">
        <v>12769</v>
      </c>
      <c r="FU54" s="1722">
        <v>12917</v>
      </c>
      <c r="FV54" s="1723">
        <v>12727</v>
      </c>
      <c r="FW54" s="1723">
        <v>12404</v>
      </c>
      <c r="FX54" s="1724">
        <v>14061</v>
      </c>
      <c r="FY54" s="1720">
        <v>12931</v>
      </c>
      <c r="FZ54" s="1720">
        <v>18088</v>
      </c>
      <c r="GA54" s="1720">
        <v>16833</v>
      </c>
      <c r="GB54" s="1720">
        <v>19614</v>
      </c>
      <c r="GC54" s="1725">
        <v>17382</v>
      </c>
      <c r="GD54" s="1725">
        <v>16391</v>
      </c>
      <c r="GE54" s="1725">
        <v>16046</v>
      </c>
      <c r="GF54" s="1725">
        <v>17914</v>
      </c>
      <c r="GG54" s="1726">
        <v>17306</v>
      </c>
      <c r="GH54" s="1726">
        <v>18127</v>
      </c>
      <c r="GI54" s="1726">
        <f t="shared" si="17"/>
        <v>16328</v>
      </c>
      <c r="GJ54" s="1726">
        <v>19661</v>
      </c>
      <c r="GK54" s="1727">
        <v>17324</v>
      </c>
      <c r="GL54" s="1727">
        <f t="shared" si="18"/>
        <v>13887</v>
      </c>
      <c r="GM54" s="1727">
        <f t="shared" si="19"/>
        <v>12379</v>
      </c>
      <c r="GN54" s="1726">
        <f t="shared" si="20"/>
        <v>13298</v>
      </c>
      <c r="GO54" s="1541">
        <f t="shared" si="21"/>
        <v>12480</v>
      </c>
      <c r="GP54" s="1541">
        <f t="shared" si="22"/>
        <v>12001</v>
      </c>
      <c r="GQ54" s="1541">
        <f t="shared" si="23"/>
        <v>15824</v>
      </c>
      <c r="GR54" s="1541">
        <f t="shared" si="24"/>
        <v>16605</v>
      </c>
      <c r="GS54" s="1728">
        <f t="shared" si="25"/>
        <v>14376</v>
      </c>
      <c r="GT54" s="1728">
        <f t="shared" si="26"/>
        <v>14347</v>
      </c>
      <c r="GU54" s="1728">
        <f t="shared" si="27"/>
        <v>12108</v>
      </c>
      <c r="GV54" s="1728">
        <f t="shared" si="28"/>
        <v>14454</v>
      </c>
      <c r="GW54" s="1939">
        <f t="shared" si="29"/>
        <v>12985</v>
      </c>
      <c r="GX54" s="1725">
        <f t="shared" si="30"/>
        <v>13949</v>
      </c>
      <c r="GY54" s="1725">
        <f t="shared" si="31"/>
        <v>13570</v>
      </c>
      <c r="GZ54" s="1725">
        <f t="shared" si="32"/>
        <v>14802</v>
      </c>
      <c r="HA54" s="2443">
        <f t="shared" si="33"/>
        <v>4089</v>
      </c>
      <c r="HB54" s="2444">
        <f t="shared" si="34"/>
        <v>0</v>
      </c>
      <c r="HC54" s="2444">
        <f t="shared" si="35"/>
        <v>0</v>
      </c>
      <c r="HD54" s="2444">
        <f t="shared" si="36"/>
        <v>0</v>
      </c>
      <c r="HE54" s="1940"/>
      <c r="HF54" s="1729">
        <v>47048</v>
      </c>
      <c r="HG54" s="1730">
        <v>52106</v>
      </c>
      <c r="HH54" s="1730">
        <v>43430</v>
      </c>
      <c r="HI54" s="1730">
        <v>51412</v>
      </c>
      <c r="HJ54" s="1730">
        <v>52109</v>
      </c>
      <c r="HK54" s="1730">
        <v>67466</v>
      </c>
      <c r="HL54" s="2421">
        <v>67733</v>
      </c>
      <c r="HM54" s="2423">
        <v>71422</v>
      </c>
      <c r="HN54" s="2423">
        <f t="shared" si="37"/>
        <v>56888</v>
      </c>
      <c r="HO54" s="2423">
        <f t="shared" si="38"/>
        <v>54887</v>
      </c>
      <c r="HP54" s="2423">
        <f t="shared" si="39"/>
        <v>55285</v>
      </c>
      <c r="HQ54" s="2423">
        <f t="shared" si="40"/>
        <v>55306</v>
      </c>
      <c r="HR54" s="2452">
        <f t="shared" si="41"/>
        <v>4089</v>
      </c>
      <c r="HS54" s="2453">
        <f t="shared" si="49"/>
        <v>54712</v>
      </c>
      <c r="HT54" s="2455">
        <f t="shared" si="42"/>
        <v>58083.333333333336</v>
      </c>
      <c r="HU54" s="1737">
        <f t="shared" si="43"/>
        <v>8.7451762673949135E-2</v>
      </c>
      <c r="HV54" s="1737">
        <f t="shared" si="44"/>
        <v>8.4672040384052835E-2</v>
      </c>
      <c r="HW54" s="1737">
        <f t="shared" ref="HW54:HW82" si="50">HQ54/$HS$84</f>
        <v>7.9868757951711361E-2</v>
      </c>
      <c r="HX54" s="2458">
        <f t="shared" ref="HX54:HX82" si="51">HT54/$HS$84</f>
        <v>8.3879573482598058E-2</v>
      </c>
      <c r="HY54" s="1734"/>
      <c r="HZ54" s="2302">
        <f t="shared" si="45"/>
        <v>7.2512616830944232E-3</v>
      </c>
      <c r="IA54" s="2300">
        <f t="shared" si="46"/>
        <v>5.8234797553762041E-2</v>
      </c>
      <c r="IB54" s="2300">
        <f t="shared" si="47"/>
        <v>3.7984986886141492E-4</v>
      </c>
      <c r="IC54" s="2302">
        <f t="shared" si="48"/>
        <v>-1.0740245181354635E-2</v>
      </c>
    </row>
    <row r="55" spans="1:237" s="341" customFormat="1" ht="21.95" customHeight="1">
      <c r="A55" s="544"/>
      <c r="B55" s="543"/>
      <c r="C55" s="545" t="s">
        <v>7</v>
      </c>
      <c r="D55" s="1684">
        <v>1324</v>
      </c>
      <c r="E55" s="1685">
        <v>1555</v>
      </c>
      <c r="F55" s="1685">
        <v>1410</v>
      </c>
      <c r="G55" s="1685">
        <v>1429</v>
      </c>
      <c r="H55" s="1685">
        <v>1418</v>
      </c>
      <c r="I55" s="1685">
        <v>2607</v>
      </c>
      <c r="J55" s="1685">
        <v>2835</v>
      </c>
      <c r="K55" s="1685">
        <v>2685</v>
      </c>
      <c r="L55" s="1685">
        <v>2112</v>
      </c>
      <c r="M55" s="1685">
        <v>1839</v>
      </c>
      <c r="N55" s="1685">
        <v>2329</v>
      </c>
      <c r="O55" s="1686">
        <v>2088</v>
      </c>
      <c r="P55" s="1687">
        <v>1837</v>
      </c>
      <c r="Q55" s="1688">
        <v>2639</v>
      </c>
      <c r="R55" s="1688">
        <v>1865</v>
      </c>
      <c r="S55" s="1688">
        <v>1646</v>
      </c>
      <c r="T55" s="1688">
        <v>2039</v>
      </c>
      <c r="U55" s="1688">
        <v>3303</v>
      </c>
      <c r="V55" s="1688">
        <v>2996</v>
      </c>
      <c r="W55" s="1688">
        <v>3169</v>
      </c>
      <c r="X55" s="1688">
        <v>2100</v>
      </c>
      <c r="Y55" s="1688">
        <v>1903</v>
      </c>
      <c r="Z55" s="1688">
        <v>2662</v>
      </c>
      <c r="AA55" s="1689">
        <v>1902</v>
      </c>
      <c r="AB55" s="1690">
        <v>2189</v>
      </c>
      <c r="AC55" s="1691">
        <v>2306</v>
      </c>
      <c r="AD55" s="1691">
        <v>2100</v>
      </c>
      <c r="AE55" s="1691">
        <v>2003</v>
      </c>
      <c r="AF55" s="1691">
        <v>3328</v>
      </c>
      <c r="AG55" s="1691">
        <v>4653</v>
      </c>
      <c r="AH55" s="1691">
        <v>3137</v>
      </c>
      <c r="AI55" s="1691">
        <v>3497</v>
      </c>
      <c r="AJ55" s="1691">
        <v>2351</v>
      </c>
      <c r="AK55" s="1691">
        <v>2125</v>
      </c>
      <c r="AL55" s="1691">
        <v>2575</v>
      </c>
      <c r="AM55" s="1692">
        <v>2250</v>
      </c>
      <c r="AN55" s="1693">
        <v>2074</v>
      </c>
      <c r="AO55" s="1694">
        <v>2222</v>
      </c>
      <c r="AP55" s="1694">
        <v>2157</v>
      </c>
      <c r="AQ55" s="1694">
        <v>1650</v>
      </c>
      <c r="AR55" s="1694">
        <v>2169</v>
      </c>
      <c r="AS55" s="1694">
        <v>4211</v>
      </c>
      <c r="AT55" s="1694">
        <v>3416</v>
      </c>
      <c r="AU55" s="1694">
        <v>3730</v>
      </c>
      <c r="AV55" s="1694">
        <v>2638</v>
      </c>
      <c r="AW55" s="1694">
        <v>2451</v>
      </c>
      <c r="AX55" s="1694">
        <v>2709</v>
      </c>
      <c r="AY55" s="1695">
        <v>2407</v>
      </c>
      <c r="AZ55" s="1680">
        <v>2245</v>
      </c>
      <c r="BA55" s="1680">
        <v>2360</v>
      </c>
      <c r="BB55" s="1680">
        <v>1994</v>
      </c>
      <c r="BC55" s="1680">
        <v>2054</v>
      </c>
      <c r="BD55" s="1680">
        <v>1974</v>
      </c>
      <c r="BE55" s="1680">
        <v>4580</v>
      </c>
      <c r="BF55" s="1680">
        <v>3668</v>
      </c>
      <c r="BG55" s="1680">
        <v>3797</v>
      </c>
      <c r="BH55" s="1680">
        <v>2808</v>
      </c>
      <c r="BI55" s="1680">
        <v>2386</v>
      </c>
      <c r="BJ55" s="1680">
        <v>2699</v>
      </c>
      <c r="BK55" s="1731">
        <v>2363</v>
      </c>
      <c r="BL55" s="1698">
        <v>2062</v>
      </c>
      <c r="BM55" s="1699">
        <v>2453</v>
      </c>
      <c r="BN55" s="1699">
        <v>2219</v>
      </c>
      <c r="BO55" s="1699">
        <v>2379</v>
      </c>
      <c r="BP55" s="1699">
        <v>2483</v>
      </c>
      <c r="BQ55" s="1699">
        <v>4629</v>
      </c>
      <c r="BR55" s="1699">
        <v>3352</v>
      </c>
      <c r="BS55" s="1699">
        <v>3785</v>
      </c>
      <c r="BT55" s="1700">
        <v>3170</v>
      </c>
      <c r="BU55" s="1700">
        <v>2516</v>
      </c>
      <c r="BV55" s="1700">
        <v>2627</v>
      </c>
      <c r="BW55" s="1701">
        <v>2343</v>
      </c>
      <c r="BX55" s="1702">
        <v>2275</v>
      </c>
      <c r="BY55" s="1511">
        <v>2408</v>
      </c>
      <c r="BZ55" s="1511">
        <v>2259</v>
      </c>
      <c r="CA55" s="1511">
        <v>2051</v>
      </c>
      <c r="CB55" s="1511">
        <v>2962</v>
      </c>
      <c r="CC55" s="1511">
        <v>4633</v>
      </c>
      <c r="CD55" s="1511">
        <v>3650</v>
      </c>
      <c r="CE55" s="1511">
        <v>3942</v>
      </c>
      <c r="CF55" s="1511">
        <v>3578</v>
      </c>
      <c r="CG55" s="1511">
        <v>2866</v>
      </c>
      <c r="CH55" s="1511">
        <v>3622</v>
      </c>
      <c r="CI55" s="1513">
        <v>3262</v>
      </c>
      <c r="CJ55" s="1703">
        <v>4693</v>
      </c>
      <c r="CK55" s="1704">
        <v>3329</v>
      </c>
      <c r="CL55" s="1704">
        <v>3172</v>
      </c>
      <c r="CM55" s="1704">
        <v>2855</v>
      </c>
      <c r="CN55" s="1704">
        <v>3070</v>
      </c>
      <c r="CO55" s="1704">
        <v>1437</v>
      </c>
      <c r="CP55" s="1704">
        <v>4812</v>
      </c>
      <c r="CQ55" s="1704">
        <v>4547</v>
      </c>
      <c r="CR55" s="1704">
        <v>3616</v>
      </c>
      <c r="CS55" s="1704">
        <v>3498</v>
      </c>
      <c r="CT55" s="1704">
        <v>3618</v>
      </c>
      <c r="CU55" s="1705">
        <v>3484</v>
      </c>
      <c r="CV55" s="1703">
        <v>3113</v>
      </c>
      <c r="CW55" s="1704">
        <v>3325</v>
      </c>
      <c r="CX55" s="1510">
        <v>3195</v>
      </c>
      <c r="CY55" s="1510">
        <v>2623</v>
      </c>
      <c r="CZ55" s="1510">
        <v>3137</v>
      </c>
      <c r="DA55" s="1510">
        <v>5235</v>
      </c>
      <c r="DB55" s="1510">
        <v>4766</v>
      </c>
      <c r="DC55" s="1510">
        <v>4153</v>
      </c>
      <c r="DD55" s="1510">
        <v>3633</v>
      </c>
      <c r="DE55" s="1510">
        <v>3383</v>
      </c>
      <c r="DF55" s="1510">
        <v>3320</v>
      </c>
      <c r="DG55" s="1705">
        <v>3878</v>
      </c>
      <c r="DH55" s="1706">
        <v>2964</v>
      </c>
      <c r="DI55" s="1707">
        <v>3137</v>
      </c>
      <c r="DJ55" s="1707">
        <v>3077</v>
      </c>
      <c r="DK55" s="1708">
        <v>2577</v>
      </c>
      <c r="DL55" s="1708">
        <v>2847</v>
      </c>
      <c r="DM55" s="1708">
        <v>5765</v>
      </c>
      <c r="DN55" s="1708">
        <v>4826</v>
      </c>
      <c r="DO55" s="1708">
        <v>4045</v>
      </c>
      <c r="DP55" s="1708">
        <v>2638</v>
      </c>
      <c r="DQ55" s="1708">
        <v>2404</v>
      </c>
      <c r="DR55" s="1708">
        <v>2367</v>
      </c>
      <c r="DS55" s="1709">
        <v>2423</v>
      </c>
      <c r="DT55" s="1683">
        <v>1937</v>
      </c>
      <c r="DU55" s="1502">
        <v>1872</v>
      </c>
      <c r="DV55" s="1502">
        <v>1901</v>
      </c>
      <c r="DW55" s="1487">
        <v>2061</v>
      </c>
      <c r="DX55" s="1487">
        <v>1740</v>
      </c>
      <c r="DY55" s="1487">
        <v>3360</v>
      </c>
      <c r="DZ55" s="1487">
        <v>2960</v>
      </c>
      <c r="EA55" s="1487">
        <v>2392</v>
      </c>
      <c r="EB55" s="1487">
        <v>2217</v>
      </c>
      <c r="EC55" s="1487">
        <v>2173</v>
      </c>
      <c r="ED55" s="1487">
        <v>2397</v>
      </c>
      <c r="EE55" s="1486">
        <v>2655</v>
      </c>
      <c r="EF55" s="1927">
        <v>2327</v>
      </c>
      <c r="EG55" s="34">
        <v>2245</v>
      </c>
      <c r="EH55" s="34">
        <v>2500</v>
      </c>
      <c r="EI55" s="34">
        <v>2062</v>
      </c>
      <c r="EJ55" s="34">
        <v>2145</v>
      </c>
      <c r="EK55" s="34">
        <v>3948</v>
      </c>
      <c r="EL55" s="34">
        <v>3670</v>
      </c>
      <c r="EM55" s="2345">
        <v>3213</v>
      </c>
      <c r="EN55" s="2345">
        <v>2579</v>
      </c>
      <c r="EO55" s="2346">
        <v>2489</v>
      </c>
      <c r="EP55" s="2346">
        <v>2626</v>
      </c>
      <c r="EQ55" s="2347">
        <v>2981</v>
      </c>
      <c r="ER55" s="3103">
        <v>1985</v>
      </c>
      <c r="ES55" s="3095"/>
      <c r="ET55" s="3095"/>
      <c r="EU55" s="3095"/>
      <c r="EV55" s="3095"/>
      <c r="EW55" s="3095"/>
      <c r="EX55" s="3095"/>
      <c r="EY55" s="3095"/>
      <c r="EZ55" s="3095"/>
      <c r="FA55" s="3095"/>
      <c r="FB55" s="3095"/>
      <c r="FC55" s="3104"/>
      <c r="FD55" s="2437"/>
      <c r="FE55" s="1710">
        <v>4289</v>
      </c>
      <c r="FF55" s="1711">
        <v>5454</v>
      </c>
      <c r="FG55" s="1711">
        <v>7632</v>
      </c>
      <c r="FH55" s="1712">
        <v>6256</v>
      </c>
      <c r="FI55" s="1713">
        <v>6341</v>
      </c>
      <c r="FJ55" s="1714">
        <v>6988</v>
      </c>
      <c r="FK55" s="1714">
        <v>8265</v>
      </c>
      <c r="FL55" s="1715">
        <v>6467</v>
      </c>
      <c r="FM55" s="1716">
        <v>6595</v>
      </c>
      <c r="FN55" s="1717">
        <v>9984</v>
      </c>
      <c r="FO55" s="1718">
        <v>8985</v>
      </c>
      <c r="FP55" s="1718">
        <v>6950</v>
      </c>
      <c r="FQ55" s="1719">
        <v>6453</v>
      </c>
      <c r="FR55" s="1720">
        <v>8030</v>
      </c>
      <c r="FS55" s="1720">
        <v>9784</v>
      </c>
      <c r="FT55" s="1721">
        <v>7567</v>
      </c>
      <c r="FU55" s="1722">
        <v>6599</v>
      </c>
      <c r="FV55" s="1723">
        <v>8608</v>
      </c>
      <c r="FW55" s="1723">
        <v>10273</v>
      </c>
      <c r="FX55" s="1724">
        <v>7448</v>
      </c>
      <c r="FY55" s="1720">
        <v>6734</v>
      </c>
      <c r="FZ55" s="1720">
        <v>9491</v>
      </c>
      <c r="GA55" s="1720">
        <v>10307</v>
      </c>
      <c r="GB55" s="1720">
        <v>7486</v>
      </c>
      <c r="GC55" s="1725">
        <v>6942</v>
      </c>
      <c r="GD55" s="1725">
        <v>9646</v>
      </c>
      <c r="GE55" s="1725">
        <v>11170</v>
      </c>
      <c r="GF55" s="1725">
        <v>9750</v>
      </c>
      <c r="GG55" s="1726">
        <v>11194</v>
      </c>
      <c r="GH55" s="1726">
        <v>7362</v>
      </c>
      <c r="GI55" s="1726">
        <f t="shared" si="17"/>
        <v>12975</v>
      </c>
      <c r="GJ55" s="1726">
        <v>10600</v>
      </c>
      <c r="GK55" s="1727">
        <v>9633</v>
      </c>
      <c r="GL55" s="1727">
        <f t="shared" si="18"/>
        <v>10995</v>
      </c>
      <c r="GM55" s="1727">
        <f t="shared" si="19"/>
        <v>12552</v>
      </c>
      <c r="GN55" s="1726">
        <f t="shared" si="20"/>
        <v>10581</v>
      </c>
      <c r="GO55" s="1541">
        <f t="shared" si="21"/>
        <v>9178</v>
      </c>
      <c r="GP55" s="1541">
        <f t="shared" si="22"/>
        <v>11189</v>
      </c>
      <c r="GQ55" s="1541">
        <f t="shared" si="23"/>
        <v>11294</v>
      </c>
      <c r="GR55" s="1541">
        <f t="shared" si="24"/>
        <v>7194</v>
      </c>
      <c r="GS55" s="1728">
        <f t="shared" si="25"/>
        <v>5710</v>
      </c>
      <c r="GT55" s="1728">
        <f t="shared" si="26"/>
        <v>7161</v>
      </c>
      <c r="GU55" s="1728">
        <f t="shared" si="27"/>
        <v>7569</v>
      </c>
      <c r="GV55" s="1728">
        <f t="shared" si="28"/>
        <v>7225</v>
      </c>
      <c r="GW55" s="1939">
        <f t="shared" si="29"/>
        <v>7072</v>
      </c>
      <c r="GX55" s="1725">
        <f t="shared" si="30"/>
        <v>8155</v>
      </c>
      <c r="GY55" s="1725">
        <f t="shared" si="31"/>
        <v>9462</v>
      </c>
      <c r="GZ55" s="1725">
        <f t="shared" si="32"/>
        <v>8096</v>
      </c>
      <c r="HA55" s="2443">
        <f t="shared" si="33"/>
        <v>1985</v>
      </c>
      <c r="HB55" s="2444">
        <f t="shared" si="34"/>
        <v>0</v>
      </c>
      <c r="HC55" s="2444">
        <f t="shared" si="35"/>
        <v>0</v>
      </c>
      <c r="HD55" s="2444">
        <f t="shared" si="36"/>
        <v>0</v>
      </c>
      <c r="HE55" s="1940"/>
      <c r="HF55" s="1729">
        <v>23631</v>
      </c>
      <c r="HG55" s="1730">
        <v>28061</v>
      </c>
      <c r="HH55" s="1730">
        <v>32514</v>
      </c>
      <c r="HI55" s="1730">
        <v>31834</v>
      </c>
      <c r="HJ55" s="1730">
        <v>32928</v>
      </c>
      <c r="HK55" s="1730">
        <v>34018</v>
      </c>
      <c r="HL55" s="2421">
        <v>37508</v>
      </c>
      <c r="HM55" s="2423">
        <v>42131</v>
      </c>
      <c r="HN55" s="2423">
        <f t="shared" si="37"/>
        <v>43761</v>
      </c>
      <c r="HO55" s="2423">
        <f t="shared" si="38"/>
        <v>39070</v>
      </c>
      <c r="HP55" s="2423">
        <f t="shared" si="39"/>
        <v>27665</v>
      </c>
      <c r="HQ55" s="2423">
        <f t="shared" si="40"/>
        <v>32785</v>
      </c>
      <c r="HR55" s="2452">
        <f t="shared" si="41"/>
        <v>1985</v>
      </c>
      <c r="HS55" s="2453">
        <f t="shared" si="49"/>
        <v>32443</v>
      </c>
      <c r="HT55" s="2455">
        <f t="shared" si="42"/>
        <v>36309.166666666664</v>
      </c>
      <c r="HU55" s="1737">
        <f t="shared" si="43"/>
        <v>6.2250448515517205E-2</v>
      </c>
      <c r="HV55" s="1737">
        <f t="shared" si="44"/>
        <v>4.2370480188565103E-2</v>
      </c>
      <c r="HW55" s="1737">
        <f t="shared" si="50"/>
        <v>4.7345626685112954E-2</v>
      </c>
      <c r="HX55" s="2458">
        <f t="shared" si="51"/>
        <v>5.243496264290215E-2</v>
      </c>
      <c r="HY55" s="1734"/>
      <c r="HZ55" s="2302">
        <f t="shared" si="45"/>
        <v>-0.29191195290504224</v>
      </c>
      <c r="IA55" s="2300">
        <f t="shared" si="46"/>
        <v>-7.0663765890282448E-2</v>
      </c>
      <c r="IB55" s="2300">
        <f t="shared" si="47"/>
        <v>0.18507138984276161</v>
      </c>
      <c r="IC55" s="2302">
        <f t="shared" si="48"/>
        <v>-1.043159981698949E-2</v>
      </c>
    </row>
    <row r="56" spans="1:237" s="341" customFormat="1" ht="21.95" customHeight="1">
      <c r="A56" s="544"/>
      <c r="B56" s="543"/>
      <c r="C56" s="545" t="s">
        <v>15</v>
      </c>
      <c r="D56" s="1684">
        <v>342</v>
      </c>
      <c r="E56" s="1685">
        <v>325</v>
      </c>
      <c r="F56" s="1685">
        <v>440</v>
      </c>
      <c r="G56" s="1685">
        <v>392</v>
      </c>
      <c r="H56" s="1685">
        <v>377</v>
      </c>
      <c r="I56" s="1685">
        <v>432</v>
      </c>
      <c r="J56" s="1685">
        <v>744</v>
      </c>
      <c r="K56" s="1685">
        <v>705</v>
      </c>
      <c r="L56" s="1685">
        <v>586</v>
      </c>
      <c r="M56" s="1685">
        <v>717</v>
      </c>
      <c r="N56" s="1685">
        <v>686</v>
      </c>
      <c r="O56" s="1686">
        <v>372</v>
      </c>
      <c r="P56" s="1687">
        <v>410</v>
      </c>
      <c r="Q56" s="1688">
        <v>574</v>
      </c>
      <c r="R56" s="1688">
        <v>487</v>
      </c>
      <c r="S56" s="1688">
        <v>479</v>
      </c>
      <c r="T56" s="1688">
        <v>793</v>
      </c>
      <c r="U56" s="1688">
        <v>734</v>
      </c>
      <c r="V56" s="1688">
        <v>771</v>
      </c>
      <c r="W56" s="1688">
        <v>700</v>
      </c>
      <c r="X56" s="1688">
        <v>748</v>
      </c>
      <c r="Y56" s="1688">
        <v>982</v>
      </c>
      <c r="Z56" s="1688">
        <v>878</v>
      </c>
      <c r="AA56" s="1689">
        <v>637</v>
      </c>
      <c r="AB56" s="1690">
        <v>523</v>
      </c>
      <c r="AC56" s="1691">
        <v>468</v>
      </c>
      <c r="AD56" s="1691">
        <v>576</v>
      </c>
      <c r="AE56" s="1691">
        <v>748</v>
      </c>
      <c r="AF56" s="1691">
        <v>686.5</v>
      </c>
      <c r="AG56" s="1691">
        <v>625</v>
      </c>
      <c r="AH56" s="1691">
        <v>812</v>
      </c>
      <c r="AI56" s="1691">
        <v>649</v>
      </c>
      <c r="AJ56" s="1691">
        <v>789</v>
      </c>
      <c r="AK56" s="1691">
        <v>775</v>
      </c>
      <c r="AL56" s="1691">
        <v>715</v>
      </c>
      <c r="AM56" s="1692">
        <v>854</v>
      </c>
      <c r="AN56" s="1693">
        <v>597</v>
      </c>
      <c r="AO56" s="1694">
        <v>512</v>
      </c>
      <c r="AP56" s="1694">
        <v>746</v>
      </c>
      <c r="AQ56" s="1694">
        <v>803</v>
      </c>
      <c r="AR56" s="1694">
        <v>767</v>
      </c>
      <c r="AS56" s="1694">
        <v>836</v>
      </c>
      <c r="AT56" s="1694">
        <v>966</v>
      </c>
      <c r="AU56" s="1694">
        <v>923</v>
      </c>
      <c r="AV56" s="1694">
        <v>647</v>
      </c>
      <c r="AW56" s="1694">
        <v>940</v>
      </c>
      <c r="AX56" s="1694">
        <v>839</v>
      </c>
      <c r="AY56" s="1695">
        <v>742</v>
      </c>
      <c r="AZ56" s="1680">
        <v>640</v>
      </c>
      <c r="BA56" s="1680">
        <v>651</v>
      </c>
      <c r="BB56" s="1680">
        <v>859</v>
      </c>
      <c r="BC56" s="1680">
        <v>1037</v>
      </c>
      <c r="BD56" s="1680">
        <v>1051</v>
      </c>
      <c r="BE56" s="1680">
        <v>1180</v>
      </c>
      <c r="BF56" s="1680">
        <v>1219</v>
      </c>
      <c r="BG56" s="1680">
        <v>1102</v>
      </c>
      <c r="BH56" s="1680">
        <v>841</v>
      </c>
      <c r="BI56" s="1680">
        <v>1028</v>
      </c>
      <c r="BJ56" s="1680">
        <v>1132</v>
      </c>
      <c r="BK56" s="1731">
        <v>930</v>
      </c>
      <c r="BL56" s="1698">
        <v>131</v>
      </c>
      <c r="BM56" s="1699">
        <v>779</v>
      </c>
      <c r="BN56" s="1699">
        <v>894</v>
      </c>
      <c r="BO56" s="1699">
        <v>942</v>
      </c>
      <c r="BP56" s="1699">
        <v>1059</v>
      </c>
      <c r="BQ56" s="1699">
        <v>1016</v>
      </c>
      <c r="BR56" s="1699">
        <v>1165</v>
      </c>
      <c r="BS56" s="1699">
        <v>913</v>
      </c>
      <c r="BT56" s="1700">
        <v>955</v>
      </c>
      <c r="BU56" s="1700">
        <v>1191</v>
      </c>
      <c r="BV56" s="1700">
        <v>1067</v>
      </c>
      <c r="BW56" s="1701">
        <v>1084</v>
      </c>
      <c r="BX56" s="1702">
        <v>850</v>
      </c>
      <c r="BY56" s="1511">
        <v>816</v>
      </c>
      <c r="BZ56" s="1511">
        <v>1061</v>
      </c>
      <c r="CA56" s="1511">
        <v>1104</v>
      </c>
      <c r="CB56" s="1511">
        <v>971</v>
      </c>
      <c r="CC56" s="1511">
        <v>925</v>
      </c>
      <c r="CD56" s="1511">
        <v>1157</v>
      </c>
      <c r="CE56" s="1511">
        <v>914</v>
      </c>
      <c r="CF56" s="1511">
        <v>977</v>
      </c>
      <c r="CG56" s="1511">
        <v>994</v>
      </c>
      <c r="CH56" s="1511">
        <v>1010</v>
      </c>
      <c r="CI56" s="1513">
        <v>1471</v>
      </c>
      <c r="CJ56" s="1703">
        <v>1161</v>
      </c>
      <c r="CK56" s="1704">
        <v>1292</v>
      </c>
      <c r="CL56" s="1704">
        <v>1612</v>
      </c>
      <c r="CM56" s="1704">
        <v>1518</v>
      </c>
      <c r="CN56" s="1704">
        <v>1350</v>
      </c>
      <c r="CO56" s="1704">
        <v>1490</v>
      </c>
      <c r="CP56" s="1704">
        <v>1712</v>
      </c>
      <c r="CQ56" s="1704">
        <v>1328</v>
      </c>
      <c r="CR56" s="1704">
        <v>1559</v>
      </c>
      <c r="CS56" s="1704">
        <v>1567</v>
      </c>
      <c r="CT56" s="1704">
        <v>1967</v>
      </c>
      <c r="CU56" s="1705">
        <v>1576</v>
      </c>
      <c r="CV56" s="1703">
        <v>1180</v>
      </c>
      <c r="CW56" s="1704">
        <v>1207</v>
      </c>
      <c r="CX56" s="1510">
        <v>1707</v>
      </c>
      <c r="CY56" s="1510">
        <v>1417</v>
      </c>
      <c r="CZ56" s="1510">
        <v>1426</v>
      </c>
      <c r="DA56" s="1510">
        <v>1346</v>
      </c>
      <c r="DB56" s="1510">
        <v>1759</v>
      </c>
      <c r="DC56" s="1510">
        <v>1362</v>
      </c>
      <c r="DD56" s="1510">
        <v>1364</v>
      </c>
      <c r="DE56" s="1510">
        <v>1673</v>
      </c>
      <c r="DF56" s="1510">
        <v>1398</v>
      </c>
      <c r="DG56" s="1705">
        <v>1325</v>
      </c>
      <c r="DH56" s="1706">
        <v>1187</v>
      </c>
      <c r="DI56" s="1707">
        <v>1174</v>
      </c>
      <c r="DJ56" s="1707">
        <v>1524</v>
      </c>
      <c r="DK56" s="1708">
        <v>1104</v>
      </c>
      <c r="DL56" s="1708">
        <v>1264</v>
      </c>
      <c r="DM56" s="1708">
        <v>1329</v>
      </c>
      <c r="DN56" s="1708">
        <v>1498</v>
      </c>
      <c r="DO56" s="1708">
        <v>1248</v>
      </c>
      <c r="DP56" s="1708">
        <v>1273</v>
      </c>
      <c r="DQ56" s="1708">
        <v>1953</v>
      </c>
      <c r="DR56" s="1708">
        <v>1459</v>
      </c>
      <c r="DS56" s="1709">
        <v>1279</v>
      </c>
      <c r="DT56" s="1683">
        <v>1089</v>
      </c>
      <c r="DU56" s="1502">
        <v>1033</v>
      </c>
      <c r="DV56" s="1502">
        <v>1340</v>
      </c>
      <c r="DW56" s="1487">
        <v>1541</v>
      </c>
      <c r="DX56" s="1487">
        <v>1270</v>
      </c>
      <c r="DY56" s="1487">
        <v>1466</v>
      </c>
      <c r="DZ56" s="1487">
        <v>1782</v>
      </c>
      <c r="EA56" s="1487">
        <v>1384</v>
      </c>
      <c r="EB56" s="1487">
        <v>1310</v>
      </c>
      <c r="EC56" s="1487">
        <v>1643</v>
      </c>
      <c r="ED56" s="1487">
        <v>1674</v>
      </c>
      <c r="EE56" s="1486">
        <v>1625</v>
      </c>
      <c r="EF56" s="1927">
        <v>1302</v>
      </c>
      <c r="EG56" s="34">
        <v>1297</v>
      </c>
      <c r="EH56" s="34">
        <v>1472</v>
      </c>
      <c r="EI56" s="34">
        <v>1656</v>
      </c>
      <c r="EJ56" s="34">
        <v>1613</v>
      </c>
      <c r="EK56" s="34">
        <v>1730</v>
      </c>
      <c r="EL56" s="34">
        <v>2122</v>
      </c>
      <c r="EM56" s="2345">
        <v>1672</v>
      </c>
      <c r="EN56" s="2345">
        <v>1935</v>
      </c>
      <c r="EO56" s="2346">
        <v>2094</v>
      </c>
      <c r="EP56" s="2346">
        <v>1907</v>
      </c>
      <c r="EQ56" s="2347">
        <v>1793</v>
      </c>
      <c r="ER56" s="3103">
        <v>1454</v>
      </c>
      <c r="ES56" s="3095"/>
      <c r="ET56" s="3095"/>
      <c r="EU56" s="3095"/>
      <c r="EV56" s="3095"/>
      <c r="EW56" s="3095"/>
      <c r="EX56" s="3095"/>
      <c r="EY56" s="3095"/>
      <c r="EZ56" s="3095"/>
      <c r="FA56" s="3095"/>
      <c r="FB56" s="3095"/>
      <c r="FC56" s="3104"/>
      <c r="FD56" s="2437"/>
      <c r="FE56" s="1710">
        <v>1107</v>
      </c>
      <c r="FF56" s="1711">
        <v>1201</v>
      </c>
      <c r="FG56" s="1711">
        <v>2035</v>
      </c>
      <c r="FH56" s="1712">
        <v>1775</v>
      </c>
      <c r="FI56" s="1713">
        <v>1471</v>
      </c>
      <c r="FJ56" s="1714">
        <v>2006</v>
      </c>
      <c r="FK56" s="1714">
        <v>2219</v>
      </c>
      <c r="FL56" s="1715">
        <v>2497</v>
      </c>
      <c r="FM56" s="1716">
        <v>1567</v>
      </c>
      <c r="FN56" s="1717">
        <v>2059.5</v>
      </c>
      <c r="FO56" s="1718">
        <v>2250</v>
      </c>
      <c r="FP56" s="1718">
        <v>2344</v>
      </c>
      <c r="FQ56" s="1719">
        <v>1855</v>
      </c>
      <c r="FR56" s="1720">
        <v>2406</v>
      </c>
      <c r="FS56" s="1720">
        <v>2536</v>
      </c>
      <c r="FT56" s="1721">
        <v>2521</v>
      </c>
      <c r="FU56" s="1722">
        <v>2150</v>
      </c>
      <c r="FV56" s="1723">
        <v>3268</v>
      </c>
      <c r="FW56" s="1723">
        <v>3162</v>
      </c>
      <c r="FX56" s="1724">
        <v>3090</v>
      </c>
      <c r="FY56" s="1720">
        <v>1804</v>
      </c>
      <c r="FZ56" s="1720">
        <v>3017</v>
      </c>
      <c r="GA56" s="1720">
        <v>3033</v>
      </c>
      <c r="GB56" s="1720">
        <v>3342</v>
      </c>
      <c r="GC56" s="1725">
        <v>2727</v>
      </c>
      <c r="GD56" s="1725">
        <v>3000</v>
      </c>
      <c r="GE56" s="1725">
        <v>3048</v>
      </c>
      <c r="GF56" s="1725">
        <v>3475</v>
      </c>
      <c r="GG56" s="1726">
        <v>4065</v>
      </c>
      <c r="GH56" s="1726">
        <v>4358</v>
      </c>
      <c r="GI56" s="1726">
        <f t="shared" si="17"/>
        <v>4599</v>
      </c>
      <c r="GJ56" s="1726">
        <v>5110</v>
      </c>
      <c r="GK56" s="1727">
        <v>4094</v>
      </c>
      <c r="GL56" s="1727">
        <f t="shared" si="18"/>
        <v>4189</v>
      </c>
      <c r="GM56" s="1727">
        <f t="shared" si="19"/>
        <v>4485</v>
      </c>
      <c r="GN56" s="1726">
        <f t="shared" si="20"/>
        <v>4396</v>
      </c>
      <c r="GO56" s="1541">
        <f t="shared" si="21"/>
        <v>3885</v>
      </c>
      <c r="GP56" s="1541">
        <f t="shared" si="22"/>
        <v>3697</v>
      </c>
      <c r="GQ56" s="1541">
        <f t="shared" si="23"/>
        <v>4025</v>
      </c>
      <c r="GR56" s="1541">
        <f t="shared" si="24"/>
        <v>4691</v>
      </c>
      <c r="GS56" s="1728">
        <f t="shared" si="25"/>
        <v>3462</v>
      </c>
      <c r="GT56" s="1728">
        <f t="shared" si="26"/>
        <v>4277</v>
      </c>
      <c r="GU56" s="1728">
        <f t="shared" si="27"/>
        <v>4476</v>
      </c>
      <c r="GV56" s="1728">
        <f t="shared" si="28"/>
        <v>4942</v>
      </c>
      <c r="GW56" s="1939">
        <f t="shared" si="29"/>
        <v>4071</v>
      </c>
      <c r="GX56" s="1725">
        <f t="shared" si="30"/>
        <v>4999</v>
      </c>
      <c r="GY56" s="1725">
        <f t="shared" si="31"/>
        <v>5729</v>
      </c>
      <c r="GZ56" s="1725">
        <f t="shared" si="32"/>
        <v>5794</v>
      </c>
      <c r="HA56" s="2443">
        <f t="shared" si="33"/>
        <v>1454</v>
      </c>
      <c r="HB56" s="2444">
        <f t="shared" si="34"/>
        <v>0</v>
      </c>
      <c r="HC56" s="2444">
        <f t="shared" si="35"/>
        <v>0</v>
      </c>
      <c r="HD56" s="2444">
        <f t="shared" si="36"/>
        <v>0</v>
      </c>
      <c r="HE56" s="1940"/>
      <c r="HF56" s="1729">
        <v>6118</v>
      </c>
      <c r="HG56" s="1730">
        <v>8193</v>
      </c>
      <c r="HH56" s="1730">
        <v>8220.5</v>
      </c>
      <c r="HI56" s="1730">
        <v>9318</v>
      </c>
      <c r="HJ56" s="1730">
        <v>11670</v>
      </c>
      <c r="HK56" s="1730">
        <v>11196</v>
      </c>
      <c r="HL56" s="2421">
        <v>12250</v>
      </c>
      <c r="HM56" s="2423">
        <v>18132</v>
      </c>
      <c r="HN56" s="2423">
        <f t="shared" si="37"/>
        <v>17164</v>
      </c>
      <c r="HO56" s="2423">
        <f t="shared" si="38"/>
        <v>16292</v>
      </c>
      <c r="HP56" s="2423">
        <f t="shared" si="39"/>
        <v>17157</v>
      </c>
      <c r="HQ56" s="2423">
        <f t="shared" si="40"/>
        <v>20593</v>
      </c>
      <c r="HR56" s="2452">
        <f t="shared" si="41"/>
        <v>1454</v>
      </c>
      <c r="HS56" s="2453">
        <f t="shared" si="49"/>
        <v>20745</v>
      </c>
      <c r="HT56" s="2455">
        <f t="shared" si="42"/>
        <v>18347.166666666668</v>
      </c>
      <c r="HU56" s="1737">
        <f t="shared" si="43"/>
        <v>2.595813430291288E-2</v>
      </c>
      <c r="HV56" s="1737">
        <f t="shared" si="44"/>
        <v>2.6276896027298442E-2</v>
      </c>
      <c r="HW56" s="1737">
        <f t="shared" si="50"/>
        <v>2.973885893934821E-2</v>
      </c>
      <c r="HX56" s="2458">
        <f t="shared" si="51"/>
        <v>2.6495595660501699E-2</v>
      </c>
      <c r="HY56" s="1734"/>
      <c r="HZ56" s="2302">
        <f t="shared" si="45"/>
        <v>5.3093542843113184E-2</v>
      </c>
      <c r="IA56" s="2300">
        <f t="shared" si="46"/>
        <v>0.12614575660856042</v>
      </c>
      <c r="IB56" s="2300">
        <f t="shared" si="47"/>
        <v>0.20026811214081719</v>
      </c>
      <c r="IC56" s="2302">
        <f t="shared" si="48"/>
        <v>7.3811489341037984E-3</v>
      </c>
    </row>
    <row r="57" spans="1:237" s="341" customFormat="1" ht="21.95" customHeight="1">
      <c r="A57" s="544"/>
      <c r="B57" s="543"/>
      <c r="C57" s="545" t="s">
        <v>14</v>
      </c>
      <c r="D57" s="1684">
        <v>979</v>
      </c>
      <c r="E57" s="1685">
        <v>1028</v>
      </c>
      <c r="F57" s="1685">
        <v>1191</v>
      </c>
      <c r="G57" s="1685">
        <v>822</v>
      </c>
      <c r="H57" s="1685">
        <v>771</v>
      </c>
      <c r="I57" s="1685">
        <v>743</v>
      </c>
      <c r="J57" s="1685">
        <v>1668</v>
      </c>
      <c r="K57" s="1685">
        <v>1648</v>
      </c>
      <c r="L57" s="1685">
        <v>1293</v>
      </c>
      <c r="M57" s="1685">
        <v>1389</v>
      </c>
      <c r="N57" s="1685">
        <v>1328</v>
      </c>
      <c r="O57" s="1686">
        <v>1045</v>
      </c>
      <c r="P57" s="1687">
        <v>1064</v>
      </c>
      <c r="Q57" s="1688">
        <v>1703</v>
      </c>
      <c r="R57" s="1688">
        <v>1525</v>
      </c>
      <c r="S57" s="1688">
        <v>905</v>
      </c>
      <c r="T57" s="1688">
        <v>1008</v>
      </c>
      <c r="U57" s="1688">
        <v>1074</v>
      </c>
      <c r="V57" s="1688">
        <v>1651</v>
      </c>
      <c r="W57" s="1688">
        <v>1896</v>
      </c>
      <c r="X57" s="1688">
        <v>1295</v>
      </c>
      <c r="Y57" s="1688">
        <v>1655</v>
      </c>
      <c r="Z57" s="1688">
        <v>1637</v>
      </c>
      <c r="AA57" s="1689">
        <v>1309</v>
      </c>
      <c r="AB57" s="1690">
        <v>1162</v>
      </c>
      <c r="AC57" s="1691">
        <v>1372</v>
      </c>
      <c r="AD57" s="1691">
        <v>1251</v>
      </c>
      <c r="AE57" s="1691">
        <v>1188</v>
      </c>
      <c r="AF57" s="1691">
        <v>1125.5</v>
      </c>
      <c r="AG57" s="1691">
        <v>1063</v>
      </c>
      <c r="AH57" s="1691">
        <v>1694</v>
      </c>
      <c r="AI57" s="1691">
        <v>1936</v>
      </c>
      <c r="AJ57" s="1691">
        <v>1190</v>
      </c>
      <c r="AK57" s="1691">
        <v>1628</v>
      </c>
      <c r="AL57" s="1691">
        <v>1627</v>
      </c>
      <c r="AM57" s="1692">
        <v>1330</v>
      </c>
      <c r="AN57" s="1693">
        <v>1167</v>
      </c>
      <c r="AO57" s="1694">
        <v>1178</v>
      </c>
      <c r="AP57" s="1694">
        <v>1274</v>
      </c>
      <c r="AQ57" s="1694">
        <v>821</v>
      </c>
      <c r="AR57" s="1694">
        <v>976</v>
      </c>
      <c r="AS57" s="1694">
        <v>1016</v>
      </c>
      <c r="AT57" s="1694">
        <v>1824</v>
      </c>
      <c r="AU57" s="1694">
        <v>1850</v>
      </c>
      <c r="AV57" s="1694">
        <v>1266</v>
      </c>
      <c r="AW57" s="1694">
        <v>1582</v>
      </c>
      <c r="AX57" s="1694">
        <v>1470</v>
      </c>
      <c r="AY57" s="1695">
        <v>1296</v>
      </c>
      <c r="AZ57" s="1680">
        <v>1126</v>
      </c>
      <c r="BA57" s="1680">
        <v>1446</v>
      </c>
      <c r="BB57" s="1680">
        <v>1204</v>
      </c>
      <c r="BC57" s="1680">
        <v>1160</v>
      </c>
      <c r="BD57" s="1680">
        <v>926</v>
      </c>
      <c r="BE57" s="1680">
        <v>1107</v>
      </c>
      <c r="BF57" s="1680">
        <v>1753</v>
      </c>
      <c r="BG57" s="1680">
        <v>2142</v>
      </c>
      <c r="BH57" s="1680">
        <v>1459</v>
      </c>
      <c r="BI57" s="1680">
        <v>1726</v>
      </c>
      <c r="BJ57" s="1680">
        <v>1523</v>
      </c>
      <c r="BK57" s="1731">
        <v>1238</v>
      </c>
      <c r="BL57" s="1698">
        <v>1222</v>
      </c>
      <c r="BM57" s="1699">
        <v>1433</v>
      </c>
      <c r="BN57" s="1699">
        <v>1585</v>
      </c>
      <c r="BO57" s="1699">
        <v>1043</v>
      </c>
      <c r="BP57" s="1699">
        <v>1060</v>
      </c>
      <c r="BQ57" s="1699">
        <v>1097</v>
      </c>
      <c r="BR57" s="1699">
        <v>1975</v>
      </c>
      <c r="BS57" s="1699">
        <v>2483</v>
      </c>
      <c r="BT57" s="1700">
        <v>1516</v>
      </c>
      <c r="BU57" s="1700">
        <v>1776</v>
      </c>
      <c r="BV57" s="1700">
        <v>1812</v>
      </c>
      <c r="BW57" s="1701">
        <v>1505</v>
      </c>
      <c r="BX57" s="1702">
        <v>1259</v>
      </c>
      <c r="BY57" s="1511">
        <v>1498</v>
      </c>
      <c r="BZ57" s="1511">
        <v>1791</v>
      </c>
      <c r="CA57" s="1511">
        <v>999</v>
      </c>
      <c r="CB57" s="1511">
        <v>1135</v>
      </c>
      <c r="CC57" s="1511">
        <v>1094</v>
      </c>
      <c r="CD57" s="1511">
        <v>1954</v>
      </c>
      <c r="CE57" s="1511">
        <v>2103</v>
      </c>
      <c r="CF57" s="1511">
        <v>1514</v>
      </c>
      <c r="CG57" s="1511">
        <v>1650</v>
      </c>
      <c r="CH57" s="1511">
        <v>1669</v>
      </c>
      <c r="CI57" s="1513">
        <v>1507</v>
      </c>
      <c r="CJ57" s="1703">
        <v>1252</v>
      </c>
      <c r="CK57" s="1704">
        <v>1443</v>
      </c>
      <c r="CL57" s="1704">
        <v>1447</v>
      </c>
      <c r="CM57" s="1704">
        <v>1394</v>
      </c>
      <c r="CN57" s="1704">
        <v>1109</v>
      </c>
      <c r="CO57" s="1704">
        <v>986</v>
      </c>
      <c r="CP57" s="1704">
        <v>2241</v>
      </c>
      <c r="CQ57" s="1704">
        <v>2458</v>
      </c>
      <c r="CR57" s="1704">
        <v>1566</v>
      </c>
      <c r="CS57" s="1704">
        <v>1926</v>
      </c>
      <c r="CT57" s="1704">
        <v>1800</v>
      </c>
      <c r="CU57" s="1705">
        <v>1600</v>
      </c>
      <c r="CV57" s="1703">
        <v>1310</v>
      </c>
      <c r="CW57" s="1704">
        <v>1458</v>
      </c>
      <c r="CX57" s="1510">
        <v>1764</v>
      </c>
      <c r="CY57" s="1510">
        <v>1021</v>
      </c>
      <c r="CZ57" s="1510">
        <v>1209</v>
      </c>
      <c r="DA57" s="1510">
        <v>1089</v>
      </c>
      <c r="DB57" s="1510">
        <v>1876</v>
      </c>
      <c r="DC57" s="1510">
        <v>2424</v>
      </c>
      <c r="DD57" s="1510">
        <v>1390</v>
      </c>
      <c r="DE57" s="1510">
        <v>1890</v>
      </c>
      <c r="DF57" s="1510">
        <v>1595</v>
      </c>
      <c r="DG57" s="1705">
        <v>1538</v>
      </c>
      <c r="DH57" s="1706">
        <v>1219</v>
      </c>
      <c r="DI57" s="1707">
        <v>1461</v>
      </c>
      <c r="DJ57" s="1707">
        <v>1530</v>
      </c>
      <c r="DK57" s="1708">
        <v>984</v>
      </c>
      <c r="DL57" s="1708">
        <v>1111</v>
      </c>
      <c r="DM57" s="1708">
        <v>1105</v>
      </c>
      <c r="DN57" s="1708">
        <v>2133</v>
      </c>
      <c r="DO57" s="1708">
        <v>2090</v>
      </c>
      <c r="DP57" s="1708">
        <v>1262</v>
      </c>
      <c r="DQ57" s="1708">
        <v>1939</v>
      </c>
      <c r="DR57" s="1708">
        <v>1447</v>
      </c>
      <c r="DS57" s="1709">
        <v>1384</v>
      </c>
      <c r="DT57" s="1683">
        <v>1181</v>
      </c>
      <c r="DU57" s="1502">
        <v>1257</v>
      </c>
      <c r="DV57" s="1502">
        <v>1493</v>
      </c>
      <c r="DW57" s="1487">
        <v>1328</v>
      </c>
      <c r="DX57" s="1487">
        <v>1017</v>
      </c>
      <c r="DY57" s="1487">
        <v>1177</v>
      </c>
      <c r="DZ57" s="1487">
        <v>1762</v>
      </c>
      <c r="EA57" s="1487">
        <v>2116</v>
      </c>
      <c r="EB57" s="1487">
        <v>1515</v>
      </c>
      <c r="EC57" s="1487">
        <v>2079</v>
      </c>
      <c r="ED57" s="1487">
        <v>1709</v>
      </c>
      <c r="EE57" s="1486">
        <v>1429</v>
      </c>
      <c r="EF57" s="1927">
        <v>1364</v>
      </c>
      <c r="EG57" s="34">
        <v>1772</v>
      </c>
      <c r="EH57" s="34">
        <v>1987</v>
      </c>
      <c r="EI57" s="34">
        <v>1233</v>
      </c>
      <c r="EJ57" s="34">
        <v>1437</v>
      </c>
      <c r="EK57" s="34">
        <v>1289</v>
      </c>
      <c r="EL57" s="34">
        <v>2110</v>
      </c>
      <c r="EM57" s="2345">
        <v>2013</v>
      </c>
      <c r="EN57" s="2345">
        <v>1690</v>
      </c>
      <c r="EO57" s="2346">
        <v>1860</v>
      </c>
      <c r="EP57" s="2346">
        <v>2026</v>
      </c>
      <c r="EQ57" s="2347">
        <v>1630</v>
      </c>
      <c r="ER57" s="3103">
        <v>1437</v>
      </c>
      <c r="ES57" s="3095"/>
      <c r="ET57" s="3095"/>
      <c r="EU57" s="3095"/>
      <c r="EV57" s="3095"/>
      <c r="EW57" s="3095"/>
      <c r="EX57" s="3095"/>
      <c r="EY57" s="3095"/>
      <c r="EZ57" s="3095"/>
      <c r="FA57" s="3095"/>
      <c r="FB57" s="3095"/>
      <c r="FC57" s="3104"/>
      <c r="FD57" s="2437"/>
      <c r="FE57" s="1710">
        <v>3198</v>
      </c>
      <c r="FF57" s="1711">
        <v>2336</v>
      </c>
      <c r="FG57" s="1711">
        <v>4609</v>
      </c>
      <c r="FH57" s="1712">
        <v>3762</v>
      </c>
      <c r="FI57" s="1713">
        <v>4292</v>
      </c>
      <c r="FJ57" s="1714">
        <v>2987</v>
      </c>
      <c r="FK57" s="1714">
        <v>4842</v>
      </c>
      <c r="FL57" s="1715">
        <v>4601</v>
      </c>
      <c r="FM57" s="1716">
        <v>3785</v>
      </c>
      <c r="FN57" s="1717">
        <v>3376.5</v>
      </c>
      <c r="FO57" s="1718">
        <v>4820</v>
      </c>
      <c r="FP57" s="1718">
        <v>4585</v>
      </c>
      <c r="FQ57" s="1719">
        <v>3619</v>
      </c>
      <c r="FR57" s="1720">
        <v>2813</v>
      </c>
      <c r="FS57" s="1720">
        <v>4940</v>
      </c>
      <c r="FT57" s="1721">
        <v>4348</v>
      </c>
      <c r="FU57" s="1722">
        <v>3776</v>
      </c>
      <c r="FV57" s="1723">
        <v>3193</v>
      </c>
      <c r="FW57" s="1723">
        <v>5354</v>
      </c>
      <c r="FX57" s="1724">
        <v>4487</v>
      </c>
      <c r="FY57" s="1720">
        <v>4240</v>
      </c>
      <c r="FZ57" s="1720">
        <v>3200</v>
      </c>
      <c r="GA57" s="1720">
        <v>5974</v>
      </c>
      <c r="GB57" s="1720">
        <v>5093</v>
      </c>
      <c r="GC57" s="1725">
        <v>4548</v>
      </c>
      <c r="GD57" s="1725">
        <v>3228</v>
      </c>
      <c r="GE57" s="1725">
        <v>5571</v>
      </c>
      <c r="GF57" s="1725">
        <v>4826</v>
      </c>
      <c r="GG57" s="1726">
        <v>4142</v>
      </c>
      <c r="GH57" s="1726">
        <v>3489</v>
      </c>
      <c r="GI57" s="1726">
        <f t="shared" si="17"/>
        <v>6265</v>
      </c>
      <c r="GJ57" s="1726">
        <v>5326</v>
      </c>
      <c r="GK57" s="1727">
        <v>4532</v>
      </c>
      <c r="GL57" s="1727">
        <f t="shared" si="18"/>
        <v>3319</v>
      </c>
      <c r="GM57" s="1727">
        <f t="shared" si="19"/>
        <v>5690</v>
      </c>
      <c r="GN57" s="1726">
        <f t="shared" si="20"/>
        <v>5023</v>
      </c>
      <c r="GO57" s="1541">
        <f t="shared" si="21"/>
        <v>4210</v>
      </c>
      <c r="GP57" s="1541">
        <f t="shared" si="22"/>
        <v>3200</v>
      </c>
      <c r="GQ57" s="1541">
        <f t="shared" si="23"/>
        <v>5607</v>
      </c>
      <c r="GR57" s="1541">
        <f t="shared" si="24"/>
        <v>4770</v>
      </c>
      <c r="GS57" s="1728">
        <f t="shared" si="25"/>
        <v>3931</v>
      </c>
      <c r="GT57" s="1728">
        <f t="shared" si="26"/>
        <v>3522</v>
      </c>
      <c r="GU57" s="1728">
        <f t="shared" si="27"/>
        <v>5393</v>
      </c>
      <c r="GV57" s="1728">
        <f t="shared" si="28"/>
        <v>5217</v>
      </c>
      <c r="GW57" s="1939">
        <f t="shared" si="29"/>
        <v>5123</v>
      </c>
      <c r="GX57" s="1725">
        <f t="shared" si="30"/>
        <v>3959</v>
      </c>
      <c r="GY57" s="1725">
        <f t="shared" si="31"/>
        <v>5813</v>
      </c>
      <c r="GZ57" s="1725">
        <f t="shared" si="32"/>
        <v>5516</v>
      </c>
      <c r="HA57" s="2443">
        <f t="shared" si="33"/>
        <v>1437</v>
      </c>
      <c r="HB57" s="2444">
        <f t="shared" si="34"/>
        <v>0</v>
      </c>
      <c r="HC57" s="2444">
        <f t="shared" si="35"/>
        <v>0</v>
      </c>
      <c r="HD57" s="2444">
        <f t="shared" si="36"/>
        <v>0</v>
      </c>
      <c r="HE57" s="1940"/>
      <c r="HF57" s="1729">
        <v>13905</v>
      </c>
      <c r="HG57" s="1730">
        <v>16722</v>
      </c>
      <c r="HH57" s="1730">
        <v>16566.5</v>
      </c>
      <c r="HI57" s="1730">
        <v>15720</v>
      </c>
      <c r="HJ57" s="1730">
        <v>16810</v>
      </c>
      <c r="HK57" s="1730">
        <v>18507</v>
      </c>
      <c r="HL57" s="2421">
        <v>18173</v>
      </c>
      <c r="HM57" s="2423">
        <v>19222</v>
      </c>
      <c r="HN57" s="2423">
        <f t="shared" si="37"/>
        <v>18564</v>
      </c>
      <c r="HO57" s="2423">
        <f t="shared" si="38"/>
        <v>17665</v>
      </c>
      <c r="HP57" s="2423">
        <f t="shared" si="39"/>
        <v>18063</v>
      </c>
      <c r="HQ57" s="2423">
        <f t="shared" si="40"/>
        <v>20411</v>
      </c>
      <c r="HR57" s="2452">
        <f t="shared" si="41"/>
        <v>1437</v>
      </c>
      <c r="HS57" s="2453">
        <f t="shared" si="49"/>
        <v>20484</v>
      </c>
      <c r="HT57" s="2455">
        <f t="shared" si="42"/>
        <v>19068.166666666668</v>
      </c>
      <c r="HU57" s="1737">
        <f t="shared" si="43"/>
        <v>2.8145742846854654E-2</v>
      </c>
      <c r="HV57" s="1737">
        <f t="shared" si="44"/>
        <v>2.7664485221256151E-2</v>
      </c>
      <c r="HW57" s="1737">
        <f t="shared" si="50"/>
        <v>2.9476028252854673E-2</v>
      </c>
      <c r="HX57" s="2458">
        <f t="shared" si="51"/>
        <v>2.7536809533918398E-2</v>
      </c>
      <c r="HY57" s="1734"/>
      <c r="HZ57" s="2302">
        <f t="shared" si="45"/>
        <v>2.253042739881117E-2</v>
      </c>
      <c r="IA57" s="2300">
        <f t="shared" si="46"/>
        <v>7.9432021888857562E-2</v>
      </c>
      <c r="IB57" s="2300">
        <f t="shared" si="47"/>
        <v>0.1299894812600344</v>
      </c>
      <c r="IC57" s="2302">
        <f t="shared" si="48"/>
        <v>3.5765028661016718E-3</v>
      </c>
    </row>
    <row r="58" spans="1:237" s="341" customFormat="1" ht="21.95" customHeight="1">
      <c r="A58" s="544"/>
      <c r="B58" s="543"/>
      <c r="C58" s="2174" t="s">
        <v>17</v>
      </c>
      <c r="D58" s="1684">
        <v>1097</v>
      </c>
      <c r="E58" s="1685">
        <v>1128</v>
      </c>
      <c r="F58" s="1685">
        <v>1588</v>
      </c>
      <c r="G58" s="1685">
        <v>794</v>
      </c>
      <c r="H58" s="1685">
        <v>1013</v>
      </c>
      <c r="I58" s="1685">
        <v>864</v>
      </c>
      <c r="J58" s="1685">
        <v>1335</v>
      </c>
      <c r="K58" s="1685">
        <v>1183</v>
      </c>
      <c r="L58" s="1685">
        <v>675</v>
      </c>
      <c r="M58" s="1685">
        <v>1026</v>
      </c>
      <c r="N58" s="1685">
        <v>1173</v>
      </c>
      <c r="O58" s="1686">
        <v>1378</v>
      </c>
      <c r="P58" s="1687">
        <v>1388</v>
      </c>
      <c r="Q58" s="1688">
        <v>2196</v>
      </c>
      <c r="R58" s="1688">
        <v>1673</v>
      </c>
      <c r="S58" s="1688">
        <v>1110</v>
      </c>
      <c r="T58" s="1688">
        <v>1238</v>
      </c>
      <c r="U58" s="1688">
        <v>1120</v>
      </c>
      <c r="V58" s="1688">
        <v>1523</v>
      </c>
      <c r="W58" s="1688">
        <v>1054</v>
      </c>
      <c r="X58" s="1688">
        <v>752</v>
      </c>
      <c r="Y58" s="1688">
        <v>1026</v>
      </c>
      <c r="Z58" s="1688">
        <v>1336</v>
      </c>
      <c r="AA58" s="1689">
        <v>1471</v>
      </c>
      <c r="AB58" s="1690">
        <v>1451</v>
      </c>
      <c r="AC58" s="1691">
        <v>1549</v>
      </c>
      <c r="AD58" s="1691">
        <v>1686</v>
      </c>
      <c r="AE58" s="1691">
        <v>1231</v>
      </c>
      <c r="AF58" s="1691">
        <v>1258.5</v>
      </c>
      <c r="AG58" s="1691">
        <v>1286</v>
      </c>
      <c r="AH58" s="1691">
        <v>1497</v>
      </c>
      <c r="AI58" s="1691">
        <v>1229</v>
      </c>
      <c r="AJ58" s="1691">
        <v>696</v>
      </c>
      <c r="AK58" s="1691">
        <v>955</v>
      </c>
      <c r="AL58" s="1691">
        <v>1183</v>
      </c>
      <c r="AM58" s="1692">
        <v>1674</v>
      </c>
      <c r="AN58" s="1693">
        <v>1425</v>
      </c>
      <c r="AO58" s="1694">
        <v>1645</v>
      </c>
      <c r="AP58" s="1694">
        <v>1789</v>
      </c>
      <c r="AQ58" s="1694">
        <v>1180</v>
      </c>
      <c r="AR58" s="1694">
        <v>1399</v>
      </c>
      <c r="AS58" s="1694">
        <v>1174</v>
      </c>
      <c r="AT58" s="1694">
        <v>1698</v>
      </c>
      <c r="AU58" s="1694">
        <v>1224</v>
      </c>
      <c r="AV58" s="1694">
        <v>650</v>
      </c>
      <c r="AW58" s="1694">
        <v>1101</v>
      </c>
      <c r="AX58" s="1694">
        <v>1202</v>
      </c>
      <c r="AY58" s="1695">
        <v>1523</v>
      </c>
      <c r="AZ58" s="1680">
        <v>1487</v>
      </c>
      <c r="BA58" s="1680">
        <v>1741</v>
      </c>
      <c r="BB58" s="1680">
        <v>1757</v>
      </c>
      <c r="BC58" s="1680">
        <v>1161</v>
      </c>
      <c r="BD58" s="1680">
        <v>1486</v>
      </c>
      <c r="BE58" s="1680">
        <v>1172</v>
      </c>
      <c r="BF58" s="1680">
        <v>1748</v>
      </c>
      <c r="BG58" s="1680">
        <v>1257</v>
      </c>
      <c r="BH58" s="1680">
        <v>770</v>
      </c>
      <c r="BI58" s="1680">
        <v>1371</v>
      </c>
      <c r="BJ58" s="1680">
        <v>1247</v>
      </c>
      <c r="BK58" s="1731">
        <v>1717</v>
      </c>
      <c r="BL58" s="1698">
        <v>1699</v>
      </c>
      <c r="BM58" s="1699">
        <v>1657</v>
      </c>
      <c r="BN58" s="1699">
        <v>1895</v>
      </c>
      <c r="BO58" s="1699">
        <v>1311</v>
      </c>
      <c r="BP58" s="1699">
        <v>1551</v>
      </c>
      <c r="BQ58" s="1699">
        <v>1339</v>
      </c>
      <c r="BR58" s="1699">
        <v>1694</v>
      </c>
      <c r="BS58" s="1699">
        <v>1391</v>
      </c>
      <c r="BT58" s="1700">
        <v>950</v>
      </c>
      <c r="BU58" s="1700">
        <v>1450</v>
      </c>
      <c r="BV58" s="1700">
        <v>1542</v>
      </c>
      <c r="BW58" s="1701">
        <v>1940</v>
      </c>
      <c r="BX58" s="1702">
        <v>1614</v>
      </c>
      <c r="BY58" s="1511">
        <v>1762</v>
      </c>
      <c r="BZ58" s="1511">
        <v>2027</v>
      </c>
      <c r="CA58" s="1511">
        <v>1646</v>
      </c>
      <c r="CB58" s="1511">
        <v>1560</v>
      </c>
      <c r="CC58" s="1511">
        <v>1312</v>
      </c>
      <c r="CD58" s="1511">
        <v>1894</v>
      </c>
      <c r="CE58" s="1511">
        <v>1246</v>
      </c>
      <c r="CF58" s="1511">
        <v>1069</v>
      </c>
      <c r="CG58" s="1511">
        <v>1302</v>
      </c>
      <c r="CH58" s="1511">
        <v>1849</v>
      </c>
      <c r="CI58" s="1513">
        <v>1875</v>
      </c>
      <c r="CJ58" s="1703">
        <v>1969</v>
      </c>
      <c r="CK58" s="1704">
        <v>2078</v>
      </c>
      <c r="CL58" s="1704">
        <v>2126</v>
      </c>
      <c r="CM58" s="1704">
        <v>1741</v>
      </c>
      <c r="CN58" s="1704">
        <v>1834</v>
      </c>
      <c r="CO58" s="1704">
        <v>1415</v>
      </c>
      <c r="CP58" s="1704">
        <v>1946</v>
      </c>
      <c r="CQ58" s="1704">
        <v>1377</v>
      </c>
      <c r="CR58" s="1704">
        <v>1099</v>
      </c>
      <c r="CS58" s="1704">
        <v>1315</v>
      </c>
      <c r="CT58" s="1704">
        <v>1764</v>
      </c>
      <c r="CU58" s="1705">
        <v>2184</v>
      </c>
      <c r="CV58" s="1703">
        <v>2293</v>
      </c>
      <c r="CW58" s="1704">
        <v>2373</v>
      </c>
      <c r="CX58" s="1510">
        <v>2492</v>
      </c>
      <c r="CY58" s="1510">
        <v>1804</v>
      </c>
      <c r="CZ58" s="1510">
        <v>1766</v>
      </c>
      <c r="DA58" s="1510">
        <v>1447</v>
      </c>
      <c r="DB58" s="1510">
        <v>1820</v>
      </c>
      <c r="DC58" s="1510">
        <v>1470</v>
      </c>
      <c r="DD58" s="1510">
        <v>1006</v>
      </c>
      <c r="DE58" s="1510">
        <v>1543</v>
      </c>
      <c r="DF58" s="1510">
        <v>1675</v>
      </c>
      <c r="DG58" s="1705">
        <v>1968</v>
      </c>
      <c r="DH58" s="1706">
        <v>2212</v>
      </c>
      <c r="DI58" s="1707">
        <v>2279</v>
      </c>
      <c r="DJ58" s="1707">
        <v>2405</v>
      </c>
      <c r="DK58" s="1708">
        <v>1417</v>
      </c>
      <c r="DL58" s="1708">
        <v>1492</v>
      </c>
      <c r="DM58" s="1708">
        <v>1401</v>
      </c>
      <c r="DN58" s="1708">
        <v>1771</v>
      </c>
      <c r="DO58" s="1708">
        <v>1274</v>
      </c>
      <c r="DP58" s="1708">
        <v>857</v>
      </c>
      <c r="DQ58" s="1708">
        <v>1361</v>
      </c>
      <c r="DR58" s="1708">
        <v>1421</v>
      </c>
      <c r="DS58" s="1709">
        <v>1636</v>
      </c>
      <c r="DT58" s="1683">
        <v>1773</v>
      </c>
      <c r="DU58" s="1502">
        <v>1831</v>
      </c>
      <c r="DV58" s="1502">
        <v>2120</v>
      </c>
      <c r="DW58" s="1487">
        <v>1423</v>
      </c>
      <c r="DX58" s="1487">
        <v>1427</v>
      </c>
      <c r="DY58" s="1487">
        <v>1092</v>
      </c>
      <c r="DZ58" s="1487">
        <v>1458</v>
      </c>
      <c r="EA58" s="1487">
        <v>1343</v>
      </c>
      <c r="EB58" s="1487">
        <v>861</v>
      </c>
      <c r="EC58" s="1487">
        <v>1355</v>
      </c>
      <c r="ED58" s="1487">
        <v>1698</v>
      </c>
      <c r="EE58" s="1486">
        <v>1912</v>
      </c>
      <c r="EF58" s="1927">
        <v>2025</v>
      </c>
      <c r="EG58" s="34">
        <v>2289</v>
      </c>
      <c r="EH58" s="34">
        <v>2452</v>
      </c>
      <c r="EI58" s="34">
        <v>1346</v>
      </c>
      <c r="EJ58" s="34">
        <v>1691</v>
      </c>
      <c r="EK58" s="34">
        <v>1280</v>
      </c>
      <c r="EL58" s="34">
        <v>1777</v>
      </c>
      <c r="EM58" s="2345">
        <v>1210</v>
      </c>
      <c r="EN58" s="2345">
        <v>1034</v>
      </c>
      <c r="EO58" s="2346">
        <v>1386</v>
      </c>
      <c r="EP58" s="2346">
        <v>1601</v>
      </c>
      <c r="EQ58" s="2347">
        <v>1810</v>
      </c>
      <c r="ER58" s="3105">
        <v>2035</v>
      </c>
      <c r="ES58" s="3096"/>
      <c r="ET58" s="3096"/>
      <c r="EU58" s="3096"/>
      <c r="EV58" s="3096"/>
      <c r="EW58" s="3096"/>
      <c r="EX58" s="3096"/>
      <c r="EY58" s="3096"/>
      <c r="EZ58" s="3096"/>
      <c r="FA58" s="3096"/>
      <c r="FB58" s="3096"/>
      <c r="FC58" s="3106"/>
      <c r="FD58" s="2437"/>
      <c r="FE58" s="1710">
        <v>3813</v>
      </c>
      <c r="FF58" s="1711">
        <v>2671</v>
      </c>
      <c r="FG58" s="1711">
        <v>3193</v>
      </c>
      <c r="FH58" s="1712">
        <v>3577</v>
      </c>
      <c r="FI58" s="1713">
        <v>5257</v>
      </c>
      <c r="FJ58" s="1714">
        <v>3468</v>
      </c>
      <c r="FK58" s="1714">
        <v>3329</v>
      </c>
      <c r="FL58" s="1715">
        <v>3833</v>
      </c>
      <c r="FM58" s="1716">
        <v>4686</v>
      </c>
      <c r="FN58" s="1717">
        <v>3775.5</v>
      </c>
      <c r="FO58" s="1718">
        <v>3422</v>
      </c>
      <c r="FP58" s="1718">
        <v>3812</v>
      </c>
      <c r="FQ58" s="1719">
        <v>4859</v>
      </c>
      <c r="FR58" s="1720">
        <v>3753</v>
      </c>
      <c r="FS58" s="1720">
        <v>3572</v>
      </c>
      <c r="FT58" s="1721">
        <v>3826</v>
      </c>
      <c r="FU58" s="1722">
        <v>4985</v>
      </c>
      <c r="FV58" s="1723">
        <v>3819</v>
      </c>
      <c r="FW58" s="1723">
        <v>3775</v>
      </c>
      <c r="FX58" s="1724">
        <v>4335</v>
      </c>
      <c r="FY58" s="1720">
        <v>5251</v>
      </c>
      <c r="FZ58" s="1720">
        <v>4201</v>
      </c>
      <c r="GA58" s="1720">
        <v>4035</v>
      </c>
      <c r="GB58" s="1720">
        <v>4932</v>
      </c>
      <c r="GC58" s="1725">
        <v>5403</v>
      </c>
      <c r="GD58" s="1725">
        <v>4518</v>
      </c>
      <c r="GE58" s="1725">
        <v>4209</v>
      </c>
      <c r="GF58" s="1725">
        <v>5026</v>
      </c>
      <c r="GG58" s="1726">
        <v>6173</v>
      </c>
      <c r="GH58" s="1726">
        <v>4990</v>
      </c>
      <c r="GI58" s="1726">
        <f t="shared" si="17"/>
        <v>4422</v>
      </c>
      <c r="GJ58" s="1726">
        <v>5263</v>
      </c>
      <c r="GK58" s="1727">
        <v>7158</v>
      </c>
      <c r="GL58" s="1727">
        <f t="shared" si="18"/>
        <v>5017</v>
      </c>
      <c r="GM58" s="1727">
        <f t="shared" si="19"/>
        <v>4296</v>
      </c>
      <c r="GN58" s="1726">
        <f t="shared" si="20"/>
        <v>5186</v>
      </c>
      <c r="GO58" s="1541">
        <f t="shared" si="21"/>
        <v>6896</v>
      </c>
      <c r="GP58" s="1541">
        <f t="shared" si="22"/>
        <v>4310</v>
      </c>
      <c r="GQ58" s="1541">
        <f t="shared" si="23"/>
        <v>4681</v>
      </c>
      <c r="GR58" s="1541">
        <f t="shared" si="24"/>
        <v>4418</v>
      </c>
      <c r="GS58" s="1728">
        <f t="shared" si="25"/>
        <v>5724</v>
      </c>
      <c r="GT58" s="1728">
        <f t="shared" si="26"/>
        <v>3942</v>
      </c>
      <c r="GU58" s="1728">
        <f t="shared" si="27"/>
        <v>3662</v>
      </c>
      <c r="GV58" s="1728">
        <f t="shared" si="28"/>
        <v>4965</v>
      </c>
      <c r="GW58" s="1939">
        <f t="shared" si="29"/>
        <v>6766</v>
      </c>
      <c r="GX58" s="1725">
        <f t="shared" si="30"/>
        <v>4317</v>
      </c>
      <c r="GY58" s="1725">
        <f t="shared" si="31"/>
        <v>4021</v>
      </c>
      <c r="GZ58" s="1725">
        <f t="shared" si="32"/>
        <v>4797</v>
      </c>
      <c r="HA58" s="2443">
        <f t="shared" si="33"/>
        <v>2035</v>
      </c>
      <c r="HB58" s="2444">
        <f t="shared" si="34"/>
        <v>0</v>
      </c>
      <c r="HC58" s="2444">
        <f t="shared" si="35"/>
        <v>0</v>
      </c>
      <c r="HD58" s="2444">
        <f t="shared" si="36"/>
        <v>0</v>
      </c>
      <c r="HE58" s="1940"/>
      <c r="HF58" s="1729">
        <v>13254</v>
      </c>
      <c r="HG58" s="1730">
        <v>15887</v>
      </c>
      <c r="HH58" s="1730">
        <v>15695.5</v>
      </c>
      <c r="HI58" s="1730">
        <v>16010</v>
      </c>
      <c r="HJ58" s="1730">
        <v>16914</v>
      </c>
      <c r="HK58" s="1730">
        <v>18419</v>
      </c>
      <c r="HL58" s="2421">
        <v>19156</v>
      </c>
      <c r="HM58" s="2423">
        <v>20848</v>
      </c>
      <c r="HN58" s="2423">
        <f t="shared" si="37"/>
        <v>21657</v>
      </c>
      <c r="HO58" s="2423">
        <f t="shared" si="38"/>
        <v>19526</v>
      </c>
      <c r="HP58" s="2423">
        <f t="shared" si="39"/>
        <v>18293</v>
      </c>
      <c r="HQ58" s="2423">
        <f t="shared" si="40"/>
        <v>19901</v>
      </c>
      <c r="HR58" s="2452">
        <f t="shared" si="41"/>
        <v>2035</v>
      </c>
      <c r="HS58" s="2453">
        <f t="shared" si="49"/>
        <v>19911</v>
      </c>
      <c r="HT58" s="2455">
        <f t="shared" si="42"/>
        <v>20022.666666666668</v>
      </c>
      <c r="HU58" s="1737">
        <f t="shared" si="43"/>
        <v>3.1110884507652647E-2</v>
      </c>
      <c r="HV58" s="1737">
        <f t="shared" si="44"/>
        <v>2.8016742963651597E-2</v>
      </c>
      <c r="HW58" s="1737">
        <f t="shared" si="50"/>
        <v>2.873952468081235E-2</v>
      </c>
      <c r="HX58" s="2458">
        <f t="shared" si="51"/>
        <v>2.8915226513358396E-2</v>
      </c>
      <c r="HY58" s="1734"/>
      <c r="HZ58" s="2302">
        <f t="shared" si="45"/>
        <v>-6.3146573799037209E-2</v>
      </c>
      <c r="IA58" s="2300">
        <f t="shared" si="46"/>
        <v>2.543617057598424E-2</v>
      </c>
      <c r="IB58" s="2300">
        <f t="shared" si="47"/>
        <v>8.7902476357076376E-2</v>
      </c>
      <c r="IC58" s="2302">
        <f t="shared" si="48"/>
        <v>5.0248731219526555E-4</v>
      </c>
    </row>
    <row r="59" spans="1:237" s="341" customFormat="1" ht="21.95" customHeight="1">
      <c r="A59" s="544"/>
      <c r="B59" s="543"/>
      <c r="C59" s="545" t="s">
        <v>11</v>
      </c>
      <c r="D59" s="1684">
        <v>597</v>
      </c>
      <c r="E59" s="1685">
        <v>619</v>
      </c>
      <c r="F59" s="1685">
        <v>664</v>
      </c>
      <c r="G59" s="1685">
        <v>603</v>
      </c>
      <c r="H59" s="1685">
        <v>624</v>
      </c>
      <c r="I59" s="1685">
        <v>757</v>
      </c>
      <c r="J59" s="1685">
        <v>855</v>
      </c>
      <c r="K59" s="1685">
        <v>821</v>
      </c>
      <c r="L59" s="1685">
        <v>861</v>
      </c>
      <c r="M59" s="1685">
        <v>909</v>
      </c>
      <c r="N59" s="1685">
        <v>950</v>
      </c>
      <c r="O59" s="1686">
        <v>519</v>
      </c>
      <c r="P59" s="1687">
        <v>656</v>
      </c>
      <c r="Q59" s="1688">
        <v>1028</v>
      </c>
      <c r="R59" s="1688">
        <v>728</v>
      </c>
      <c r="S59" s="1688">
        <v>856</v>
      </c>
      <c r="T59" s="1688">
        <v>835</v>
      </c>
      <c r="U59" s="1688">
        <v>752</v>
      </c>
      <c r="V59" s="1688">
        <v>845</v>
      </c>
      <c r="W59" s="1688">
        <v>925</v>
      </c>
      <c r="X59" s="1688">
        <v>919</v>
      </c>
      <c r="Y59" s="1688">
        <v>813</v>
      </c>
      <c r="Z59" s="1688">
        <v>935</v>
      </c>
      <c r="AA59" s="1689">
        <v>759</v>
      </c>
      <c r="AB59" s="1690">
        <v>1199</v>
      </c>
      <c r="AC59" s="1691">
        <v>857</v>
      </c>
      <c r="AD59" s="1691">
        <v>1043</v>
      </c>
      <c r="AE59" s="1691">
        <v>841</v>
      </c>
      <c r="AF59" s="1691">
        <v>873</v>
      </c>
      <c r="AG59" s="1691">
        <v>905</v>
      </c>
      <c r="AH59" s="1691">
        <v>964</v>
      </c>
      <c r="AI59" s="1691">
        <v>761</v>
      </c>
      <c r="AJ59" s="1691">
        <v>873</v>
      </c>
      <c r="AK59" s="1691">
        <v>845</v>
      </c>
      <c r="AL59" s="1691">
        <v>869</v>
      </c>
      <c r="AM59" s="1692">
        <v>782</v>
      </c>
      <c r="AN59" s="1693">
        <v>924</v>
      </c>
      <c r="AO59" s="1694">
        <v>1186</v>
      </c>
      <c r="AP59" s="1694">
        <v>910</v>
      </c>
      <c r="AQ59" s="1694">
        <v>828</v>
      </c>
      <c r="AR59" s="1694">
        <v>935</v>
      </c>
      <c r="AS59" s="1694">
        <v>820</v>
      </c>
      <c r="AT59" s="1694">
        <v>779</v>
      </c>
      <c r="AU59" s="1694">
        <v>919</v>
      </c>
      <c r="AV59" s="1694">
        <v>728</v>
      </c>
      <c r="AW59" s="1694">
        <v>943</v>
      </c>
      <c r="AX59" s="1694">
        <v>971</v>
      </c>
      <c r="AY59" s="1695">
        <v>681</v>
      </c>
      <c r="AZ59" s="1680">
        <v>724</v>
      </c>
      <c r="BA59" s="1680">
        <v>842</v>
      </c>
      <c r="BB59" s="1680">
        <v>1005</v>
      </c>
      <c r="BC59" s="1680">
        <v>954</v>
      </c>
      <c r="BD59" s="1680">
        <v>999</v>
      </c>
      <c r="BE59" s="1680">
        <v>933</v>
      </c>
      <c r="BF59" s="1680">
        <v>1055</v>
      </c>
      <c r="BG59" s="1680">
        <v>987</v>
      </c>
      <c r="BH59" s="1680">
        <v>933</v>
      </c>
      <c r="BI59" s="1680">
        <v>1124</v>
      </c>
      <c r="BJ59" s="1680">
        <v>1562</v>
      </c>
      <c r="BK59" s="1731">
        <v>831</v>
      </c>
      <c r="BL59" s="1698">
        <v>932</v>
      </c>
      <c r="BM59" s="1699">
        <v>818</v>
      </c>
      <c r="BN59" s="1699">
        <v>1172</v>
      </c>
      <c r="BO59" s="1699">
        <v>1112</v>
      </c>
      <c r="BP59" s="1699">
        <v>1238</v>
      </c>
      <c r="BQ59" s="1699">
        <v>1179</v>
      </c>
      <c r="BR59" s="1699">
        <v>1336</v>
      </c>
      <c r="BS59" s="1699">
        <v>1297</v>
      </c>
      <c r="BT59" s="1700">
        <v>1381</v>
      </c>
      <c r="BU59" s="1700">
        <v>1530</v>
      </c>
      <c r="BV59" s="1700">
        <v>1372</v>
      </c>
      <c r="BW59" s="1701">
        <v>931</v>
      </c>
      <c r="BX59" s="1702">
        <v>1248</v>
      </c>
      <c r="BY59" s="1511">
        <v>1342</v>
      </c>
      <c r="BZ59" s="1511">
        <v>1370</v>
      </c>
      <c r="CA59" s="1511">
        <v>1459</v>
      </c>
      <c r="CB59" s="1511">
        <v>1709</v>
      </c>
      <c r="CC59" s="1511">
        <v>1759</v>
      </c>
      <c r="CD59" s="1511">
        <v>1941</v>
      </c>
      <c r="CE59" s="1511">
        <v>1512</v>
      </c>
      <c r="CF59" s="1511">
        <v>1510</v>
      </c>
      <c r="CG59" s="1511">
        <v>1280</v>
      </c>
      <c r="CH59" s="1511">
        <v>1258</v>
      </c>
      <c r="CI59" s="1513">
        <v>1183</v>
      </c>
      <c r="CJ59" s="1703">
        <v>1359</v>
      </c>
      <c r="CK59" s="1704">
        <v>2651</v>
      </c>
      <c r="CL59" s="1704">
        <v>1597</v>
      </c>
      <c r="CM59" s="1704">
        <v>1563</v>
      </c>
      <c r="CN59" s="1704">
        <v>1626</v>
      </c>
      <c r="CO59" s="1704">
        <v>1960</v>
      </c>
      <c r="CP59" s="1704">
        <v>1511</v>
      </c>
      <c r="CQ59" s="1704">
        <v>1434</v>
      </c>
      <c r="CR59" s="1704">
        <v>1571</v>
      </c>
      <c r="CS59" s="1704">
        <v>1512</v>
      </c>
      <c r="CT59" s="1704">
        <v>1614</v>
      </c>
      <c r="CU59" s="1705">
        <v>1304</v>
      </c>
      <c r="CV59" s="1703">
        <v>1201</v>
      </c>
      <c r="CW59" s="1704">
        <v>1299</v>
      </c>
      <c r="CX59" s="1510">
        <v>1352</v>
      </c>
      <c r="CY59" s="1510">
        <v>1279</v>
      </c>
      <c r="CZ59" s="1510">
        <v>1332</v>
      </c>
      <c r="DA59" s="1510">
        <v>1003</v>
      </c>
      <c r="DB59" s="1510">
        <v>1305</v>
      </c>
      <c r="DC59" s="1510">
        <v>1008</v>
      </c>
      <c r="DD59" s="1510">
        <v>1166</v>
      </c>
      <c r="DE59" s="1510">
        <v>1289</v>
      </c>
      <c r="DF59" s="1510">
        <v>1225</v>
      </c>
      <c r="DG59" s="1705">
        <v>1000</v>
      </c>
      <c r="DH59" s="1706">
        <v>1181</v>
      </c>
      <c r="DI59" s="1707">
        <v>1107</v>
      </c>
      <c r="DJ59" s="1707">
        <v>1047</v>
      </c>
      <c r="DK59" s="1708">
        <v>865</v>
      </c>
      <c r="DL59" s="1708">
        <v>996</v>
      </c>
      <c r="DM59" s="1708">
        <v>1029</v>
      </c>
      <c r="DN59" s="1708">
        <v>1026</v>
      </c>
      <c r="DO59" s="1708">
        <v>985</v>
      </c>
      <c r="DP59" s="1708">
        <v>1127</v>
      </c>
      <c r="DQ59" s="1708">
        <v>1353</v>
      </c>
      <c r="DR59" s="1708">
        <v>1188</v>
      </c>
      <c r="DS59" s="1709">
        <v>896</v>
      </c>
      <c r="DT59" s="1683">
        <v>1029</v>
      </c>
      <c r="DU59" s="1502">
        <v>798</v>
      </c>
      <c r="DV59" s="1502">
        <v>1288</v>
      </c>
      <c r="DW59" s="1487">
        <v>1344</v>
      </c>
      <c r="DX59" s="1487">
        <v>1295</v>
      </c>
      <c r="DY59" s="1487">
        <v>1374</v>
      </c>
      <c r="DZ59" s="1487">
        <v>1410</v>
      </c>
      <c r="EA59" s="1487">
        <v>1173</v>
      </c>
      <c r="EB59" s="1487">
        <v>1723</v>
      </c>
      <c r="EC59" s="1487">
        <v>1669</v>
      </c>
      <c r="ED59" s="1487">
        <v>1302</v>
      </c>
      <c r="EE59" s="1486">
        <v>1261</v>
      </c>
      <c r="EF59" s="1927">
        <v>1555</v>
      </c>
      <c r="EG59" s="34">
        <v>1225</v>
      </c>
      <c r="EH59" s="34">
        <v>1478</v>
      </c>
      <c r="EI59" s="34">
        <v>1463</v>
      </c>
      <c r="EJ59" s="34">
        <v>1596</v>
      </c>
      <c r="EK59" s="34">
        <v>1775</v>
      </c>
      <c r="EL59" s="34">
        <v>1486</v>
      </c>
      <c r="EM59" s="2345">
        <v>1271</v>
      </c>
      <c r="EN59" s="2345">
        <v>1312</v>
      </c>
      <c r="EO59" s="2346">
        <v>1756</v>
      </c>
      <c r="EP59" s="2346">
        <v>1294</v>
      </c>
      <c r="EQ59" s="2347">
        <v>1227</v>
      </c>
      <c r="ER59" s="3103">
        <v>1128</v>
      </c>
      <c r="ES59" s="3095"/>
      <c r="ET59" s="3095"/>
      <c r="EU59" s="3095"/>
      <c r="EV59" s="3095"/>
      <c r="EW59" s="3095"/>
      <c r="EX59" s="3095"/>
      <c r="EY59" s="3095"/>
      <c r="EZ59" s="3095"/>
      <c r="FA59" s="3095"/>
      <c r="FB59" s="3095"/>
      <c r="FC59" s="3104"/>
      <c r="FD59" s="2437"/>
      <c r="FE59" s="1710">
        <v>1880</v>
      </c>
      <c r="FF59" s="1711">
        <v>1984</v>
      </c>
      <c r="FG59" s="1711">
        <v>2537</v>
      </c>
      <c r="FH59" s="1712">
        <v>2378</v>
      </c>
      <c r="FI59" s="1713">
        <v>2412</v>
      </c>
      <c r="FJ59" s="1714">
        <v>2443</v>
      </c>
      <c r="FK59" s="1714">
        <v>2689</v>
      </c>
      <c r="FL59" s="1715">
        <v>2507</v>
      </c>
      <c r="FM59" s="1716">
        <v>3099</v>
      </c>
      <c r="FN59" s="1717">
        <v>2619</v>
      </c>
      <c r="FO59" s="1718">
        <v>2598</v>
      </c>
      <c r="FP59" s="1718">
        <v>2496</v>
      </c>
      <c r="FQ59" s="1719">
        <v>3020</v>
      </c>
      <c r="FR59" s="1720">
        <v>2583</v>
      </c>
      <c r="FS59" s="1720">
        <v>2426</v>
      </c>
      <c r="FT59" s="1721">
        <v>2595</v>
      </c>
      <c r="FU59" s="1722">
        <v>2571</v>
      </c>
      <c r="FV59" s="1723">
        <v>2886</v>
      </c>
      <c r="FW59" s="1723">
        <v>2975</v>
      </c>
      <c r="FX59" s="1724">
        <v>3517</v>
      </c>
      <c r="FY59" s="1720">
        <v>2922</v>
      </c>
      <c r="FZ59" s="1720">
        <v>3529</v>
      </c>
      <c r="GA59" s="1720">
        <v>4014</v>
      </c>
      <c r="GB59" s="1720">
        <v>3833</v>
      </c>
      <c r="GC59" s="1725">
        <v>3960</v>
      </c>
      <c r="GD59" s="1725">
        <v>4927</v>
      </c>
      <c r="GE59" s="1725">
        <v>4963</v>
      </c>
      <c r="GF59" s="1725">
        <v>3721</v>
      </c>
      <c r="GG59" s="1726">
        <v>5607</v>
      </c>
      <c r="GH59" s="1726">
        <v>5149</v>
      </c>
      <c r="GI59" s="1726">
        <f t="shared" si="17"/>
        <v>4516</v>
      </c>
      <c r="GJ59" s="1726">
        <v>4430</v>
      </c>
      <c r="GK59" s="1727">
        <v>3852</v>
      </c>
      <c r="GL59" s="1727">
        <f t="shared" si="18"/>
        <v>3614</v>
      </c>
      <c r="GM59" s="1727">
        <f t="shared" si="19"/>
        <v>3479</v>
      </c>
      <c r="GN59" s="1726">
        <f t="shared" si="20"/>
        <v>3514</v>
      </c>
      <c r="GO59" s="1541">
        <f t="shared" si="21"/>
        <v>3335</v>
      </c>
      <c r="GP59" s="1541">
        <f t="shared" si="22"/>
        <v>2890</v>
      </c>
      <c r="GQ59" s="1541">
        <f t="shared" si="23"/>
        <v>2907</v>
      </c>
      <c r="GR59" s="1541">
        <f t="shared" si="24"/>
        <v>3437</v>
      </c>
      <c r="GS59" s="1728">
        <f t="shared" si="25"/>
        <v>3115</v>
      </c>
      <c r="GT59" s="1728">
        <f t="shared" si="26"/>
        <v>4013</v>
      </c>
      <c r="GU59" s="1728">
        <f t="shared" si="27"/>
        <v>4306</v>
      </c>
      <c r="GV59" s="1728">
        <f t="shared" si="28"/>
        <v>4232</v>
      </c>
      <c r="GW59" s="1939">
        <f t="shared" si="29"/>
        <v>4258</v>
      </c>
      <c r="GX59" s="1725">
        <f t="shared" si="30"/>
        <v>4834</v>
      </c>
      <c r="GY59" s="1725">
        <f t="shared" si="31"/>
        <v>4069</v>
      </c>
      <c r="GZ59" s="1725">
        <f t="shared" si="32"/>
        <v>4277</v>
      </c>
      <c r="HA59" s="2443">
        <f t="shared" si="33"/>
        <v>1128</v>
      </c>
      <c r="HB59" s="2444">
        <f t="shared" si="34"/>
        <v>0</v>
      </c>
      <c r="HC59" s="2444">
        <f t="shared" si="35"/>
        <v>0</v>
      </c>
      <c r="HD59" s="2444">
        <f t="shared" si="36"/>
        <v>0</v>
      </c>
      <c r="HE59" s="1940"/>
      <c r="HF59" s="1729">
        <v>8779</v>
      </c>
      <c r="HG59" s="1730">
        <v>10051</v>
      </c>
      <c r="HH59" s="1730">
        <v>10812</v>
      </c>
      <c r="HI59" s="1730">
        <v>10624</v>
      </c>
      <c r="HJ59" s="1730">
        <v>11949</v>
      </c>
      <c r="HK59" s="1730">
        <v>14298</v>
      </c>
      <c r="HL59" s="2421">
        <v>17571</v>
      </c>
      <c r="HM59" s="2423">
        <v>19702</v>
      </c>
      <c r="HN59" s="2423">
        <f t="shared" si="37"/>
        <v>14459</v>
      </c>
      <c r="HO59" s="2423">
        <f t="shared" si="38"/>
        <v>12800</v>
      </c>
      <c r="HP59" s="2423">
        <f t="shared" si="39"/>
        <v>15666</v>
      </c>
      <c r="HQ59" s="2423">
        <f t="shared" si="40"/>
        <v>17438</v>
      </c>
      <c r="HR59" s="2452">
        <f t="shared" si="41"/>
        <v>1128</v>
      </c>
      <c r="HS59" s="2453">
        <f t="shared" si="49"/>
        <v>17011</v>
      </c>
      <c r="HT59" s="2455">
        <f t="shared" si="42"/>
        <v>16179.333333333334</v>
      </c>
      <c r="HU59" s="1737">
        <f t="shared" si="43"/>
        <v>2.0394311261802411E-2</v>
      </c>
      <c r="HV59" s="1737">
        <f t="shared" si="44"/>
        <v>2.3993346923334932E-2</v>
      </c>
      <c r="HW59" s="1737">
        <f t="shared" si="50"/>
        <v>2.5182645665243242E-2</v>
      </c>
      <c r="HX59" s="2458">
        <f t="shared" si="51"/>
        <v>2.3364974104438132E-2</v>
      </c>
      <c r="HY59" s="1734"/>
      <c r="HZ59" s="2302">
        <f t="shared" si="45"/>
        <v>0.22390624999999997</v>
      </c>
      <c r="IA59" s="2300">
        <f t="shared" si="46"/>
        <v>0.2640104166666668</v>
      </c>
      <c r="IB59" s="2300">
        <f t="shared" si="47"/>
        <v>0.11311119622111576</v>
      </c>
      <c r="IC59" s="2302">
        <f t="shared" si="48"/>
        <v>-2.4486753068012401E-2</v>
      </c>
    </row>
    <row r="60" spans="1:237" s="341" customFormat="1" ht="21.95" customHeight="1">
      <c r="A60" s="544"/>
      <c r="B60" s="543"/>
      <c r="C60" s="2174" t="s">
        <v>50</v>
      </c>
      <c r="D60" s="1684">
        <v>1260</v>
      </c>
      <c r="E60" s="1685">
        <v>1276</v>
      </c>
      <c r="F60" s="1685">
        <v>1273</v>
      </c>
      <c r="G60" s="1685">
        <v>1609</v>
      </c>
      <c r="H60" s="1685">
        <v>1342</v>
      </c>
      <c r="I60" s="1685">
        <v>1217</v>
      </c>
      <c r="J60" s="1685">
        <v>2417</v>
      </c>
      <c r="K60" s="1685">
        <v>1711</v>
      </c>
      <c r="L60" s="1685">
        <v>1389</v>
      </c>
      <c r="M60" s="1685">
        <v>1689</v>
      </c>
      <c r="N60" s="1685">
        <v>1780</v>
      </c>
      <c r="O60" s="1686">
        <v>1105</v>
      </c>
      <c r="P60" s="1687">
        <v>1501</v>
      </c>
      <c r="Q60" s="1688">
        <v>2067</v>
      </c>
      <c r="R60" s="1688">
        <v>1748</v>
      </c>
      <c r="S60" s="1688">
        <v>1878</v>
      </c>
      <c r="T60" s="1688">
        <v>1744</v>
      </c>
      <c r="U60" s="1688">
        <v>1450</v>
      </c>
      <c r="V60" s="1688">
        <v>2185</v>
      </c>
      <c r="W60" s="1688">
        <v>1787</v>
      </c>
      <c r="X60" s="1688">
        <v>1529</v>
      </c>
      <c r="Y60" s="1688">
        <v>1653</v>
      </c>
      <c r="Z60" s="1688">
        <v>1668</v>
      </c>
      <c r="AA60" s="1689">
        <v>1114</v>
      </c>
      <c r="AB60" s="1690">
        <v>1499</v>
      </c>
      <c r="AC60" s="1691">
        <v>1325</v>
      </c>
      <c r="AD60" s="1691">
        <v>1263</v>
      </c>
      <c r="AE60" s="1691">
        <v>1502</v>
      </c>
      <c r="AF60" s="1691">
        <v>1439.5</v>
      </c>
      <c r="AG60" s="1691">
        <v>1377</v>
      </c>
      <c r="AH60" s="1691">
        <v>2221</v>
      </c>
      <c r="AI60" s="1691">
        <v>1438</v>
      </c>
      <c r="AJ60" s="1691">
        <v>1140</v>
      </c>
      <c r="AK60" s="1691">
        <v>1561</v>
      </c>
      <c r="AL60" s="1691">
        <v>1508</v>
      </c>
      <c r="AM60" s="1692">
        <v>1164</v>
      </c>
      <c r="AN60" s="1693">
        <v>1064</v>
      </c>
      <c r="AO60" s="1694">
        <v>994</v>
      </c>
      <c r="AP60" s="1694">
        <v>1080</v>
      </c>
      <c r="AQ60" s="1694">
        <v>1258</v>
      </c>
      <c r="AR60" s="1694">
        <v>1059</v>
      </c>
      <c r="AS60" s="1694">
        <v>1091</v>
      </c>
      <c r="AT60" s="1694">
        <v>2091</v>
      </c>
      <c r="AU60" s="1694">
        <v>1225</v>
      </c>
      <c r="AV60" s="1694">
        <v>975</v>
      </c>
      <c r="AW60" s="1694">
        <v>1230</v>
      </c>
      <c r="AX60" s="1694">
        <v>1152</v>
      </c>
      <c r="AY60" s="1695">
        <v>925</v>
      </c>
      <c r="AZ60" s="1680">
        <v>1025</v>
      </c>
      <c r="BA60" s="1680">
        <v>900</v>
      </c>
      <c r="BB60" s="1680">
        <v>988</v>
      </c>
      <c r="BC60" s="1680">
        <v>1272</v>
      </c>
      <c r="BD60" s="1680">
        <v>1126</v>
      </c>
      <c r="BE60" s="1680">
        <v>1015</v>
      </c>
      <c r="BF60" s="1680">
        <v>2074</v>
      </c>
      <c r="BG60" s="1680">
        <v>1207</v>
      </c>
      <c r="BH60" s="1680">
        <v>944</v>
      </c>
      <c r="BI60" s="1680">
        <v>1417</v>
      </c>
      <c r="BJ60" s="1680">
        <v>1382</v>
      </c>
      <c r="BK60" s="1731">
        <v>934</v>
      </c>
      <c r="BL60" s="1698">
        <v>898</v>
      </c>
      <c r="BM60" s="1699">
        <v>919</v>
      </c>
      <c r="BN60" s="1699">
        <v>1062</v>
      </c>
      <c r="BO60" s="1699">
        <v>1197</v>
      </c>
      <c r="BP60" s="1699">
        <v>1156</v>
      </c>
      <c r="BQ60" s="1699">
        <v>1051</v>
      </c>
      <c r="BR60" s="1699">
        <v>1995</v>
      </c>
      <c r="BS60" s="1699">
        <v>1140</v>
      </c>
      <c r="BT60" s="1700">
        <v>909</v>
      </c>
      <c r="BU60" s="1700">
        <v>1154</v>
      </c>
      <c r="BV60" s="1700">
        <v>1295</v>
      </c>
      <c r="BW60" s="1701">
        <v>1103</v>
      </c>
      <c r="BX60" s="1702">
        <v>1090</v>
      </c>
      <c r="BY60" s="1511">
        <v>977</v>
      </c>
      <c r="BZ60" s="1511">
        <v>1157</v>
      </c>
      <c r="CA60" s="1511">
        <v>1135</v>
      </c>
      <c r="CB60" s="1511">
        <v>1253</v>
      </c>
      <c r="CC60" s="1511">
        <v>1120</v>
      </c>
      <c r="CD60" s="1511">
        <v>2381</v>
      </c>
      <c r="CE60" s="1511">
        <v>1417</v>
      </c>
      <c r="CF60" s="1511">
        <v>1070</v>
      </c>
      <c r="CG60" s="1511">
        <v>1403</v>
      </c>
      <c r="CH60" s="1511">
        <v>1588</v>
      </c>
      <c r="CI60" s="1513">
        <v>935</v>
      </c>
      <c r="CJ60" s="1703">
        <v>1166</v>
      </c>
      <c r="CK60" s="1704">
        <v>1197</v>
      </c>
      <c r="CL60" s="1704">
        <v>1218</v>
      </c>
      <c r="CM60" s="1704">
        <v>1543</v>
      </c>
      <c r="CN60" s="1704">
        <v>1497</v>
      </c>
      <c r="CO60" s="1704">
        <v>1386</v>
      </c>
      <c r="CP60" s="1704">
        <v>2484</v>
      </c>
      <c r="CQ60" s="1704">
        <v>1411</v>
      </c>
      <c r="CR60" s="1704">
        <v>1179</v>
      </c>
      <c r="CS60" s="1704">
        <v>1580</v>
      </c>
      <c r="CT60" s="1704">
        <v>1532</v>
      </c>
      <c r="CU60" s="1705">
        <v>1130</v>
      </c>
      <c r="CV60" s="1703">
        <v>1217</v>
      </c>
      <c r="CW60" s="1704">
        <v>1190</v>
      </c>
      <c r="CX60" s="1510">
        <v>1225</v>
      </c>
      <c r="CY60" s="1510">
        <v>1363</v>
      </c>
      <c r="CZ60" s="1510">
        <v>1425</v>
      </c>
      <c r="DA60" s="1510">
        <v>1441</v>
      </c>
      <c r="DB60" s="1510">
        <v>2802</v>
      </c>
      <c r="DC60" s="1510">
        <v>1381</v>
      </c>
      <c r="DD60" s="1510">
        <v>1092</v>
      </c>
      <c r="DE60" s="1510">
        <v>1519</v>
      </c>
      <c r="DF60" s="1510">
        <v>1658</v>
      </c>
      <c r="DG60" s="1705">
        <v>1266</v>
      </c>
      <c r="DH60" s="1706">
        <v>1300</v>
      </c>
      <c r="DI60" s="1707">
        <v>1442</v>
      </c>
      <c r="DJ60" s="1707">
        <v>1528</v>
      </c>
      <c r="DK60" s="1708">
        <v>1307</v>
      </c>
      <c r="DL60" s="1708">
        <v>1382</v>
      </c>
      <c r="DM60" s="1708">
        <v>1465</v>
      </c>
      <c r="DN60" s="1708">
        <v>2920</v>
      </c>
      <c r="DO60" s="1708">
        <v>1383</v>
      </c>
      <c r="DP60" s="1708">
        <v>1152</v>
      </c>
      <c r="DQ60" s="1708">
        <v>1606</v>
      </c>
      <c r="DR60" s="1708">
        <v>1282</v>
      </c>
      <c r="DS60" s="1709">
        <v>964</v>
      </c>
      <c r="DT60" s="1683">
        <v>1117</v>
      </c>
      <c r="DU60" s="1502">
        <v>1160</v>
      </c>
      <c r="DV60" s="1502">
        <v>1175</v>
      </c>
      <c r="DW60" s="1487">
        <v>1542</v>
      </c>
      <c r="DX60" s="1487">
        <v>1184</v>
      </c>
      <c r="DY60" s="1487">
        <v>1335</v>
      </c>
      <c r="DZ60" s="1487">
        <v>2297</v>
      </c>
      <c r="EA60" s="1487">
        <v>1142</v>
      </c>
      <c r="EB60" s="1487">
        <v>1058</v>
      </c>
      <c r="EC60" s="1487">
        <v>1309</v>
      </c>
      <c r="ED60" s="1487">
        <v>1336</v>
      </c>
      <c r="EE60" s="1486">
        <v>1167</v>
      </c>
      <c r="EF60" s="1927">
        <v>1254</v>
      </c>
      <c r="EG60" s="34">
        <v>1291</v>
      </c>
      <c r="EH60" s="34">
        <v>1485</v>
      </c>
      <c r="EI60" s="34">
        <v>1293</v>
      </c>
      <c r="EJ60" s="34">
        <v>1573</v>
      </c>
      <c r="EK60" s="34">
        <v>1297</v>
      </c>
      <c r="EL60" s="34">
        <v>2452</v>
      </c>
      <c r="EM60" s="2345">
        <v>1513</v>
      </c>
      <c r="EN60" s="2345">
        <v>1089</v>
      </c>
      <c r="EO60" s="2346">
        <v>1329</v>
      </c>
      <c r="EP60" s="2346">
        <v>1462</v>
      </c>
      <c r="EQ60" s="2347">
        <v>1313</v>
      </c>
      <c r="ER60" s="3105">
        <v>1244</v>
      </c>
      <c r="ES60" s="3096"/>
      <c r="ET60" s="3096"/>
      <c r="EU60" s="3096"/>
      <c r="EV60" s="3096"/>
      <c r="EW60" s="3096"/>
      <c r="EX60" s="3096"/>
      <c r="EY60" s="3096"/>
      <c r="EZ60" s="3096"/>
      <c r="FA60" s="3096"/>
      <c r="FB60" s="3096"/>
      <c r="FC60" s="3106"/>
      <c r="FD60" s="2437"/>
      <c r="FE60" s="1710">
        <v>3809</v>
      </c>
      <c r="FF60" s="1711">
        <v>4168</v>
      </c>
      <c r="FG60" s="1711">
        <v>5517</v>
      </c>
      <c r="FH60" s="1712">
        <v>4574</v>
      </c>
      <c r="FI60" s="1713">
        <v>5316</v>
      </c>
      <c r="FJ60" s="1714">
        <v>5072</v>
      </c>
      <c r="FK60" s="1714">
        <v>5501</v>
      </c>
      <c r="FL60" s="1715">
        <v>4435</v>
      </c>
      <c r="FM60" s="1716">
        <v>4087</v>
      </c>
      <c r="FN60" s="1717">
        <v>4318.5</v>
      </c>
      <c r="FO60" s="1718">
        <v>4799</v>
      </c>
      <c r="FP60" s="1718">
        <v>4233</v>
      </c>
      <c r="FQ60" s="1719">
        <v>3138</v>
      </c>
      <c r="FR60" s="1720">
        <v>3408</v>
      </c>
      <c r="FS60" s="1720">
        <v>4291</v>
      </c>
      <c r="FT60" s="1721">
        <v>3307</v>
      </c>
      <c r="FU60" s="1722">
        <v>2913</v>
      </c>
      <c r="FV60" s="1723">
        <v>3413</v>
      </c>
      <c r="FW60" s="1723">
        <v>4225</v>
      </c>
      <c r="FX60" s="1724">
        <v>3733</v>
      </c>
      <c r="FY60" s="1720">
        <v>2879</v>
      </c>
      <c r="FZ60" s="1720">
        <v>3404</v>
      </c>
      <c r="GA60" s="1720">
        <v>4044</v>
      </c>
      <c r="GB60" s="1720">
        <v>3552</v>
      </c>
      <c r="GC60" s="1725">
        <v>3224</v>
      </c>
      <c r="GD60" s="1725">
        <v>3508</v>
      </c>
      <c r="GE60" s="1725">
        <v>4868</v>
      </c>
      <c r="GF60" s="1725">
        <v>3926</v>
      </c>
      <c r="GG60" s="1726">
        <v>3581</v>
      </c>
      <c r="GH60" s="1726">
        <v>4426</v>
      </c>
      <c r="GI60" s="1726">
        <f t="shared" si="17"/>
        <v>5074</v>
      </c>
      <c r="GJ60" s="1726">
        <v>4242</v>
      </c>
      <c r="GK60" s="1727">
        <v>3632</v>
      </c>
      <c r="GL60" s="1727">
        <f t="shared" si="18"/>
        <v>4229</v>
      </c>
      <c r="GM60" s="1727">
        <f t="shared" si="19"/>
        <v>5275</v>
      </c>
      <c r="GN60" s="1726">
        <f t="shared" si="20"/>
        <v>4443</v>
      </c>
      <c r="GO60" s="1541">
        <f t="shared" si="21"/>
        <v>4270</v>
      </c>
      <c r="GP60" s="1541">
        <f t="shared" si="22"/>
        <v>4154</v>
      </c>
      <c r="GQ60" s="1541">
        <f t="shared" si="23"/>
        <v>5267</v>
      </c>
      <c r="GR60" s="1541">
        <f t="shared" si="24"/>
        <v>3852</v>
      </c>
      <c r="GS60" s="1728">
        <f t="shared" si="25"/>
        <v>3452</v>
      </c>
      <c r="GT60" s="1728">
        <f t="shared" si="26"/>
        <v>4061</v>
      </c>
      <c r="GU60" s="1728">
        <f t="shared" si="27"/>
        <v>4497</v>
      </c>
      <c r="GV60" s="1728">
        <f t="shared" si="28"/>
        <v>3812</v>
      </c>
      <c r="GW60" s="1939">
        <f t="shared" si="29"/>
        <v>4030</v>
      </c>
      <c r="GX60" s="1725">
        <f t="shared" si="30"/>
        <v>4163</v>
      </c>
      <c r="GY60" s="1725">
        <f t="shared" si="31"/>
        <v>5054</v>
      </c>
      <c r="GZ60" s="1725">
        <f t="shared" si="32"/>
        <v>4104</v>
      </c>
      <c r="HA60" s="2443">
        <f t="shared" si="33"/>
        <v>1244</v>
      </c>
      <c r="HB60" s="2444">
        <f t="shared" si="34"/>
        <v>0</v>
      </c>
      <c r="HC60" s="2444">
        <f t="shared" si="35"/>
        <v>0</v>
      </c>
      <c r="HD60" s="2444">
        <f t="shared" si="36"/>
        <v>0</v>
      </c>
      <c r="HE60" s="1940"/>
      <c r="HF60" s="1729">
        <v>18068</v>
      </c>
      <c r="HG60" s="1730">
        <v>20324</v>
      </c>
      <c r="HH60" s="1730">
        <v>17437.5</v>
      </c>
      <c r="HI60" s="1730">
        <v>14144</v>
      </c>
      <c r="HJ60" s="1730">
        <v>14284</v>
      </c>
      <c r="HK60" s="1730">
        <v>13879</v>
      </c>
      <c r="HL60" s="2421">
        <v>15526</v>
      </c>
      <c r="HM60" s="2423">
        <v>17323</v>
      </c>
      <c r="HN60" s="2423">
        <f t="shared" si="37"/>
        <v>17579</v>
      </c>
      <c r="HO60" s="2423">
        <f t="shared" si="38"/>
        <v>17731</v>
      </c>
      <c r="HP60" s="2423">
        <f t="shared" si="39"/>
        <v>15822</v>
      </c>
      <c r="HQ60" s="2423">
        <f t="shared" si="40"/>
        <v>17351</v>
      </c>
      <c r="HR60" s="2452">
        <f t="shared" si="41"/>
        <v>1244</v>
      </c>
      <c r="HS60" s="2453">
        <f t="shared" si="49"/>
        <v>17341</v>
      </c>
      <c r="HT60" s="2455">
        <f t="shared" si="42"/>
        <v>17191.166666666668</v>
      </c>
      <c r="HU60" s="1737">
        <f t="shared" si="43"/>
        <v>2.8250901014298325E-2</v>
      </c>
      <c r="HV60" s="1737">
        <f t="shared" si="44"/>
        <v>2.4232269566003144E-2</v>
      </c>
      <c r="HW60" s="1737">
        <f t="shared" si="50"/>
        <v>2.5057006820600726E-2</v>
      </c>
      <c r="HX60" s="2458">
        <f t="shared" si="51"/>
        <v>2.4826187563872431E-2</v>
      </c>
      <c r="HY60" s="1734"/>
      <c r="HZ60" s="2302">
        <f t="shared" si="45"/>
        <v>-0.10766454232699796</v>
      </c>
      <c r="IA60" s="2300">
        <f t="shared" si="46"/>
        <v>-3.0445735341116276E-2</v>
      </c>
      <c r="IB60" s="2300">
        <f t="shared" si="47"/>
        <v>9.6637593224623952E-2</v>
      </c>
      <c r="IC60" s="2302">
        <f t="shared" si="48"/>
        <v>-5.7633565788717256E-4</v>
      </c>
    </row>
    <row r="61" spans="1:237" s="341" customFormat="1" ht="21.95" customHeight="1">
      <c r="A61" s="544"/>
      <c r="B61" s="543"/>
      <c r="C61" s="545" t="s">
        <v>10</v>
      </c>
      <c r="D61" s="1684">
        <v>789</v>
      </c>
      <c r="E61" s="1685">
        <v>633</v>
      </c>
      <c r="F61" s="1685">
        <v>790</v>
      </c>
      <c r="G61" s="1685">
        <v>531</v>
      </c>
      <c r="H61" s="1685">
        <v>677</v>
      </c>
      <c r="I61" s="1685">
        <v>720</v>
      </c>
      <c r="J61" s="1685">
        <v>840</v>
      </c>
      <c r="K61" s="1685">
        <v>638</v>
      </c>
      <c r="L61" s="1685">
        <v>799</v>
      </c>
      <c r="M61" s="1685">
        <v>895</v>
      </c>
      <c r="N61" s="1685">
        <v>815</v>
      </c>
      <c r="O61" s="1686">
        <v>556</v>
      </c>
      <c r="P61" s="1687">
        <v>877</v>
      </c>
      <c r="Q61" s="1688">
        <v>1083</v>
      </c>
      <c r="R61" s="1688">
        <v>783</v>
      </c>
      <c r="S61" s="1688">
        <v>893</v>
      </c>
      <c r="T61" s="1688">
        <v>1008</v>
      </c>
      <c r="U61" s="1688">
        <v>891</v>
      </c>
      <c r="V61" s="1688">
        <v>1034</v>
      </c>
      <c r="W61" s="1688">
        <v>977</v>
      </c>
      <c r="X61" s="1688">
        <v>828</v>
      </c>
      <c r="Y61" s="1688">
        <v>1198</v>
      </c>
      <c r="Z61" s="1688">
        <v>1047</v>
      </c>
      <c r="AA61" s="1689">
        <v>774</v>
      </c>
      <c r="AB61" s="1690">
        <v>1114</v>
      </c>
      <c r="AC61" s="1691">
        <v>722</v>
      </c>
      <c r="AD61" s="1691">
        <v>846</v>
      </c>
      <c r="AE61" s="1691">
        <v>796</v>
      </c>
      <c r="AF61" s="1691">
        <v>856</v>
      </c>
      <c r="AG61" s="1691">
        <v>916</v>
      </c>
      <c r="AH61" s="1691">
        <v>901</v>
      </c>
      <c r="AI61" s="1691">
        <v>883</v>
      </c>
      <c r="AJ61" s="1691">
        <v>875</v>
      </c>
      <c r="AK61" s="1691">
        <v>977</v>
      </c>
      <c r="AL61" s="1691">
        <v>967</v>
      </c>
      <c r="AM61" s="1692">
        <v>772</v>
      </c>
      <c r="AN61" s="1693">
        <v>1396</v>
      </c>
      <c r="AO61" s="1694">
        <v>1205</v>
      </c>
      <c r="AP61" s="1694">
        <v>912</v>
      </c>
      <c r="AQ61" s="1694">
        <v>908</v>
      </c>
      <c r="AR61" s="1694">
        <v>967</v>
      </c>
      <c r="AS61" s="1694">
        <v>882</v>
      </c>
      <c r="AT61" s="1694">
        <v>1056</v>
      </c>
      <c r="AU61" s="1694">
        <v>1101</v>
      </c>
      <c r="AV61" s="1694">
        <v>976</v>
      </c>
      <c r="AW61" s="1694">
        <v>1462</v>
      </c>
      <c r="AX61" s="1694">
        <v>1545</v>
      </c>
      <c r="AY61" s="1695">
        <v>986</v>
      </c>
      <c r="AZ61" s="1680">
        <v>1718</v>
      </c>
      <c r="BA61" s="1680">
        <v>934</v>
      </c>
      <c r="BB61" s="1680">
        <v>1091</v>
      </c>
      <c r="BC61" s="1680">
        <v>1046</v>
      </c>
      <c r="BD61" s="1680">
        <v>1461</v>
      </c>
      <c r="BE61" s="1680">
        <v>1069</v>
      </c>
      <c r="BF61" s="1680">
        <v>1551</v>
      </c>
      <c r="BG61" s="1680">
        <v>1104</v>
      </c>
      <c r="BH61" s="1680">
        <v>1190</v>
      </c>
      <c r="BI61" s="1680">
        <v>1136</v>
      </c>
      <c r="BJ61" s="1680">
        <v>1275</v>
      </c>
      <c r="BK61" s="1731">
        <v>1310</v>
      </c>
      <c r="BL61" s="1698">
        <v>1784</v>
      </c>
      <c r="BM61" s="1699">
        <v>1322</v>
      </c>
      <c r="BN61" s="1699">
        <v>1395</v>
      </c>
      <c r="BO61" s="1699">
        <v>1235</v>
      </c>
      <c r="BP61" s="1699">
        <v>1315</v>
      </c>
      <c r="BQ61" s="1699">
        <v>1332</v>
      </c>
      <c r="BR61" s="1699">
        <v>1518</v>
      </c>
      <c r="BS61" s="1699">
        <v>1259</v>
      </c>
      <c r="BT61" s="1700">
        <v>1472</v>
      </c>
      <c r="BU61" s="1700">
        <v>1367</v>
      </c>
      <c r="BV61" s="1700">
        <v>1601</v>
      </c>
      <c r="BW61" s="1701">
        <v>1254</v>
      </c>
      <c r="BX61" s="1702">
        <v>1879</v>
      </c>
      <c r="BY61" s="1511">
        <v>1503</v>
      </c>
      <c r="BZ61" s="1511">
        <v>1512</v>
      </c>
      <c r="CA61" s="1511">
        <v>1260</v>
      </c>
      <c r="CB61" s="1511">
        <v>1274</v>
      </c>
      <c r="CC61" s="1511">
        <v>1581</v>
      </c>
      <c r="CD61" s="1511">
        <v>1834</v>
      </c>
      <c r="CE61" s="1511">
        <v>1236</v>
      </c>
      <c r="CF61" s="1511">
        <v>1466</v>
      </c>
      <c r="CG61" s="1511">
        <v>1369</v>
      </c>
      <c r="CH61" s="1511">
        <v>1577</v>
      </c>
      <c r="CI61" s="1513">
        <v>2187</v>
      </c>
      <c r="CJ61" s="1703">
        <v>3220</v>
      </c>
      <c r="CK61" s="1704">
        <v>2071</v>
      </c>
      <c r="CL61" s="1704">
        <v>1743</v>
      </c>
      <c r="CM61" s="1704">
        <v>1363</v>
      </c>
      <c r="CN61" s="1704">
        <v>1349</v>
      </c>
      <c r="CO61" s="1704">
        <v>1063</v>
      </c>
      <c r="CP61" s="1704">
        <v>1787</v>
      </c>
      <c r="CQ61" s="1704">
        <v>1326</v>
      </c>
      <c r="CR61" s="1704">
        <v>1425</v>
      </c>
      <c r="CS61" s="1704">
        <v>1500</v>
      </c>
      <c r="CT61" s="1704">
        <v>1769</v>
      </c>
      <c r="CU61" s="1705">
        <v>2090</v>
      </c>
      <c r="CV61" s="1703">
        <v>3295</v>
      </c>
      <c r="CW61" s="1704">
        <v>2310</v>
      </c>
      <c r="CX61" s="1510">
        <v>2105</v>
      </c>
      <c r="CY61" s="1510">
        <v>1992</v>
      </c>
      <c r="CZ61" s="1510">
        <v>1818</v>
      </c>
      <c r="DA61" s="1510">
        <v>1519</v>
      </c>
      <c r="DB61" s="1510">
        <v>2089</v>
      </c>
      <c r="DC61" s="1510">
        <v>1660</v>
      </c>
      <c r="DD61" s="1510">
        <v>1946</v>
      </c>
      <c r="DE61" s="1510">
        <v>1568</v>
      </c>
      <c r="DF61" s="1510">
        <v>1851</v>
      </c>
      <c r="DG61" s="1705">
        <v>2065</v>
      </c>
      <c r="DH61" s="1706">
        <v>3139</v>
      </c>
      <c r="DI61" s="1707">
        <v>2105</v>
      </c>
      <c r="DJ61" s="1707">
        <v>1755</v>
      </c>
      <c r="DK61" s="1708">
        <v>1363</v>
      </c>
      <c r="DL61" s="1708">
        <v>1165</v>
      </c>
      <c r="DM61" s="1708">
        <v>1203</v>
      </c>
      <c r="DN61" s="1708">
        <v>1589</v>
      </c>
      <c r="DO61" s="1708">
        <v>910</v>
      </c>
      <c r="DP61" s="1708">
        <v>1019</v>
      </c>
      <c r="DQ61" s="1708">
        <v>1410</v>
      </c>
      <c r="DR61" s="1708">
        <v>1145</v>
      </c>
      <c r="DS61" s="1709">
        <v>1173</v>
      </c>
      <c r="DT61" s="1683">
        <v>2221</v>
      </c>
      <c r="DU61" s="1502">
        <v>1653</v>
      </c>
      <c r="DV61" s="1502">
        <v>1131</v>
      </c>
      <c r="DW61" s="1487">
        <v>1119</v>
      </c>
      <c r="DX61" s="1487">
        <v>1057</v>
      </c>
      <c r="DY61" s="1487">
        <v>1011</v>
      </c>
      <c r="DZ61" s="1487">
        <v>1532</v>
      </c>
      <c r="EA61" s="1487">
        <v>1043</v>
      </c>
      <c r="EB61" s="1487">
        <v>1075</v>
      </c>
      <c r="EC61" s="1487">
        <v>1444</v>
      </c>
      <c r="ED61" s="1487">
        <v>1289</v>
      </c>
      <c r="EE61" s="1486">
        <v>1447</v>
      </c>
      <c r="EF61" s="1927">
        <v>1936</v>
      </c>
      <c r="EG61" s="34">
        <v>1243</v>
      </c>
      <c r="EH61" s="34">
        <v>1312</v>
      </c>
      <c r="EI61" s="34">
        <v>1222</v>
      </c>
      <c r="EJ61" s="34">
        <v>1260</v>
      </c>
      <c r="EK61" s="34">
        <v>1287</v>
      </c>
      <c r="EL61" s="34">
        <v>1555</v>
      </c>
      <c r="EM61" s="2345">
        <v>855</v>
      </c>
      <c r="EN61" s="2345">
        <v>1160</v>
      </c>
      <c r="EO61" s="2346">
        <v>1155</v>
      </c>
      <c r="EP61" s="2346">
        <v>1121</v>
      </c>
      <c r="EQ61" s="2347">
        <v>1093</v>
      </c>
      <c r="ER61" s="3103">
        <v>1355</v>
      </c>
      <c r="ES61" s="3095"/>
      <c r="ET61" s="3095"/>
      <c r="EU61" s="3095"/>
      <c r="EV61" s="3095"/>
      <c r="EW61" s="3095"/>
      <c r="EX61" s="3095"/>
      <c r="EY61" s="3095"/>
      <c r="EZ61" s="3095"/>
      <c r="FA61" s="3095"/>
      <c r="FB61" s="3095"/>
      <c r="FC61" s="3104"/>
      <c r="FD61" s="2437"/>
      <c r="FE61" s="1710">
        <v>2212</v>
      </c>
      <c r="FF61" s="1711">
        <v>1928</v>
      </c>
      <c r="FG61" s="1711">
        <v>2277</v>
      </c>
      <c r="FH61" s="1712">
        <v>2266</v>
      </c>
      <c r="FI61" s="1713">
        <v>2743</v>
      </c>
      <c r="FJ61" s="1714">
        <v>2792</v>
      </c>
      <c r="FK61" s="1714">
        <v>2839</v>
      </c>
      <c r="FL61" s="1715">
        <v>3019</v>
      </c>
      <c r="FM61" s="1716">
        <v>2682</v>
      </c>
      <c r="FN61" s="1717">
        <v>2568</v>
      </c>
      <c r="FO61" s="1718">
        <v>2659</v>
      </c>
      <c r="FP61" s="1718">
        <v>2716</v>
      </c>
      <c r="FQ61" s="1719">
        <v>3513</v>
      </c>
      <c r="FR61" s="1720">
        <v>2757</v>
      </c>
      <c r="FS61" s="1720">
        <v>3133</v>
      </c>
      <c r="FT61" s="1721">
        <v>3993</v>
      </c>
      <c r="FU61" s="1722">
        <v>3743</v>
      </c>
      <c r="FV61" s="1723">
        <v>3576</v>
      </c>
      <c r="FW61" s="1723">
        <v>3845</v>
      </c>
      <c r="FX61" s="1724">
        <v>3721</v>
      </c>
      <c r="FY61" s="1720">
        <v>4501</v>
      </c>
      <c r="FZ61" s="1720">
        <v>3882</v>
      </c>
      <c r="GA61" s="1720">
        <v>4249</v>
      </c>
      <c r="GB61" s="1720">
        <v>4222</v>
      </c>
      <c r="GC61" s="1725">
        <v>4894</v>
      </c>
      <c r="GD61" s="1725">
        <v>4115</v>
      </c>
      <c r="GE61" s="1725">
        <v>4536</v>
      </c>
      <c r="GF61" s="1725">
        <v>5133</v>
      </c>
      <c r="GG61" s="1726">
        <v>7034</v>
      </c>
      <c r="GH61" s="1726">
        <v>3775</v>
      </c>
      <c r="GI61" s="1726">
        <f t="shared" si="17"/>
        <v>4538</v>
      </c>
      <c r="GJ61" s="1726">
        <v>5359</v>
      </c>
      <c r="GK61" s="1727">
        <v>7710</v>
      </c>
      <c r="GL61" s="1727">
        <f t="shared" si="18"/>
        <v>5329</v>
      </c>
      <c r="GM61" s="1727">
        <f t="shared" si="19"/>
        <v>5695</v>
      </c>
      <c r="GN61" s="1726">
        <f t="shared" si="20"/>
        <v>5484</v>
      </c>
      <c r="GO61" s="1541">
        <f t="shared" si="21"/>
        <v>6999</v>
      </c>
      <c r="GP61" s="1541">
        <f t="shared" si="22"/>
        <v>3731</v>
      </c>
      <c r="GQ61" s="1541">
        <f t="shared" si="23"/>
        <v>3672</v>
      </c>
      <c r="GR61" s="1541">
        <f t="shared" si="24"/>
        <v>3728</v>
      </c>
      <c r="GS61" s="1728">
        <f t="shared" si="25"/>
        <v>5005</v>
      </c>
      <c r="GT61" s="1728">
        <f t="shared" si="26"/>
        <v>3187</v>
      </c>
      <c r="GU61" s="1728">
        <f t="shared" si="27"/>
        <v>3650</v>
      </c>
      <c r="GV61" s="1728">
        <f t="shared" si="28"/>
        <v>4180</v>
      </c>
      <c r="GW61" s="1939">
        <f t="shared" si="29"/>
        <v>4491</v>
      </c>
      <c r="GX61" s="1725">
        <f t="shared" si="30"/>
        <v>3769</v>
      </c>
      <c r="GY61" s="1725">
        <f t="shared" si="31"/>
        <v>3570</v>
      </c>
      <c r="GZ61" s="1725">
        <f t="shared" si="32"/>
        <v>3369</v>
      </c>
      <c r="HA61" s="2443">
        <f t="shared" si="33"/>
        <v>1355</v>
      </c>
      <c r="HB61" s="2444">
        <f t="shared" si="34"/>
        <v>0</v>
      </c>
      <c r="HC61" s="2444">
        <f t="shared" si="35"/>
        <v>0</v>
      </c>
      <c r="HD61" s="2444">
        <f t="shared" si="36"/>
        <v>0</v>
      </c>
      <c r="HE61" s="1940"/>
      <c r="HF61" s="1729">
        <v>8683</v>
      </c>
      <c r="HG61" s="1730">
        <v>11393</v>
      </c>
      <c r="HH61" s="1730">
        <v>10625</v>
      </c>
      <c r="HI61" s="1730">
        <v>13396</v>
      </c>
      <c r="HJ61" s="1730">
        <v>14885</v>
      </c>
      <c r="HK61" s="1730">
        <v>16854</v>
      </c>
      <c r="HL61" s="2421">
        <v>18678</v>
      </c>
      <c r="HM61" s="2423">
        <v>20706</v>
      </c>
      <c r="HN61" s="2423">
        <f t="shared" si="37"/>
        <v>24218</v>
      </c>
      <c r="HO61" s="2423">
        <f t="shared" si="38"/>
        <v>17976</v>
      </c>
      <c r="HP61" s="2423">
        <f t="shared" si="39"/>
        <v>16022</v>
      </c>
      <c r="HQ61" s="2423">
        <f t="shared" si="40"/>
        <v>15199</v>
      </c>
      <c r="HR61" s="2452">
        <f t="shared" si="41"/>
        <v>1355</v>
      </c>
      <c r="HS61" s="2453">
        <f t="shared" si="49"/>
        <v>14618</v>
      </c>
      <c r="HT61" s="2455">
        <f t="shared" si="42"/>
        <v>18123.166666666668</v>
      </c>
      <c r="HU61" s="1737">
        <f t="shared" si="43"/>
        <v>2.8641260878293762E-2</v>
      </c>
      <c r="HV61" s="1737">
        <f t="shared" si="44"/>
        <v>2.4538580646347011E-2</v>
      </c>
      <c r="HW61" s="1737">
        <f t="shared" si="50"/>
        <v>2.1949250571512331E-2</v>
      </c>
      <c r="HX61" s="2458">
        <f t="shared" si="51"/>
        <v>2.6172111738663503E-2</v>
      </c>
      <c r="HY61" s="1734"/>
      <c r="HZ61" s="2302">
        <f t="shared" si="45"/>
        <v>-0.10870048954161105</v>
      </c>
      <c r="IA61" s="2300">
        <f t="shared" si="46"/>
        <v>8.1868417148791561E-3</v>
      </c>
      <c r="IB61" s="2300">
        <f t="shared" si="47"/>
        <v>-5.1366870552989607E-2</v>
      </c>
      <c r="IC61" s="2302">
        <f t="shared" si="48"/>
        <v>-3.8226199092045499E-2</v>
      </c>
    </row>
    <row r="62" spans="1:237" s="341" customFormat="1" ht="21.95" customHeight="1">
      <c r="A62" s="370"/>
      <c r="C62" s="2334" t="s">
        <v>21</v>
      </c>
      <c r="D62" s="1684">
        <v>543</v>
      </c>
      <c r="E62" s="1685">
        <v>685</v>
      </c>
      <c r="F62" s="1685">
        <v>788</v>
      </c>
      <c r="G62" s="1685">
        <v>824</v>
      </c>
      <c r="H62" s="1685">
        <v>704</v>
      </c>
      <c r="I62" s="1685">
        <v>744</v>
      </c>
      <c r="J62" s="1685">
        <v>1339</v>
      </c>
      <c r="K62" s="1685">
        <v>1363</v>
      </c>
      <c r="L62" s="1685">
        <v>964</v>
      </c>
      <c r="M62" s="1685">
        <v>1261</v>
      </c>
      <c r="N62" s="1685">
        <v>1037</v>
      </c>
      <c r="O62" s="1686">
        <v>669</v>
      </c>
      <c r="P62" s="1687">
        <v>824</v>
      </c>
      <c r="Q62" s="1688">
        <v>1149</v>
      </c>
      <c r="R62" s="1688">
        <v>823</v>
      </c>
      <c r="S62" s="1688">
        <v>1148</v>
      </c>
      <c r="T62" s="1688">
        <v>934</v>
      </c>
      <c r="U62" s="1688">
        <v>975</v>
      </c>
      <c r="V62" s="1688">
        <v>1638</v>
      </c>
      <c r="W62" s="1688">
        <v>1653</v>
      </c>
      <c r="X62" s="1688">
        <v>1093</v>
      </c>
      <c r="Y62" s="1688">
        <v>1377</v>
      </c>
      <c r="Z62" s="1688">
        <v>1200</v>
      </c>
      <c r="AA62" s="1689">
        <v>673</v>
      </c>
      <c r="AB62" s="1690">
        <v>983</v>
      </c>
      <c r="AC62" s="1691">
        <v>1015</v>
      </c>
      <c r="AD62" s="1691">
        <v>796</v>
      </c>
      <c r="AE62" s="1691">
        <v>1016</v>
      </c>
      <c r="AF62" s="1691">
        <v>965</v>
      </c>
      <c r="AG62" s="1691">
        <v>914</v>
      </c>
      <c r="AH62" s="1691">
        <v>1694</v>
      </c>
      <c r="AI62" s="1691">
        <v>1736</v>
      </c>
      <c r="AJ62" s="1691">
        <v>1131</v>
      </c>
      <c r="AK62" s="1691">
        <v>1386</v>
      </c>
      <c r="AL62" s="1691">
        <v>1175</v>
      </c>
      <c r="AM62" s="1692">
        <v>749</v>
      </c>
      <c r="AN62" s="1693">
        <v>742</v>
      </c>
      <c r="AO62" s="1694">
        <v>833</v>
      </c>
      <c r="AP62" s="1694">
        <v>1023</v>
      </c>
      <c r="AQ62" s="1694">
        <v>740</v>
      </c>
      <c r="AR62" s="1694">
        <v>1128</v>
      </c>
      <c r="AS62" s="1694">
        <v>840</v>
      </c>
      <c r="AT62" s="1694">
        <v>1883</v>
      </c>
      <c r="AU62" s="1694">
        <v>1664</v>
      </c>
      <c r="AV62" s="1694">
        <v>843</v>
      </c>
      <c r="AW62" s="1694">
        <v>1482</v>
      </c>
      <c r="AX62" s="1694">
        <v>1372</v>
      </c>
      <c r="AY62" s="1695">
        <v>727</v>
      </c>
      <c r="AZ62" s="1680">
        <v>759</v>
      </c>
      <c r="BA62" s="1680">
        <v>756</v>
      </c>
      <c r="BB62" s="1680">
        <v>935</v>
      </c>
      <c r="BC62" s="1680">
        <v>872</v>
      </c>
      <c r="BD62" s="1680">
        <v>1262</v>
      </c>
      <c r="BE62" s="1680">
        <v>730</v>
      </c>
      <c r="BF62" s="1680">
        <v>1595</v>
      </c>
      <c r="BG62" s="1680">
        <v>1453</v>
      </c>
      <c r="BH62" s="1680">
        <v>992</v>
      </c>
      <c r="BI62" s="1680">
        <v>1427</v>
      </c>
      <c r="BJ62" s="1680">
        <v>1289</v>
      </c>
      <c r="BK62" s="1731">
        <v>680</v>
      </c>
      <c r="BL62" s="1698">
        <v>673</v>
      </c>
      <c r="BM62" s="1699">
        <v>845</v>
      </c>
      <c r="BN62" s="1699">
        <v>756</v>
      </c>
      <c r="BO62" s="1699">
        <v>782</v>
      </c>
      <c r="BP62" s="1699">
        <v>829</v>
      </c>
      <c r="BQ62" s="1699">
        <v>701</v>
      </c>
      <c r="BR62" s="1699">
        <v>1552</v>
      </c>
      <c r="BS62" s="1699">
        <v>1404</v>
      </c>
      <c r="BT62" s="1700">
        <v>1214</v>
      </c>
      <c r="BU62" s="1700">
        <v>1410</v>
      </c>
      <c r="BV62" s="1700">
        <v>1180</v>
      </c>
      <c r="BW62" s="1701">
        <v>745</v>
      </c>
      <c r="BX62" s="1702">
        <v>880</v>
      </c>
      <c r="BY62" s="1511">
        <v>808</v>
      </c>
      <c r="BZ62" s="1511">
        <v>969</v>
      </c>
      <c r="CA62" s="1511">
        <v>844</v>
      </c>
      <c r="CB62" s="1511">
        <v>1026</v>
      </c>
      <c r="CC62" s="1511">
        <v>860</v>
      </c>
      <c r="CD62" s="1511">
        <v>1550</v>
      </c>
      <c r="CE62" s="1511">
        <v>1310</v>
      </c>
      <c r="CF62" s="1511">
        <v>1292</v>
      </c>
      <c r="CG62" s="1511">
        <v>1197</v>
      </c>
      <c r="CH62" s="1511">
        <v>1162</v>
      </c>
      <c r="CI62" s="1513">
        <v>751</v>
      </c>
      <c r="CJ62" s="1703">
        <v>877</v>
      </c>
      <c r="CK62" s="1704">
        <v>898</v>
      </c>
      <c r="CL62" s="1704">
        <v>932</v>
      </c>
      <c r="CM62" s="1704">
        <v>964</v>
      </c>
      <c r="CN62" s="1704">
        <v>964</v>
      </c>
      <c r="CO62" s="1704">
        <v>934</v>
      </c>
      <c r="CP62" s="1704">
        <v>1664</v>
      </c>
      <c r="CQ62" s="1704">
        <v>1228</v>
      </c>
      <c r="CR62" s="1704">
        <v>1269</v>
      </c>
      <c r="CS62" s="1704">
        <v>1389</v>
      </c>
      <c r="CT62" s="1704">
        <v>1581</v>
      </c>
      <c r="CU62" s="1705">
        <v>983</v>
      </c>
      <c r="CV62" s="1703">
        <v>1065</v>
      </c>
      <c r="CW62" s="1704">
        <v>1008</v>
      </c>
      <c r="CX62" s="1510">
        <v>802</v>
      </c>
      <c r="CY62" s="1510">
        <v>921</v>
      </c>
      <c r="CZ62" s="1510">
        <v>958</v>
      </c>
      <c r="DA62" s="1510">
        <v>965</v>
      </c>
      <c r="DB62" s="1510">
        <v>1548</v>
      </c>
      <c r="DC62" s="1510">
        <v>1233</v>
      </c>
      <c r="DD62" s="1510">
        <v>1512</v>
      </c>
      <c r="DE62" s="1510">
        <v>1510</v>
      </c>
      <c r="DF62" s="1510">
        <v>1671</v>
      </c>
      <c r="DG62" s="1705">
        <v>856</v>
      </c>
      <c r="DH62" s="1706">
        <v>953</v>
      </c>
      <c r="DI62" s="1707">
        <v>996</v>
      </c>
      <c r="DJ62" s="1707">
        <v>916</v>
      </c>
      <c r="DK62" s="1708">
        <v>945</v>
      </c>
      <c r="DL62" s="1708">
        <v>905</v>
      </c>
      <c r="DM62" s="1708">
        <v>1030</v>
      </c>
      <c r="DN62" s="1708">
        <v>1552</v>
      </c>
      <c r="DO62" s="1708">
        <v>1191</v>
      </c>
      <c r="DP62" s="1708">
        <v>928</v>
      </c>
      <c r="DQ62" s="1708">
        <v>1536</v>
      </c>
      <c r="DR62" s="1708">
        <v>1546</v>
      </c>
      <c r="DS62" s="1709">
        <v>835</v>
      </c>
      <c r="DT62" s="1683">
        <v>933</v>
      </c>
      <c r="DU62" s="1502">
        <v>916</v>
      </c>
      <c r="DV62" s="1502">
        <v>937</v>
      </c>
      <c r="DW62" s="1487">
        <v>939</v>
      </c>
      <c r="DX62" s="1487">
        <v>912</v>
      </c>
      <c r="DY62" s="1487">
        <v>911</v>
      </c>
      <c r="DZ62" s="1487">
        <v>1705</v>
      </c>
      <c r="EA62" s="1487">
        <v>1227</v>
      </c>
      <c r="EB62" s="1487">
        <v>1164</v>
      </c>
      <c r="EC62" s="1487">
        <v>1553</v>
      </c>
      <c r="ED62" s="1487">
        <v>1734</v>
      </c>
      <c r="EE62" s="1486">
        <v>865</v>
      </c>
      <c r="EF62" s="1927">
        <v>1076</v>
      </c>
      <c r="EG62" s="34">
        <v>1089</v>
      </c>
      <c r="EH62" s="34">
        <v>834</v>
      </c>
      <c r="EI62" s="34">
        <v>1162</v>
      </c>
      <c r="EJ62" s="34">
        <v>1082</v>
      </c>
      <c r="EK62" s="34">
        <v>1183</v>
      </c>
      <c r="EL62" s="34">
        <v>1912</v>
      </c>
      <c r="EM62" s="2345">
        <v>1373</v>
      </c>
      <c r="EN62" s="2345">
        <v>1332</v>
      </c>
      <c r="EO62" s="2346">
        <v>1688</v>
      </c>
      <c r="EP62" s="2346">
        <v>1480</v>
      </c>
      <c r="EQ62" s="2347">
        <v>952</v>
      </c>
      <c r="ER62" s="3107">
        <v>1067</v>
      </c>
      <c r="ES62" s="3097"/>
      <c r="ET62" s="3097"/>
      <c r="EU62" s="3097"/>
      <c r="EV62" s="3097"/>
      <c r="EW62" s="3097"/>
      <c r="EX62" s="3097"/>
      <c r="EY62" s="3097"/>
      <c r="EZ62" s="3097"/>
      <c r="FA62" s="3097"/>
      <c r="FB62" s="3097"/>
      <c r="FC62" s="3108"/>
      <c r="FD62" s="2437"/>
      <c r="FE62" s="1710">
        <v>2016</v>
      </c>
      <c r="FF62" s="1711">
        <v>2272</v>
      </c>
      <c r="FG62" s="1711">
        <v>3666</v>
      </c>
      <c r="FH62" s="1712">
        <v>2967</v>
      </c>
      <c r="FI62" s="1713">
        <v>2796</v>
      </c>
      <c r="FJ62" s="1714">
        <v>3057</v>
      </c>
      <c r="FK62" s="1714">
        <v>4384</v>
      </c>
      <c r="FL62" s="1715">
        <v>3250</v>
      </c>
      <c r="FM62" s="1716">
        <v>2794</v>
      </c>
      <c r="FN62" s="1717">
        <v>2895</v>
      </c>
      <c r="FO62" s="1718">
        <v>4561</v>
      </c>
      <c r="FP62" s="1718">
        <v>3310</v>
      </c>
      <c r="FQ62" s="1719">
        <v>2598</v>
      </c>
      <c r="FR62" s="1720">
        <v>2708</v>
      </c>
      <c r="FS62" s="1720">
        <v>4390</v>
      </c>
      <c r="FT62" s="1721">
        <v>3581</v>
      </c>
      <c r="FU62" s="1722">
        <v>2450</v>
      </c>
      <c r="FV62" s="1723">
        <v>2864</v>
      </c>
      <c r="FW62" s="1723">
        <v>4040</v>
      </c>
      <c r="FX62" s="1724">
        <v>3396</v>
      </c>
      <c r="FY62" s="1720">
        <v>2274</v>
      </c>
      <c r="FZ62" s="1720">
        <v>2312</v>
      </c>
      <c r="GA62" s="1720">
        <v>4170</v>
      </c>
      <c r="GB62" s="1720">
        <v>3335</v>
      </c>
      <c r="GC62" s="1725">
        <v>2657</v>
      </c>
      <c r="GD62" s="1725">
        <v>2730</v>
      </c>
      <c r="GE62" s="1725">
        <v>4152</v>
      </c>
      <c r="GF62" s="1725">
        <v>3110</v>
      </c>
      <c r="GG62" s="1726">
        <v>2707</v>
      </c>
      <c r="GH62" s="1726">
        <v>2862</v>
      </c>
      <c r="GI62" s="1726">
        <f t="shared" si="17"/>
        <v>4161</v>
      </c>
      <c r="GJ62" s="1726">
        <v>3953</v>
      </c>
      <c r="GK62" s="1727">
        <v>2875</v>
      </c>
      <c r="GL62" s="1727">
        <f t="shared" si="18"/>
        <v>2844</v>
      </c>
      <c r="GM62" s="1727">
        <f t="shared" si="19"/>
        <v>4293</v>
      </c>
      <c r="GN62" s="1726">
        <f t="shared" si="20"/>
        <v>4037</v>
      </c>
      <c r="GO62" s="1541">
        <f t="shared" si="21"/>
        <v>2865</v>
      </c>
      <c r="GP62" s="1541">
        <f t="shared" si="22"/>
        <v>2880</v>
      </c>
      <c r="GQ62" s="1541">
        <f t="shared" si="23"/>
        <v>3578</v>
      </c>
      <c r="GR62" s="1541">
        <f t="shared" si="24"/>
        <v>3917</v>
      </c>
      <c r="GS62" s="1728">
        <f t="shared" si="25"/>
        <v>2786</v>
      </c>
      <c r="GT62" s="1728">
        <f t="shared" si="26"/>
        <v>2762</v>
      </c>
      <c r="GU62" s="1728">
        <f t="shared" si="27"/>
        <v>4096</v>
      </c>
      <c r="GV62" s="1728">
        <f t="shared" si="28"/>
        <v>4152</v>
      </c>
      <c r="GW62" s="1939">
        <f t="shared" si="29"/>
        <v>2999</v>
      </c>
      <c r="GX62" s="1725">
        <f t="shared" si="30"/>
        <v>3427</v>
      </c>
      <c r="GY62" s="1725">
        <f t="shared" si="31"/>
        <v>4617</v>
      </c>
      <c r="GZ62" s="1725">
        <f t="shared" si="32"/>
        <v>4120</v>
      </c>
      <c r="HA62" s="2443">
        <f t="shared" si="33"/>
        <v>1067</v>
      </c>
      <c r="HB62" s="2444">
        <f t="shared" si="34"/>
        <v>0</v>
      </c>
      <c r="HC62" s="2444">
        <f t="shared" si="35"/>
        <v>0</v>
      </c>
      <c r="HD62" s="2444">
        <f t="shared" si="36"/>
        <v>0</v>
      </c>
      <c r="HE62" s="1940"/>
      <c r="HF62" s="1729">
        <v>10921</v>
      </c>
      <c r="HG62" s="1730">
        <v>13487</v>
      </c>
      <c r="HH62" s="1730">
        <v>13560</v>
      </c>
      <c r="HI62" s="1730">
        <v>13277</v>
      </c>
      <c r="HJ62" s="1730">
        <v>12750</v>
      </c>
      <c r="HK62" s="1730">
        <v>12091</v>
      </c>
      <c r="HL62" s="2421">
        <v>12649</v>
      </c>
      <c r="HM62" s="2423">
        <v>13683</v>
      </c>
      <c r="HN62" s="2423">
        <f t="shared" si="37"/>
        <v>14049</v>
      </c>
      <c r="HO62" s="2423">
        <f t="shared" si="38"/>
        <v>13333</v>
      </c>
      <c r="HP62" s="2423">
        <f t="shared" si="39"/>
        <v>13796</v>
      </c>
      <c r="HQ62" s="2423">
        <f t="shared" si="40"/>
        <v>15163</v>
      </c>
      <c r="HR62" s="2452">
        <f t="shared" si="41"/>
        <v>1067</v>
      </c>
      <c r="HS62" s="2453">
        <f t="shared" si="49"/>
        <v>15154</v>
      </c>
      <c r="HT62" s="2455">
        <f t="shared" si="42"/>
        <v>14196.333333333334</v>
      </c>
      <c r="HU62" s="1737">
        <f t="shared" si="43"/>
        <v>2.1243543129188403E-2</v>
      </c>
      <c r="HV62" s="1737">
        <f t="shared" si="44"/>
        <v>2.1129338322119794E-2</v>
      </c>
      <c r="HW62" s="1737">
        <f t="shared" si="50"/>
        <v>2.189726208407405E-2</v>
      </c>
      <c r="HX62" s="2458">
        <f t="shared" si="51"/>
        <v>2.0501274921379448E-2</v>
      </c>
      <c r="HY62" s="1734"/>
      <c r="HZ62" s="2302">
        <f t="shared" si="45"/>
        <v>3.4725868146703753E-2</v>
      </c>
      <c r="IA62" s="2300">
        <f t="shared" si="46"/>
        <v>6.4751618790469756E-2</v>
      </c>
      <c r="IB62" s="2300">
        <f t="shared" si="47"/>
        <v>9.908669179472307E-2</v>
      </c>
      <c r="IC62" s="2302">
        <f t="shared" si="48"/>
        <v>-5.9355008903250184E-4</v>
      </c>
    </row>
    <row r="63" spans="1:237" s="341" customFormat="1" ht="21.95" customHeight="1">
      <c r="A63" s="370"/>
      <c r="C63" s="557" t="s">
        <v>8</v>
      </c>
      <c r="D63" s="1684">
        <v>753</v>
      </c>
      <c r="E63" s="1685">
        <v>714</v>
      </c>
      <c r="F63" s="1685">
        <v>737</v>
      </c>
      <c r="G63" s="1685">
        <v>613</v>
      </c>
      <c r="H63" s="1685">
        <v>651</v>
      </c>
      <c r="I63" s="1685">
        <v>747</v>
      </c>
      <c r="J63" s="1685">
        <v>827</v>
      </c>
      <c r="K63" s="1685">
        <v>1300</v>
      </c>
      <c r="L63" s="1685">
        <v>952</v>
      </c>
      <c r="M63" s="1685">
        <v>1111</v>
      </c>
      <c r="N63" s="1685">
        <v>1099</v>
      </c>
      <c r="O63" s="1686">
        <v>1314</v>
      </c>
      <c r="P63" s="1687">
        <v>827</v>
      </c>
      <c r="Q63" s="1688">
        <v>1276</v>
      </c>
      <c r="R63" s="1688">
        <v>1217</v>
      </c>
      <c r="S63" s="1688">
        <v>1118</v>
      </c>
      <c r="T63" s="1688">
        <v>1255</v>
      </c>
      <c r="U63" s="1688">
        <v>1036</v>
      </c>
      <c r="V63" s="1688">
        <v>1195</v>
      </c>
      <c r="W63" s="1688">
        <v>1641</v>
      </c>
      <c r="X63" s="1688">
        <v>1154</v>
      </c>
      <c r="Y63" s="1688">
        <v>1777</v>
      </c>
      <c r="Z63" s="1688">
        <v>1428</v>
      </c>
      <c r="AA63" s="1689">
        <v>2225</v>
      </c>
      <c r="AB63" s="1690">
        <v>1083</v>
      </c>
      <c r="AC63" s="1691">
        <v>1249</v>
      </c>
      <c r="AD63" s="1691">
        <v>1024</v>
      </c>
      <c r="AE63" s="1691">
        <v>1356</v>
      </c>
      <c r="AF63" s="1691">
        <v>1292</v>
      </c>
      <c r="AG63" s="1691">
        <v>1228</v>
      </c>
      <c r="AH63" s="1691">
        <v>1508</v>
      </c>
      <c r="AI63" s="1691">
        <v>2113</v>
      </c>
      <c r="AJ63" s="1691">
        <v>1520</v>
      </c>
      <c r="AK63" s="1691">
        <v>1841</v>
      </c>
      <c r="AL63" s="1691">
        <v>2046</v>
      </c>
      <c r="AM63" s="1692">
        <v>3228</v>
      </c>
      <c r="AN63" s="1693">
        <v>1651</v>
      </c>
      <c r="AO63" s="1694">
        <v>2875</v>
      </c>
      <c r="AP63" s="1694">
        <v>1387</v>
      </c>
      <c r="AQ63" s="1694">
        <v>1111</v>
      </c>
      <c r="AR63" s="1694">
        <v>1191</v>
      </c>
      <c r="AS63" s="1694">
        <v>1113</v>
      </c>
      <c r="AT63" s="1694">
        <v>1335</v>
      </c>
      <c r="AU63" s="1694">
        <v>1591</v>
      </c>
      <c r="AV63" s="1694">
        <v>1306</v>
      </c>
      <c r="AW63" s="1694">
        <v>1534</v>
      </c>
      <c r="AX63" s="1694">
        <v>1720</v>
      </c>
      <c r="AY63" s="1695">
        <v>1968</v>
      </c>
      <c r="AZ63" s="1680">
        <v>1032</v>
      </c>
      <c r="BA63" s="1680">
        <v>1376</v>
      </c>
      <c r="BB63" s="1680">
        <v>1492</v>
      </c>
      <c r="BC63" s="1680">
        <v>1632</v>
      </c>
      <c r="BD63" s="1680">
        <v>1480</v>
      </c>
      <c r="BE63" s="1680">
        <v>1340</v>
      </c>
      <c r="BF63" s="1680">
        <v>1534</v>
      </c>
      <c r="BG63" s="1680">
        <v>1989</v>
      </c>
      <c r="BH63" s="1680">
        <v>2317</v>
      </c>
      <c r="BI63" s="1680">
        <v>2313</v>
      </c>
      <c r="BJ63" s="1680">
        <v>2294</v>
      </c>
      <c r="BK63" s="1731">
        <v>2927</v>
      </c>
      <c r="BL63" s="1698">
        <v>1103</v>
      </c>
      <c r="BM63" s="1699">
        <v>1731</v>
      </c>
      <c r="BN63" s="1699">
        <v>1529</v>
      </c>
      <c r="BO63" s="1699">
        <v>1459</v>
      </c>
      <c r="BP63" s="1699">
        <v>1418</v>
      </c>
      <c r="BQ63" s="1699">
        <v>1675</v>
      </c>
      <c r="BR63" s="1699">
        <v>1770</v>
      </c>
      <c r="BS63" s="1699">
        <v>2101</v>
      </c>
      <c r="BT63" s="1700">
        <v>2091</v>
      </c>
      <c r="BU63" s="1700">
        <v>2502</v>
      </c>
      <c r="BV63" s="1700">
        <v>4173</v>
      </c>
      <c r="BW63" s="1701">
        <v>4955</v>
      </c>
      <c r="BX63" s="1702">
        <v>3054</v>
      </c>
      <c r="BY63" s="1511">
        <v>4459</v>
      </c>
      <c r="BZ63" s="1511">
        <v>4045</v>
      </c>
      <c r="CA63" s="1511">
        <v>4332</v>
      </c>
      <c r="CB63" s="1511">
        <v>4937</v>
      </c>
      <c r="CC63" s="1511">
        <v>5647</v>
      </c>
      <c r="CD63" s="1511">
        <v>7092</v>
      </c>
      <c r="CE63" s="1511">
        <v>7074</v>
      </c>
      <c r="CF63" s="1511">
        <v>7620</v>
      </c>
      <c r="CG63" s="1511">
        <v>10699</v>
      </c>
      <c r="CH63" s="1511">
        <v>11241</v>
      </c>
      <c r="CI63" s="1513">
        <v>7989</v>
      </c>
      <c r="CJ63" s="1703">
        <v>4693</v>
      </c>
      <c r="CK63" s="1704">
        <v>5741</v>
      </c>
      <c r="CL63" s="1704">
        <v>5725</v>
      </c>
      <c r="CM63" s="1704">
        <v>5619</v>
      </c>
      <c r="CN63" s="1704">
        <v>5346</v>
      </c>
      <c r="CO63" s="1704">
        <v>6807</v>
      </c>
      <c r="CP63" s="1704">
        <v>6926</v>
      </c>
      <c r="CQ63" s="1704">
        <v>8583</v>
      </c>
      <c r="CR63" s="1704">
        <v>9992</v>
      </c>
      <c r="CS63" s="1704">
        <v>9297</v>
      </c>
      <c r="CT63" s="1704">
        <v>10296</v>
      </c>
      <c r="CU63" s="1705">
        <v>11157</v>
      </c>
      <c r="CV63" s="1703">
        <v>2358</v>
      </c>
      <c r="CW63" s="1704">
        <v>2290</v>
      </c>
      <c r="CX63" s="1510">
        <v>4142</v>
      </c>
      <c r="CY63" s="1510">
        <v>6065</v>
      </c>
      <c r="CZ63" s="1510">
        <v>5121</v>
      </c>
      <c r="DA63" s="1510">
        <v>3749</v>
      </c>
      <c r="DB63" s="1510">
        <v>2801</v>
      </c>
      <c r="DC63" s="1510">
        <v>3138</v>
      </c>
      <c r="DD63" s="1510">
        <v>4863</v>
      </c>
      <c r="DE63" s="1510">
        <v>5562</v>
      </c>
      <c r="DF63" s="1510">
        <v>6086</v>
      </c>
      <c r="DG63" s="1705">
        <v>5218</v>
      </c>
      <c r="DH63" s="1706">
        <v>3766</v>
      </c>
      <c r="DI63" s="1707">
        <v>3119</v>
      </c>
      <c r="DJ63" s="1707">
        <v>3278</v>
      </c>
      <c r="DK63" s="1708">
        <v>2499</v>
      </c>
      <c r="DL63" s="1708">
        <v>2287</v>
      </c>
      <c r="DM63" s="1708">
        <v>1861</v>
      </c>
      <c r="DN63" s="1708">
        <v>1997</v>
      </c>
      <c r="DO63" s="1708">
        <v>1859</v>
      </c>
      <c r="DP63" s="1708">
        <v>1545</v>
      </c>
      <c r="DQ63" s="1708">
        <v>1802</v>
      </c>
      <c r="DR63" s="1708">
        <v>2234</v>
      </c>
      <c r="DS63" s="1709">
        <v>2275</v>
      </c>
      <c r="DT63" s="1683">
        <v>2611</v>
      </c>
      <c r="DU63" s="1502">
        <v>2623</v>
      </c>
      <c r="DV63" s="1502">
        <v>3077</v>
      </c>
      <c r="DW63" s="1487">
        <v>1899</v>
      </c>
      <c r="DX63" s="1487">
        <v>1788</v>
      </c>
      <c r="DY63" s="1487">
        <v>1844</v>
      </c>
      <c r="DZ63" s="1487">
        <v>2187</v>
      </c>
      <c r="EA63" s="1487">
        <v>1627</v>
      </c>
      <c r="EB63" s="1487">
        <v>1459</v>
      </c>
      <c r="EC63" s="1487">
        <v>1321</v>
      </c>
      <c r="ED63" s="1487">
        <v>1420</v>
      </c>
      <c r="EE63" s="1486">
        <v>1417</v>
      </c>
      <c r="EF63" s="1927">
        <v>1226</v>
      </c>
      <c r="EG63" s="34">
        <v>1186</v>
      </c>
      <c r="EH63" s="34">
        <v>1106</v>
      </c>
      <c r="EI63" s="34">
        <v>1006</v>
      </c>
      <c r="EJ63" s="34">
        <v>1115</v>
      </c>
      <c r="EK63" s="34">
        <v>1223</v>
      </c>
      <c r="EL63" s="34">
        <v>1373</v>
      </c>
      <c r="EM63" s="2345">
        <v>1180</v>
      </c>
      <c r="EN63" s="2345">
        <v>1316</v>
      </c>
      <c r="EO63" s="2346">
        <v>1366</v>
      </c>
      <c r="EP63" s="2346">
        <v>1417</v>
      </c>
      <c r="EQ63" s="2347">
        <v>1480</v>
      </c>
      <c r="ER63" s="3109">
        <v>839</v>
      </c>
      <c r="ES63" s="3098"/>
      <c r="ET63" s="3098"/>
      <c r="EU63" s="3098"/>
      <c r="EV63" s="3098"/>
      <c r="EW63" s="3098"/>
      <c r="EX63" s="3098"/>
      <c r="EY63" s="3098"/>
      <c r="EZ63" s="3098"/>
      <c r="FA63" s="3098"/>
      <c r="FB63" s="3098"/>
      <c r="FC63" s="3110"/>
      <c r="FD63" s="2437"/>
      <c r="FE63" s="1710">
        <v>2204</v>
      </c>
      <c r="FF63" s="1711">
        <v>2011</v>
      </c>
      <c r="FG63" s="1711">
        <v>3079</v>
      </c>
      <c r="FH63" s="1712">
        <v>3524</v>
      </c>
      <c r="FI63" s="1713">
        <v>3320</v>
      </c>
      <c r="FJ63" s="1714">
        <v>3409</v>
      </c>
      <c r="FK63" s="1714">
        <v>3990</v>
      </c>
      <c r="FL63" s="1715">
        <v>5430</v>
      </c>
      <c r="FM63" s="1716">
        <v>3356</v>
      </c>
      <c r="FN63" s="1717">
        <v>3876</v>
      </c>
      <c r="FO63" s="1718">
        <v>5141</v>
      </c>
      <c r="FP63" s="1718">
        <v>7115</v>
      </c>
      <c r="FQ63" s="1719">
        <v>5913</v>
      </c>
      <c r="FR63" s="1720">
        <v>3415</v>
      </c>
      <c r="FS63" s="1720">
        <v>4232</v>
      </c>
      <c r="FT63" s="1721">
        <v>5222</v>
      </c>
      <c r="FU63" s="1722">
        <v>3900</v>
      </c>
      <c r="FV63" s="1723">
        <v>4452</v>
      </c>
      <c r="FW63" s="1723">
        <v>5840</v>
      </c>
      <c r="FX63" s="1724">
        <v>7534</v>
      </c>
      <c r="FY63" s="1720">
        <v>4363</v>
      </c>
      <c r="FZ63" s="1720">
        <v>4552</v>
      </c>
      <c r="GA63" s="1720">
        <v>5962</v>
      </c>
      <c r="GB63" s="1720">
        <v>11630</v>
      </c>
      <c r="GC63" s="1725">
        <v>11558</v>
      </c>
      <c r="GD63" s="1725">
        <v>14916</v>
      </c>
      <c r="GE63" s="1725">
        <v>21786</v>
      </c>
      <c r="GF63" s="1725">
        <v>29929</v>
      </c>
      <c r="GG63" s="1726">
        <v>16159</v>
      </c>
      <c r="GH63" s="1726">
        <v>17772</v>
      </c>
      <c r="GI63" s="1726">
        <f t="shared" si="17"/>
        <v>25501</v>
      </c>
      <c r="GJ63" s="1726">
        <v>30750</v>
      </c>
      <c r="GK63" s="1727">
        <v>8790</v>
      </c>
      <c r="GL63" s="1727">
        <f t="shared" si="18"/>
        <v>14935</v>
      </c>
      <c r="GM63" s="1727">
        <f t="shared" si="19"/>
        <v>10802</v>
      </c>
      <c r="GN63" s="1726">
        <f t="shared" si="20"/>
        <v>16866</v>
      </c>
      <c r="GO63" s="1541">
        <f t="shared" si="21"/>
        <v>10163</v>
      </c>
      <c r="GP63" s="1541">
        <f t="shared" si="22"/>
        <v>6647</v>
      </c>
      <c r="GQ63" s="1541">
        <f t="shared" si="23"/>
        <v>6131</v>
      </c>
      <c r="GR63" s="1541">
        <f t="shared" si="24"/>
        <v>6311</v>
      </c>
      <c r="GS63" s="1728">
        <f t="shared" si="25"/>
        <v>8311</v>
      </c>
      <c r="GT63" s="1728">
        <f t="shared" si="26"/>
        <v>5531</v>
      </c>
      <c r="GU63" s="1728">
        <f t="shared" si="27"/>
        <v>5273</v>
      </c>
      <c r="GV63" s="1728">
        <f t="shared" si="28"/>
        <v>4158</v>
      </c>
      <c r="GW63" s="1939">
        <f t="shared" si="29"/>
        <v>3518</v>
      </c>
      <c r="GX63" s="1725">
        <f t="shared" si="30"/>
        <v>3344</v>
      </c>
      <c r="GY63" s="1725">
        <f t="shared" si="31"/>
        <v>3869</v>
      </c>
      <c r="GZ63" s="1725">
        <f t="shared" si="32"/>
        <v>4263</v>
      </c>
      <c r="HA63" s="2443">
        <f t="shared" si="33"/>
        <v>839</v>
      </c>
      <c r="HB63" s="2444">
        <f t="shared" si="34"/>
        <v>0</v>
      </c>
      <c r="HC63" s="2444">
        <f t="shared" si="35"/>
        <v>0</v>
      </c>
      <c r="HD63" s="2444">
        <f t="shared" si="36"/>
        <v>0</v>
      </c>
      <c r="HE63" s="1940"/>
      <c r="HF63" s="1729">
        <v>10818</v>
      </c>
      <c r="HG63" s="1730">
        <v>16149</v>
      </c>
      <c r="HH63" s="1730">
        <v>19488</v>
      </c>
      <c r="HI63" s="1730">
        <v>18782</v>
      </c>
      <c r="HJ63" s="1730">
        <v>21726</v>
      </c>
      <c r="HK63" s="1730">
        <v>26507</v>
      </c>
      <c r="HL63" s="2421">
        <v>78189</v>
      </c>
      <c r="HM63" s="2423">
        <v>90182</v>
      </c>
      <c r="HN63" s="2423">
        <f t="shared" si="37"/>
        <v>51393</v>
      </c>
      <c r="HO63" s="2423">
        <f t="shared" si="38"/>
        <v>28522</v>
      </c>
      <c r="HP63" s="2423">
        <f t="shared" si="39"/>
        <v>23273</v>
      </c>
      <c r="HQ63" s="2423">
        <f t="shared" si="40"/>
        <v>14994</v>
      </c>
      <c r="HR63" s="2452">
        <f t="shared" si="41"/>
        <v>839</v>
      </c>
      <c r="HS63" s="2453">
        <f t="shared" si="49"/>
        <v>14607</v>
      </c>
      <c r="HT63" s="2455">
        <f t="shared" si="42"/>
        <v>37161.833333333336</v>
      </c>
      <c r="HU63" s="1737">
        <f t="shared" si="43"/>
        <v>4.5444261391338156E-2</v>
      </c>
      <c r="HV63" s="1737">
        <f t="shared" si="44"/>
        <v>3.5643888864213831E-2</v>
      </c>
      <c r="HW63" s="1737">
        <f t="shared" si="50"/>
        <v>2.1653205018044339E-2</v>
      </c>
      <c r="HX63" s="2458">
        <f t="shared" si="51"/>
        <v>5.3666319595375531E-2</v>
      </c>
      <c r="HY63" s="1734"/>
      <c r="HZ63" s="2302">
        <f t="shared" si="45"/>
        <v>-0.18403337774349626</v>
      </c>
      <c r="IA63" s="2300">
        <f t="shared" si="46"/>
        <v>0.30291821517892625</v>
      </c>
      <c r="IB63" s="2300">
        <f t="shared" si="47"/>
        <v>-0.35573411249086928</v>
      </c>
      <c r="IC63" s="2302">
        <f t="shared" si="48"/>
        <v>-2.5810324129651896E-2</v>
      </c>
    </row>
    <row r="64" spans="1:237" s="341" customFormat="1" ht="21.95" customHeight="1">
      <c r="A64" s="544"/>
      <c r="B64" s="543"/>
      <c r="C64" s="545" t="s">
        <v>16</v>
      </c>
      <c r="D64" s="1684">
        <v>601</v>
      </c>
      <c r="E64" s="1685">
        <v>485</v>
      </c>
      <c r="F64" s="1685">
        <v>562</v>
      </c>
      <c r="G64" s="1685">
        <v>458</v>
      </c>
      <c r="H64" s="1685">
        <v>506</v>
      </c>
      <c r="I64" s="1685">
        <v>493</v>
      </c>
      <c r="J64" s="1685">
        <v>640</v>
      </c>
      <c r="K64" s="1685">
        <v>660</v>
      </c>
      <c r="L64" s="1685">
        <v>623</v>
      </c>
      <c r="M64" s="1685">
        <v>809</v>
      </c>
      <c r="N64" s="1685">
        <v>721</v>
      </c>
      <c r="O64" s="1686">
        <v>581</v>
      </c>
      <c r="P64" s="1687">
        <v>742</v>
      </c>
      <c r="Q64" s="1688">
        <v>1092</v>
      </c>
      <c r="R64" s="1688">
        <v>815</v>
      </c>
      <c r="S64" s="1688">
        <v>665</v>
      </c>
      <c r="T64" s="1688">
        <v>807</v>
      </c>
      <c r="U64" s="1688">
        <v>1147</v>
      </c>
      <c r="V64" s="1688">
        <v>1017</v>
      </c>
      <c r="W64" s="1688">
        <v>826</v>
      </c>
      <c r="X64" s="1688">
        <v>918</v>
      </c>
      <c r="Y64" s="1688">
        <v>792</v>
      </c>
      <c r="Z64" s="1688">
        <v>734</v>
      </c>
      <c r="AA64" s="1689">
        <v>659</v>
      </c>
      <c r="AB64" s="1690">
        <v>705</v>
      </c>
      <c r="AC64" s="1691">
        <v>675</v>
      </c>
      <c r="AD64" s="1691">
        <v>680</v>
      </c>
      <c r="AE64" s="1691">
        <v>672</v>
      </c>
      <c r="AF64" s="1691">
        <v>653</v>
      </c>
      <c r="AG64" s="1691">
        <v>634</v>
      </c>
      <c r="AH64" s="1691">
        <v>832</v>
      </c>
      <c r="AI64" s="1691">
        <v>848</v>
      </c>
      <c r="AJ64" s="1691">
        <v>720</v>
      </c>
      <c r="AK64" s="1691">
        <v>789</v>
      </c>
      <c r="AL64" s="1691">
        <v>930</v>
      </c>
      <c r="AM64" s="1692">
        <v>731</v>
      </c>
      <c r="AN64" s="1693">
        <v>924</v>
      </c>
      <c r="AO64" s="1694">
        <v>696</v>
      </c>
      <c r="AP64" s="1694">
        <v>663</v>
      </c>
      <c r="AQ64" s="1694">
        <v>716</v>
      </c>
      <c r="AR64" s="1694">
        <v>756</v>
      </c>
      <c r="AS64" s="1694">
        <v>723</v>
      </c>
      <c r="AT64" s="1694">
        <v>894</v>
      </c>
      <c r="AU64" s="1694">
        <v>783</v>
      </c>
      <c r="AV64" s="1694">
        <v>912</v>
      </c>
      <c r="AW64" s="1694">
        <v>829</v>
      </c>
      <c r="AX64" s="1694">
        <v>856</v>
      </c>
      <c r="AY64" s="1695">
        <v>807</v>
      </c>
      <c r="AZ64" s="1680">
        <v>932</v>
      </c>
      <c r="BA64" s="1680">
        <v>719</v>
      </c>
      <c r="BB64" s="1680">
        <v>938</v>
      </c>
      <c r="BC64" s="1680">
        <v>769</v>
      </c>
      <c r="BD64" s="1680">
        <v>816</v>
      </c>
      <c r="BE64" s="1680">
        <v>810</v>
      </c>
      <c r="BF64" s="1680">
        <v>970</v>
      </c>
      <c r="BG64" s="1680">
        <v>834</v>
      </c>
      <c r="BH64" s="1680">
        <v>856</v>
      </c>
      <c r="BI64" s="1680">
        <v>924</v>
      </c>
      <c r="BJ64" s="1680">
        <v>793</v>
      </c>
      <c r="BK64" s="1731">
        <v>822</v>
      </c>
      <c r="BL64" s="1698">
        <v>834</v>
      </c>
      <c r="BM64" s="1699">
        <v>769</v>
      </c>
      <c r="BN64" s="1699">
        <v>821</v>
      </c>
      <c r="BO64" s="1699">
        <v>842</v>
      </c>
      <c r="BP64" s="1699">
        <v>921</v>
      </c>
      <c r="BQ64" s="1699">
        <v>1131</v>
      </c>
      <c r="BR64" s="1699">
        <v>1140</v>
      </c>
      <c r="BS64" s="1699">
        <v>979</v>
      </c>
      <c r="BT64" s="1700">
        <v>975</v>
      </c>
      <c r="BU64" s="1700">
        <v>994</v>
      </c>
      <c r="BV64" s="1700">
        <v>1053</v>
      </c>
      <c r="BW64" s="1701">
        <v>931</v>
      </c>
      <c r="BX64" s="1702">
        <v>941</v>
      </c>
      <c r="BY64" s="1511">
        <v>723</v>
      </c>
      <c r="BZ64" s="1511">
        <v>783</v>
      </c>
      <c r="CA64" s="1511">
        <v>862</v>
      </c>
      <c r="CB64" s="1511">
        <v>903</v>
      </c>
      <c r="CC64" s="1511">
        <v>861</v>
      </c>
      <c r="CD64" s="1511">
        <v>932</v>
      </c>
      <c r="CE64" s="1511">
        <v>714</v>
      </c>
      <c r="CF64" s="1511">
        <v>996</v>
      </c>
      <c r="CG64" s="1511">
        <v>940</v>
      </c>
      <c r="CH64" s="1511">
        <v>1183</v>
      </c>
      <c r="CI64" s="1513">
        <v>1214</v>
      </c>
      <c r="CJ64" s="1703">
        <v>1206</v>
      </c>
      <c r="CK64" s="1704">
        <v>1082</v>
      </c>
      <c r="CL64" s="1704">
        <v>958</v>
      </c>
      <c r="CM64" s="1704">
        <v>984</v>
      </c>
      <c r="CN64" s="1704">
        <v>1190</v>
      </c>
      <c r="CO64" s="1704">
        <v>753</v>
      </c>
      <c r="CP64" s="1704">
        <v>1072</v>
      </c>
      <c r="CQ64" s="1704">
        <v>1031</v>
      </c>
      <c r="CR64" s="1704">
        <v>1195</v>
      </c>
      <c r="CS64" s="1704">
        <v>1257</v>
      </c>
      <c r="CT64" s="1704">
        <v>1415</v>
      </c>
      <c r="CU64" s="1705">
        <v>1565</v>
      </c>
      <c r="CV64" s="1703">
        <v>1621</v>
      </c>
      <c r="CW64" s="1704">
        <v>1093</v>
      </c>
      <c r="CX64" s="1510">
        <v>918</v>
      </c>
      <c r="CY64" s="1510">
        <v>1026</v>
      </c>
      <c r="CZ64" s="1510">
        <v>1047</v>
      </c>
      <c r="DA64" s="1510">
        <v>937</v>
      </c>
      <c r="DB64" s="1510">
        <v>1223</v>
      </c>
      <c r="DC64" s="1510">
        <v>939</v>
      </c>
      <c r="DD64" s="1510">
        <v>863</v>
      </c>
      <c r="DE64" s="1510">
        <v>940</v>
      </c>
      <c r="DF64" s="1510">
        <v>1003</v>
      </c>
      <c r="DG64" s="1705">
        <v>1325</v>
      </c>
      <c r="DH64" s="1706">
        <v>965</v>
      </c>
      <c r="DI64" s="1707">
        <v>748</v>
      </c>
      <c r="DJ64" s="1707">
        <v>734</v>
      </c>
      <c r="DK64" s="1708">
        <v>736</v>
      </c>
      <c r="DL64" s="1708">
        <v>751</v>
      </c>
      <c r="DM64" s="1708">
        <v>821</v>
      </c>
      <c r="DN64" s="1708">
        <v>874</v>
      </c>
      <c r="DO64" s="1708">
        <v>960</v>
      </c>
      <c r="DP64" s="1708">
        <v>805</v>
      </c>
      <c r="DQ64" s="1708">
        <v>1331</v>
      </c>
      <c r="DR64" s="1708">
        <v>981</v>
      </c>
      <c r="DS64" s="1709">
        <v>896</v>
      </c>
      <c r="DT64" s="1683">
        <v>1060</v>
      </c>
      <c r="DU64" s="1502">
        <v>849</v>
      </c>
      <c r="DV64" s="1502">
        <v>907</v>
      </c>
      <c r="DW64" s="1487">
        <v>1130</v>
      </c>
      <c r="DX64" s="1487">
        <v>878</v>
      </c>
      <c r="DY64" s="1487">
        <v>938</v>
      </c>
      <c r="DZ64" s="1487">
        <v>1156</v>
      </c>
      <c r="EA64" s="1487">
        <v>925</v>
      </c>
      <c r="EB64" s="1487">
        <v>972</v>
      </c>
      <c r="EC64" s="1487">
        <v>1125</v>
      </c>
      <c r="ED64" s="1487">
        <v>1076</v>
      </c>
      <c r="EE64" s="1486">
        <v>960</v>
      </c>
      <c r="EF64" s="1927">
        <v>1141</v>
      </c>
      <c r="EG64" s="34">
        <v>1020</v>
      </c>
      <c r="EH64" s="34">
        <v>899</v>
      </c>
      <c r="EI64" s="34">
        <v>1032</v>
      </c>
      <c r="EJ64" s="34">
        <v>1005</v>
      </c>
      <c r="EK64" s="34">
        <v>1056</v>
      </c>
      <c r="EL64" s="34">
        <v>1355</v>
      </c>
      <c r="EM64" s="2345">
        <v>837</v>
      </c>
      <c r="EN64" s="2345">
        <v>1152</v>
      </c>
      <c r="EO64" s="2346">
        <v>1381</v>
      </c>
      <c r="EP64" s="2346">
        <v>1016</v>
      </c>
      <c r="EQ64" s="2347">
        <v>1162</v>
      </c>
      <c r="ER64" s="3103">
        <v>2040</v>
      </c>
      <c r="ES64" s="3095"/>
      <c r="ET64" s="3095"/>
      <c r="EU64" s="3095"/>
      <c r="EV64" s="3095"/>
      <c r="EW64" s="3095"/>
      <c r="EX64" s="3095"/>
      <c r="EY64" s="3095"/>
      <c r="EZ64" s="3095"/>
      <c r="FA64" s="3095"/>
      <c r="FB64" s="3095"/>
      <c r="FC64" s="3104"/>
      <c r="FD64" s="2437"/>
      <c r="FE64" s="1710">
        <v>1648</v>
      </c>
      <c r="FF64" s="1711">
        <v>1457</v>
      </c>
      <c r="FG64" s="1711">
        <v>1923</v>
      </c>
      <c r="FH64" s="1712">
        <v>2111</v>
      </c>
      <c r="FI64" s="1713">
        <v>2649</v>
      </c>
      <c r="FJ64" s="1714">
        <v>2619</v>
      </c>
      <c r="FK64" s="1714">
        <v>2761</v>
      </c>
      <c r="FL64" s="1715">
        <v>2185</v>
      </c>
      <c r="FM64" s="1716">
        <v>2060</v>
      </c>
      <c r="FN64" s="1717">
        <v>1959</v>
      </c>
      <c r="FO64" s="1718">
        <v>2400</v>
      </c>
      <c r="FP64" s="1718">
        <v>2450</v>
      </c>
      <c r="FQ64" s="1719">
        <v>2283</v>
      </c>
      <c r="FR64" s="1720">
        <v>2195</v>
      </c>
      <c r="FS64" s="1720">
        <v>2589</v>
      </c>
      <c r="FT64" s="1721">
        <v>2492</v>
      </c>
      <c r="FU64" s="1722">
        <v>2589</v>
      </c>
      <c r="FV64" s="1723">
        <v>2395</v>
      </c>
      <c r="FW64" s="1723">
        <v>2660</v>
      </c>
      <c r="FX64" s="1724">
        <v>2539</v>
      </c>
      <c r="FY64" s="1720">
        <v>2424</v>
      </c>
      <c r="FZ64" s="1720">
        <v>2894</v>
      </c>
      <c r="GA64" s="1720">
        <v>3094</v>
      </c>
      <c r="GB64" s="1720">
        <v>2978</v>
      </c>
      <c r="GC64" s="1725">
        <v>2447</v>
      </c>
      <c r="GD64" s="1725">
        <v>2626</v>
      </c>
      <c r="GE64" s="1725">
        <v>2642</v>
      </c>
      <c r="GF64" s="1725">
        <v>3337</v>
      </c>
      <c r="GG64" s="1726">
        <v>3246</v>
      </c>
      <c r="GH64" s="1726">
        <v>2927</v>
      </c>
      <c r="GI64" s="1726">
        <f t="shared" si="17"/>
        <v>3298</v>
      </c>
      <c r="GJ64" s="1726">
        <v>4237</v>
      </c>
      <c r="GK64" s="1727">
        <v>3632</v>
      </c>
      <c r="GL64" s="1727">
        <f t="shared" si="18"/>
        <v>3010</v>
      </c>
      <c r="GM64" s="1727">
        <f t="shared" si="19"/>
        <v>3025</v>
      </c>
      <c r="GN64" s="1726">
        <f t="shared" si="20"/>
        <v>3268</v>
      </c>
      <c r="GO64" s="1541">
        <f t="shared" si="21"/>
        <v>2447</v>
      </c>
      <c r="GP64" s="1541">
        <f t="shared" si="22"/>
        <v>2308</v>
      </c>
      <c r="GQ64" s="1541">
        <f t="shared" si="23"/>
        <v>2730</v>
      </c>
      <c r="GR64" s="1541">
        <f t="shared" si="24"/>
        <v>3208</v>
      </c>
      <c r="GS64" s="1728">
        <f t="shared" si="25"/>
        <v>2816</v>
      </c>
      <c r="GT64" s="1728">
        <f t="shared" si="26"/>
        <v>2946</v>
      </c>
      <c r="GU64" s="1728">
        <f t="shared" si="27"/>
        <v>3053</v>
      </c>
      <c r="GV64" s="1728">
        <f t="shared" si="28"/>
        <v>3161</v>
      </c>
      <c r="GW64" s="1939">
        <f t="shared" si="29"/>
        <v>3060</v>
      </c>
      <c r="GX64" s="1725">
        <f t="shared" si="30"/>
        <v>3093</v>
      </c>
      <c r="GY64" s="1725">
        <f t="shared" si="31"/>
        <v>3344</v>
      </c>
      <c r="GZ64" s="1725">
        <f t="shared" si="32"/>
        <v>3559</v>
      </c>
      <c r="HA64" s="2443">
        <f t="shared" si="33"/>
        <v>2040</v>
      </c>
      <c r="HB64" s="2444">
        <f t="shared" si="34"/>
        <v>0</v>
      </c>
      <c r="HC64" s="2444">
        <f t="shared" si="35"/>
        <v>0</v>
      </c>
      <c r="HD64" s="2444">
        <f t="shared" si="36"/>
        <v>0</v>
      </c>
      <c r="HE64" s="1940"/>
      <c r="HF64" s="1729">
        <v>7139</v>
      </c>
      <c r="HG64" s="1730">
        <v>10214</v>
      </c>
      <c r="HH64" s="1730">
        <v>8869</v>
      </c>
      <c r="HI64" s="1730">
        <v>9559</v>
      </c>
      <c r="HJ64" s="1730">
        <v>10183</v>
      </c>
      <c r="HK64" s="1730">
        <v>11390</v>
      </c>
      <c r="HL64" s="2421">
        <v>11052</v>
      </c>
      <c r="HM64" s="2423">
        <v>13708</v>
      </c>
      <c r="HN64" s="2423">
        <f t="shared" si="37"/>
        <v>12935</v>
      </c>
      <c r="HO64" s="2423">
        <f t="shared" si="38"/>
        <v>10602</v>
      </c>
      <c r="HP64" s="2423">
        <f t="shared" si="39"/>
        <v>11976</v>
      </c>
      <c r="HQ64" s="2423">
        <f t="shared" si="40"/>
        <v>13056</v>
      </c>
      <c r="HR64" s="2452">
        <f t="shared" si="41"/>
        <v>2040</v>
      </c>
      <c r="HS64" s="2453">
        <f t="shared" si="49"/>
        <v>13955</v>
      </c>
      <c r="HT64" s="2455">
        <f t="shared" si="42"/>
        <v>12705.333333333334</v>
      </c>
      <c r="HU64" s="1737">
        <f t="shared" si="43"/>
        <v>1.6892225624814777E-2</v>
      </c>
      <c r="HV64" s="1737">
        <f t="shared" si="44"/>
        <v>1.8341907490990624E-2</v>
      </c>
      <c r="HW64" s="1737">
        <f t="shared" si="50"/>
        <v>1.8854491444283503E-2</v>
      </c>
      <c r="HX64" s="2458">
        <f t="shared" si="51"/>
        <v>1.8348085066643947E-2</v>
      </c>
      <c r="HY64" s="1734"/>
      <c r="HZ64" s="2302">
        <f t="shared" si="45"/>
        <v>0.12959818902093945</v>
      </c>
      <c r="IA64" s="2300">
        <f t="shared" si="46"/>
        <v>0.19839024083506263</v>
      </c>
      <c r="IB64" s="2300">
        <f t="shared" si="47"/>
        <v>9.0180360721442865E-2</v>
      </c>
      <c r="IC64" s="2302">
        <f t="shared" si="48"/>
        <v>6.8857230392156854E-2</v>
      </c>
    </row>
    <row r="65" spans="1:237" s="341" customFormat="1" ht="21.95" customHeight="1">
      <c r="A65" s="370"/>
      <c r="C65" s="2334" t="s">
        <v>23</v>
      </c>
      <c r="D65" s="1684">
        <v>367</v>
      </c>
      <c r="E65" s="1685">
        <v>335</v>
      </c>
      <c r="F65" s="1685">
        <v>364</v>
      </c>
      <c r="G65" s="1685">
        <v>343</v>
      </c>
      <c r="H65" s="1685">
        <v>321</v>
      </c>
      <c r="I65" s="1685">
        <v>421</v>
      </c>
      <c r="J65" s="1685">
        <v>1328</v>
      </c>
      <c r="K65" s="1685">
        <v>606</v>
      </c>
      <c r="L65" s="1685">
        <v>710</v>
      </c>
      <c r="M65" s="1685">
        <v>637</v>
      </c>
      <c r="N65" s="1685">
        <v>607</v>
      </c>
      <c r="O65" s="1686">
        <v>455</v>
      </c>
      <c r="P65" s="1687">
        <v>449</v>
      </c>
      <c r="Q65" s="1688">
        <v>677</v>
      </c>
      <c r="R65" s="1688">
        <v>399</v>
      </c>
      <c r="S65" s="1688">
        <v>431</v>
      </c>
      <c r="T65" s="1688">
        <v>467</v>
      </c>
      <c r="U65" s="1688">
        <v>553</v>
      </c>
      <c r="V65" s="1688">
        <v>1757</v>
      </c>
      <c r="W65" s="1688">
        <v>735</v>
      </c>
      <c r="X65" s="1688">
        <v>835</v>
      </c>
      <c r="Y65" s="1688">
        <v>626</v>
      </c>
      <c r="Z65" s="1688">
        <v>706</v>
      </c>
      <c r="AA65" s="1689">
        <v>541</v>
      </c>
      <c r="AB65" s="1690">
        <v>469</v>
      </c>
      <c r="AC65" s="1691">
        <v>395</v>
      </c>
      <c r="AD65" s="1691">
        <v>369</v>
      </c>
      <c r="AE65" s="1691">
        <v>552</v>
      </c>
      <c r="AF65" s="1691">
        <v>528.5</v>
      </c>
      <c r="AG65" s="1691">
        <v>505</v>
      </c>
      <c r="AH65" s="1691">
        <v>1602</v>
      </c>
      <c r="AI65" s="1691">
        <v>575</v>
      </c>
      <c r="AJ65" s="1691">
        <v>499</v>
      </c>
      <c r="AK65" s="1691">
        <v>639</v>
      </c>
      <c r="AL65" s="1691">
        <v>543</v>
      </c>
      <c r="AM65" s="1692">
        <v>581</v>
      </c>
      <c r="AN65" s="1693">
        <v>434</v>
      </c>
      <c r="AO65" s="1694">
        <v>396</v>
      </c>
      <c r="AP65" s="1694">
        <v>432</v>
      </c>
      <c r="AQ65" s="1694">
        <v>463</v>
      </c>
      <c r="AR65" s="1694">
        <v>441</v>
      </c>
      <c r="AS65" s="1694">
        <v>377</v>
      </c>
      <c r="AT65" s="1694">
        <v>1417</v>
      </c>
      <c r="AU65" s="1694">
        <v>511</v>
      </c>
      <c r="AV65" s="1694">
        <v>455</v>
      </c>
      <c r="AW65" s="1694">
        <v>706</v>
      </c>
      <c r="AX65" s="1694">
        <v>468</v>
      </c>
      <c r="AY65" s="1695">
        <v>524</v>
      </c>
      <c r="AZ65" s="1680">
        <v>438</v>
      </c>
      <c r="BA65" s="1680">
        <v>331</v>
      </c>
      <c r="BB65" s="1680">
        <v>359</v>
      </c>
      <c r="BC65" s="1680">
        <v>410</v>
      </c>
      <c r="BD65" s="1680">
        <v>374</v>
      </c>
      <c r="BE65" s="1680">
        <v>359</v>
      </c>
      <c r="BF65" s="1680">
        <v>1243</v>
      </c>
      <c r="BG65" s="1680">
        <v>455</v>
      </c>
      <c r="BH65" s="1680">
        <v>514</v>
      </c>
      <c r="BI65" s="1680">
        <v>723</v>
      </c>
      <c r="BJ65" s="1680">
        <v>623</v>
      </c>
      <c r="BK65" s="1731">
        <v>735</v>
      </c>
      <c r="BL65" s="1698">
        <v>332</v>
      </c>
      <c r="BM65" s="1699">
        <v>352</v>
      </c>
      <c r="BN65" s="1699">
        <v>638</v>
      </c>
      <c r="BO65" s="1699">
        <v>642</v>
      </c>
      <c r="BP65" s="1699">
        <v>601</v>
      </c>
      <c r="BQ65" s="1699">
        <v>662</v>
      </c>
      <c r="BR65" s="1699">
        <v>1316</v>
      </c>
      <c r="BS65" s="1699">
        <v>757</v>
      </c>
      <c r="BT65" s="1700">
        <v>771</v>
      </c>
      <c r="BU65" s="1700">
        <v>824</v>
      </c>
      <c r="BV65" s="1700">
        <v>633</v>
      </c>
      <c r="BW65" s="1701">
        <v>769</v>
      </c>
      <c r="BX65" s="1702">
        <v>724</v>
      </c>
      <c r="BY65" s="1511">
        <v>624</v>
      </c>
      <c r="BZ65" s="1511">
        <v>698</v>
      </c>
      <c r="CA65" s="1511">
        <v>891</v>
      </c>
      <c r="CB65" s="1511">
        <v>886</v>
      </c>
      <c r="CC65" s="1511">
        <v>710</v>
      </c>
      <c r="CD65" s="1511">
        <v>1482</v>
      </c>
      <c r="CE65" s="1511">
        <v>838</v>
      </c>
      <c r="CF65" s="1511">
        <v>807</v>
      </c>
      <c r="CG65" s="1511">
        <v>948</v>
      </c>
      <c r="CH65" s="1511">
        <v>938</v>
      </c>
      <c r="CI65" s="1513">
        <v>944</v>
      </c>
      <c r="CJ65" s="1703">
        <v>899</v>
      </c>
      <c r="CK65" s="1704">
        <v>843</v>
      </c>
      <c r="CL65" s="1704">
        <v>878</v>
      </c>
      <c r="CM65" s="1704">
        <v>841</v>
      </c>
      <c r="CN65" s="1704">
        <v>842</v>
      </c>
      <c r="CO65" s="1704">
        <v>797</v>
      </c>
      <c r="CP65" s="1704">
        <v>1571</v>
      </c>
      <c r="CQ65" s="1704">
        <v>851</v>
      </c>
      <c r="CR65" s="1704">
        <v>1035</v>
      </c>
      <c r="CS65" s="1704">
        <v>1030</v>
      </c>
      <c r="CT65" s="1704">
        <v>948</v>
      </c>
      <c r="CU65" s="1705">
        <v>981</v>
      </c>
      <c r="CV65" s="1703">
        <v>855</v>
      </c>
      <c r="CW65" s="1704">
        <v>841</v>
      </c>
      <c r="CX65" s="1510">
        <v>827</v>
      </c>
      <c r="CY65" s="1510">
        <v>901</v>
      </c>
      <c r="CZ65" s="1510">
        <v>901</v>
      </c>
      <c r="DA65" s="1510">
        <v>856</v>
      </c>
      <c r="DB65" s="1510">
        <v>1787</v>
      </c>
      <c r="DC65" s="1510">
        <v>764</v>
      </c>
      <c r="DD65" s="1510">
        <v>989</v>
      </c>
      <c r="DE65" s="1510">
        <v>1108</v>
      </c>
      <c r="DF65" s="1510">
        <v>937</v>
      </c>
      <c r="DG65" s="1705">
        <v>924</v>
      </c>
      <c r="DH65" s="1706">
        <v>975</v>
      </c>
      <c r="DI65" s="1707">
        <v>931</v>
      </c>
      <c r="DJ65" s="1707">
        <v>933</v>
      </c>
      <c r="DK65" s="1708">
        <v>938</v>
      </c>
      <c r="DL65" s="1708">
        <v>939</v>
      </c>
      <c r="DM65" s="1708">
        <v>948</v>
      </c>
      <c r="DN65" s="1708">
        <v>1894</v>
      </c>
      <c r="DO65" s="1708">
        <v>1056</v>
      </c>
      <c r="DP65" s="1708">
        <v>1160</v>
      </c>
      <c r="DQ65" s="1708">
        <v>1239</v>
      </c>
      <c r="DR65" s="1708">
        <v>926</v>
      </c>
      <c r="DS65" s="1709">
        <v>928</v>
      </c>
      <c r="DT65" s="1683">
        <v>846</v>
      </c>
      <c r="DU65" s="1502">
        <v>781</v>
      </c>
      <c r="DV65" s="1502">
        <v>837</v>
      </c>
      <c r="DW65" s="1487">
        <v>939</v>
      </c>
      <c r="DX65" s="1487">
        <v>801</v>
      </c>
      <c r="DY65" s="1487">
        <v>778</v>
      </c>
      <c r="DZ65" s="1487">
        <v>1612</v>
      </c>
      <c r="EA65" s="1487">
        <v>968</v>
      </c>
      <c r="EB65" s="1487">
        <v>1028</v>
      </c>
      <c r="EC65" s="1487">
        <v>920</v>
      </c>
      <c r="ED65" s="1487">
        <v>885</v>
      </c>
      <c r="EE65" s="1486">
        <v>950</v>
      </c>
      <c r="EF65" s="1927">
        <v>866</v>
      </c>
      <c r="EG65" s="34">
        <v>853</v>
      </c>
      <c r="EH65" s="34">
        <v>898</v>
      </c>
      <c r="EI65" s="34">
        <v>1073</v>
      </c>
      <c r="EJ65" s="34">
        <v>931</v>
      </c>
      <c r="EK65" s="34">
        <v>941</v>
      </c>
      <c r="EL65" s="34">
        <v>1802</v>
      </c>
      <c r="EM65" s="2345">
        <v>1092</v>
      </c>
      <c r="EN65" s="2345">
        <v>1158</v>
      </c>
      <c r="EO65" s="2346">
        <v>1103</v>
      </c>
      <c r="EP65" s="2346">
        <v>1010</v>
      </c>
      <c r="EQ65" s="2347">
        <v>1007</v>
      </c>
      <c r="ER65" s="3107">
        <v>981</v>
      </c>
      <c r="ES65" s="3097"/>
      <c r="ET65" s="3097"/>
      <c r="EU65" s="3097"/>
      <c r="EV65" s="3097"/>
      <c r="EW65" s="3097"/>
      <c r="EX65" s="3097"/>
      <c r="EY65" s="3097"/>
      <c r="EZ65" s="3097"/>
      <c r="FA65" s="3097"/>
      <c r="FB65" s="3097"/>
      <c r="FC65" s="3108"/>
      <c r="FD65" s="2437"/>
      <c r="FE65" s="1710">
        <v>1066</v>
      </c>
      <c r="FF65" s="1711">
        <v>1085</v>
      </c>
      <c r="FG65" s="1711">
        <v>2644</v>
      </c>
      <c r="FH65" s="1712">
        <v>1699</v>
      </c>
      <c r="FI65" s="1713">
        <v>1525</v>
      </c>
      <c r="FJ65" s="1714">
        <v>1451</v>
      </c>
      <c r="FK65" s="1714">
        <v>3327</v>
      </c>
      <c r="FL65" s="1715">
        <v>1873</v>
      </c>
      <c r="FM65" s="1716">
        <v>1233</v>
      </c>
      <c r="FN65" s="1717">
        <v>1585.5</v>
      </c>
      <c r="FO65" s="1718">
        <v>2676</v>
      </c>
      <c r="FP65" s="1718">
        <v>1763</v>
      </c>
      <c r="FQ65" s="1719">
        <v>1262</v>
      </c>
      <c r="FR65" s="1720">
        <v>1281</v>
      </c>
      <c r="FS65" s="1720">
        <v>2383</v>
      </c>
      <c r="FT65" s="1721">
        <v>1698</v>
      </c>
      <c r="FU65" s="1722">
        <v>1128</v>
      </c>
      <c r="FV65" s="1723">
        <v>1143</v>
      </c>
      <c r="FW65" s="1723">
        <v>2212</v>
      </c>
      <c r="FX65" s="1724">
        <v>2081</v>
      </c>
      <c r="FY65" s="1720">
        <v>1322</v>
      </c>
      <c r="FZ65" s="1720">
        <v>1905</v>
      </c>
      <c r="GA65" s="1720">
        <v>2844</v>
      </c>
      <c r="GB65" s="1720">
        <v>2226</v>
      </c>
      <c r="GC65" s="1725">
        <v>2046</v>
      </c>
      <c r="GD65" s="1725">
        <v>2487</v>
      </c>
      <c r="GE65" s="1725">
        <v>3127</v>
      </c>
      <c r="GF65" s="1725">
        <v>2830</v>
      </c>
      <c r="GG65" s="1726">
        <v>2620</v>
      </c>
      <c r="GH65" s="1726">
        <v>2480</v>
      </c>
      <c r="GI65" s="1726">
        <f t="shared" si="17"/>
        <v>3457</v>
      </c>
      <c r="GJ65" s="1726">
        <v>2959</v>
      </c>
      <c r="GK65" s="1727">
        <v>2523</v>
      </c>
      <c r="GL65" s="1727">
        <f t="shared" si="18"/>
        <v>2658</v>
      </c>
      <c r="GM65" s="1727">
        <f t="shared" si="19"/>
        <v>3540</v>
      </c>
      <c r="GN65" s="1726">
        <f t="shared" si="20"/>
        <v>2969</v>
      </c>
      <c r="GO65" s="1541">
        <f t="shared" si="21"/>
        <v>2839</v>
      </c>
      <c r="GP65" s="1541">
        <f t="shared" si="22"/>
        <v>2825</v>
      </c>
      <c r="GQ65" s="1541">
        <f t="shared" si="23"/>
        <v>3878</v>
      </c>
      <c r="GR65" s="1541">
        <f t="shared" si="24"/>
        <v>3093</v>
      </c>
      <c r="GS65" s="1728">
        <f t="shared" si="25"/>
        <v>2464</v>
      </c>
      <c r="GT65" s="1728">
        <f t="shared" si="26"/>
        <v>2518</v>
      </c>
      <c r="GU65" s="1728">
        <f t="shared" si="27"/>
        <v>3608</v>
      </c>
      <c r="GV65" s="1728">
        <f t="shared" si="28"/>
        <v>2755</v>
      </c>
      <c r="GW65" s="1939">
        <f t="shared" si="29"/>
        <v>2617</v>
      </c>
      <c r="GX65" s="1725">
        <f t="shared" si="30"/>
        <v>2945</v>
      </c>
      <c r="GY65" s="1725">
        <f t="shared" si="31"/>
        <v>4052</v>
      </c>
      <c r="GZ65" s="1725">
        <f t="shared" si="32"/>
        <v>3120</v>
      </c>
      <c r="HA65" s="2443">
        <f t="shared" si="33"/>
        <v>981</v>
      </c>
      <c r="HB65" s="2444">
        <f t="shared" si="34"/>
        <v>0</v>
      </c>
      <c r="HC65" s="2444">
        <f t="shared" si="35"/>
        <v>0</v>
      </c>
      <c r="HD65" s="2444">
        <f t="shared" si="36"/>
        <v>0</v>
      </c>
      <c r="HE65" s="1940"/>
      <c r="HF65" s="1729">
        <v>6494</v>
      </c>
      <c r="HG65" s="1730">
        <v>8176</v>
      </c>
      <c r="HH65" s="1730">
        <v>7257.5</v>
      </c>
      <c r="HI65" s="1730">
        <v>6624</v>
      </c>
      <c r="HJ65" s="1730">
        <v>6564</v>
      </c>
      <c r="HK65" s="1730">
        <v>8297</v>
      </c>
      <c r="HL65" s="2421">
        <v>10490</v>
      </c>
      <c r="HM65" s="2423">
        <v>11516</v>
      </c>
      <c r="HN65" s="2423">
        <f t="shared" si="37"/>
        <v>11690</v>
      </c>
      <c r="HO65" s="2423">
        <f t="shared" si="38"/>
        <v>12867</v>
      </c>
      <c r="HP65" s="2423">
        <f t="shared" si="39"/>
        <v>11345</v>
      </c>
      <c r="HQ65" s="2423">
        <f t="shared" si="40"/>
        <v>12734</v>
      </c>
      <c r="HR65" s="2452">
        <f t="shared" si="41"/>
        <v>981</v>
      </c>
      <c r="HS65" s="2453">
        <f t="shared" si="49"/>
        <v>12849</v>
      </c>
      <c r="HT65" s="2455">
        <f t="shared" si="42"/>
        <v>12166.833333333334</v>
      </c>
      <c r="HU65" s="1737">
        <f t="shared" si="43"/>
        <v>2.0501062734813408E-2</v>
      </c>
      <c r="HV65" s="1737">
        <f t="shared" si="44"/>
        <v>1.7375496032505731E-2</v>
      </c>
      <c r="HW65" s="1737">
        <f t="shared" si="50"/>
        <v>1.8389483306641096E-2</v>
      </c>
      <c r="HX65" s="2458">
        <f t="shared" si="51"/>
        <v>1.7570423942046314E-2</v>
      </c>
      <c r="HY65" s="1734"/>
      <c r="HZ65" s="2302">
        <f t="shared" si="45"/>
        <v>-0.11828709100800494</v>
      </c>
      <c r="IA65" s="2300">
        <f t="shared" si="46"/>
        <v>-5.4415688712727617E-2</v>
      </c>
      <c r="IB65" s="2300">
        <f t="shared" si="47"/>
        <v>0.12243278977523131</v>
      </c>
      <c r="IC65" s="2302">
        <f t="shared" si="48"/>
        <v>9.0309407884403559E-3</v>
      </c>
    </row>
    <row r="66" spans="1:237" s="341" customFormat="1" ht="21.95" customHeight="1">
      <c r="A66" s="544"/>
      <c r="B66" s="543"/>
      <c r="C66" s="545" t="s">
        <v>51</v>
      </c>
      <c r="D66" s="1684">
        <v>133</v>
      </c>
      <c r="E66" s="1685">
        <v>92</v>
      </c>
      <c r="F66" s="1685">
        <v>219</v>
      </c>
      <c r="G66" s="1685">
        <v>122</v>
      </c>
      <c r="H66" s="1685">
        <v>192</v>
      </c>
      <c r="I66" s="1685">
        <v>123</v>
      </c>
      <c r="J66" s="1685">
        <v>158</v>
      </c>
      <c r="K66" s="1685">
        <v>152</v>
      </c>
      <c r="L66" s="1685">
        <v>231</v>
      </c>
      <c r="M66" s="1685">
        <v>178</v>
      </c>
      <c r="N66" s="1685">
        <v>149</v>
      </c>
      <c r="O66" s="1686">
        <v>195</v>
      </c>
      <c r="P66" s="1687">
        <v>187</v>
      </c>
      <c r="Q66" s="1688">
        <v>200</v>
      </c>
      <c r="R66" s="1688">
        <v>290</v>
      </c>
      <c r="S66" s="1688">
        <v>345</v>
      </c>
      <c r="T66" s="1688">
        <v>276</v>
      </c>
      <c r="U66" s="1688">
        <v>382</v>
      </c>
      <c r="V66" s="1688">
        <v>2179</v>
      </c>
      <c r="W66" s="1688">
        <v>1374</v>
      </c>
      <c r="X66" s="1688">
        <v>1684</v>
      </c>
      <c r="Y66" s="1688">
        <v>1102</v>
      </c>
      <c r="Z66" s="1688">
        <v>766</v>
      </c>
      <c r="AA66" s="1689">
        <v>229</v>
      </c>
      <c r="AB66" s="1690">
        <v>215</v>
      </c>
      <c r="AC66" s="1691">
        <v>310</v>
      </c>
      <c r="AD66" s="1691">
        <v>284</v>
      </c>
      <c r="AE66" s="1691">
        <v>259</v>
      </c>
      <c r="AF66" s="1691">
        <v>282</v>
      </c>
      <c r="AG66" s="1691">
        <v>305</v>
      </c>
      <c r="AH66" s="1691">
        <v>334</v>
      </c>
      <c r="AI66" s="1691">
        <v>413</v>
      </c>
      <c r="AJ66" s="1691">
        <v>465</v>
      </c>
      <c r="AK66" s="1691">
        <v>391</v>
      </c>
      <c r="AL66" s="1691">
        <v>626</v>
      </c>
      <c r="AM66" s="1692">
        <v>354</v>
      </c>
      <c r="AN66" s="1693">
        <v>309</v>
      </c>
      <c r="AO66" s="1694">
        <v>310</v>
      </c>
      <c r="AP66" s="1694">
        <v>261</v>
      </c>
      <c r="AQ66" s="1694">
        <v>201</v>
      </c>
      <c r="AR66" s="1694">
        <v>223</v>
      </c>
      <c r="AS66" s="1694">
        <v>264</v>
      </c>
      <c r="AT66" s="1694">
        <v>253</v>
      </c>
      <c r="AU66" s="1694">
        <v>336</v>
      </c>
      <c r="AV66" s="1694">
        <v>245</v>
      </c>
      <c r="AW66" s="1694">
        <v>111</v>
      </c>
      <c r="AX66" s="1694">
        <v>335</v>
      </c>
      <c r="AY66" s="1695">
        <v>418</v>
      </c>
      <c r="AZ66" s="1680">
        <v>275</v>
      </c>
      <c r="BA66" s="1680">
        <v>351</v>
      </c>
      <c r="BB66" s="1680">
        <v>351</v>
      </c>
      <c r="BC66" s="1680">
        <v>297</v>
      </c>
      <c r="BD66" s="1680">
        <v>296</v>
      </c>
      <c r="BE66" s="1680">
        <v>312</v>
      </c>
      <c r="BF66" s="1680">
        <v>299</v>
      </c>
      <c r="BG66" s="1680">
        <v>450</v>
      </c>
      <c r="BH66" s="1680">
        <v>428</v>
      </c>
      <c r="BI66" s="1680">
        <v>477</v>
      </c>
      <c r="BJ66" s="1680">
        <v>485</v>
      </c>
      <c r="BK66" s="1731">
        <v>438</v>
      </c>
      <c r="BL66" s="1698">
        <v>198</v>
      </c>
      <c r="BM66" s="1699">
        <v>557</v>
      </c>
      <c r="BN66" s="1699">
        <v>561</v>
      </c>
      <c r="BO66" s="1699">
        <v>523</v>
      </c>
      <c r="BP66" s="1699">
        <v>701</v>
      </c>
      <c r="BQ66" s="1699">
        <v>470</v>
      </c>
      <c r="BR66" s="1699">
        <v>598</v>
      </c>
      <c r="BS66" s="1699">
        <v>647</v>
      </c>
      <c r="BT66" s="1700">
        <v>674</v>
      </c>
      <c r="BU66" s="1700">
        <v>826</v>
      </c>
      <c r="BV66" s="1700">
        <v>646</v>
      </c>
      <c r="BW66" s="1701">
        <v>532</v>
      </c>
      <c r="BX66" s="1702">
        <v>83</v>
      </c>
      <c r="BY66" s="1511">
        <v>440</v>
      </c>
      <c r="BZ66" s="1511">
        <v>582</v>
      </c>
      <c r="CA66" s="1511">
        <v>655</v>
      </c>
      <c r="CB66" s="1511">
        <v>704</v>
      </c>
      <c r="CC66" s="1511">
        <v>612</v>
      </c>
      <c r="CD66" s="1511">
        <v>427</v>
      </c>
      <c r="CE66" s="1511">
        <v>751</v>
      </c>
      <c r="CF66" s="1511">
        <v>724</v>
      </c>
      <c r="CG66" s="1511">
        <v>697</v>
      </c>
      <c r="CH66" s="1511">
        <v>655</v>
      </c>
      <c r="CI66" s="1513">
        <v>657</v>
      </c>
      <c r="CJ66" s="1703">
        <v>636</v>
      </c>
      <c r="CK66" s="1704">
        <v>674</v>
      </c>
      <c r="CL66" s="1704">
        <v>840</v>
      </c>
      <c r="CM66" s="1704">
        <v>702</v>
      </c>
      <c r="CN66" s="1704">
        <v>659</v>
      </c>
      <c r="CO66" s="1704">
        <v>639</v>
      </c>
      <c r="CP66" s="1704">
        <v>825</v>
      </c>
      <c r="CQ66" s="1704">
        <v>721</v>
      </c>
      <c r="CR66" s="1704">
        <v>869</v>
      </c>
      <c r="CS66" s="1704">
        <v>817</v>
      </c>
      <c r="CT66" s="1704">
        <v>785</v>
      </c>
      <c r="CU66" s="1705">
        <v>701</v>
      </c>
      <c r="CV66" s="1703">
        <v>740</v>
      </c>
      <c r="CW66" s="1704">
        <v>531</v>
      </c>
      <c r="CX66" s="1510">
        <v>1029</v>
      </c>
      <c r="CY66" s="1510">
        <v>933</v>
      </c>
      <c r="CZ66" s="1510">
        <v>904</v>
      </c>
      <c r="DA66" s="1510">
        <v>798</v>
      </c>
      <c r="DB66" s="1510">
        <v>804</v>
      </c>
      <c r="DC66" s="1510">
        <v>967</v>
      </c>
      <c r="DD66" s="1510">
        <v>871</v>
      </c>
      <c r="DE66" s="1510">
        <v>837</v>
      </c>
      <c r="DF66" s="1510">
        <v>793</v>
      </c>
      <c r="DG66" s="1705">
        <v>654</v>
      </c>
      <c r="DH66" s="1706">
        <v>624</v>
      </c>
      <c r="DI66" s="1707">
        <v>600</v>
      </c>
      <c r="DJ66" s="1707">
        <v>1169</v>
      </c>
      <c r="DK66" s="1708">
        <v>845</v>
      </c>
      <c r="DL66" s="1708">
        <v>896</v>
      </c>
      <c r="DM66" s="1708">
        <v>878</v>
      </c>
      <c r="DN66" s="1708">
        <v>890</v>
      </c>
      <c r="DO66" s="1708">
        <v>1046</v>
      </c>
      <c r="DP66" s="1708">
        <v>243</v>
      </c>
      <c r="DQ66" s="1708">
        <v>1285</v>
      </c>
      <c r="DR66" s="1708">
        <v>1577</v>
      </c>
      <c r="DS66" s="1709">
        <v>1083</v>
      </c>
      <c r="DT66" s="1683">
        <v>863</v>
      </c>
      <c r="DU66" s="1502">
        <v>879</v>
      </c>
      <c r="DV66" s="1502">
        <v>1309</v>
      </c>
      <c r="DW66" s="1487">
        <v>1057</v>
      </c>
      <c r="DX66" s="1487">
        <v>1204</v>
      </c>
      <c r="DY66" s="1487">
        <v>1104</v>
      </c>
      <c r="DZ66" s="1487">
        <v>1164</v>
      </c>
      <c r="EA66" s="1487">
        <v>1313</v>
      </c>
      <c r="EB66" s="1487">
        <v>1214</v>
      </c>
      <c r="EC66" s="1487">
        <v>1036</v>
      </c>
      <c r="ED66" s="1487">
        <v>1147</v>
      </c>
      <c r="EE66" s="1486">
        <v>1102</v>
      </c>
      <c r="EF66" s="1927">
        <v>938</v>
      </c>
      <c r="EG66" s="34">
        <v>995</v>
      </c>
      <c r="EH66" s="34">
        <v>1373</v>
      </c>
      <c r="EI66" s="34">
        <v>866</v>
      </c>
      <c r="EJ66" s="34">
        <v>931</v>
      </c>
      <c r="EK66" s="34">
        <v>952</v>
      </c>
      <c r="EL66" s="34">
        <v>1110</v>
      </c>
      <c r="EM66" s="2345">
        <v>924</v>
      </c>
      <c r="EN66" s="2345">
        <v>1152</v>
      </c>
      <c r="EO66" s="2346">
        <v>876</v>
      </c>
      <c r="EP66" s="2346">
        <v>1153</v>
      </c>
      <c r="EQ66" s="2347">
        <v>969</v>
      </c>
      <c r="ER66" s="3103">
        <v>840</v>
      </c>
      <c r="ES66" s="3095"/>
      <c r="ET66" s="3095"/>
      <c r="EU66" s="3095"/>
      <c r="EV66" s="3095"/>
      <c r="EW66" s="3095"/>
      <c r="EX66" s="3095"/>
      <c r="EY66" s="3095"/>
      <c r="EZ66" s="3095"/>
      <c r="FA66" s="3095"/>
      <c r="FB66" s="3095"/>
      <c r="FC66" s="3104"/>
      <c r="FD66" s="2437"/>
      <c r="FE66" s="1710">
        <v>444</v>
      </c>
      <c r="FF66" s="1711">
        <v>437</v>
      </c>
      <c r="FG66" s="1711">
        <v>541</v>
      </c>
      <c r="FH66" s="1712">
        <v>522</v>
      </c>
      <c r="FI66" s="1713">
        <v>677</v>
      </c>
      <c r="FJ66" s="1714">
        <v>1003</v>
      </c>
      <c r="FK66" s="1714">
        <v>5237</v>
      </c>
      <c r="FL66" s="1715">
        <v>2097</v>
      </c>
      <c r="FM66" s="1716">
        <v>809</v>
      </c>
      <c r="FN66" s="1717">
        <v>846</v>
      </c>
      <c r="FO66" s="1718">
        <v>1212</v>
      </c>
      <c r="FP66" s="1718">
        <v>1371</v>
      </c>
      <c r="FQ66" s="1719">
        <v>880</v>
      </c>
      <c r="FR66" s="1720">
        <v>688</v>
      </c>
      <c r="FS66" s="1720">
        <v>834</v>
      </c>
      <c r="FT66" s="1721">
        <v>864</v>
      </c>
      <c r="FU66" s="1722">
        <v>977</v>
      </c>
      <c r="FV66" s="1723">
        <v>905</v>
      </c>
      <c r="FW66" s="1723">
        <v>1177</v>
      </c>
      <c r="FX66" s="1724">
        <v>1400</v>
      </c>
      <c r="FY66" s="1720">
        <v>1316</v>
      </c>
      <c r="FZ66" s="1720">
        <v>1694</v>
      </c>
      <c r="GA66" s="1720">
        <v>1919</v>
      </c>
      <c r="GB66" s="1720">
        <v>2004</v>
      </c>
      <c r="GC66" s="1725">
        <v>1105</v>
      </c>
      <c r="GD66" s="1725">
        <v>1971</v>
      </c>
      <c r="GE66" s="1725">
        <v>1902</v>
      </c>
      <c r="GF66" s="1725">
        <v>2009</v>
      </c>
      <c r="GG66" s="1726">
        <v>2150</v>
      </c>
      <c r="GH66" s="1726">
        <v>2000</v>
      </c>
      <c r="GI66" s="1726">
        <f t="shared" si="17"/>
        <v>2415</v>
      </c>
      <c r="GJ66" s="1726">
        <v>2303</v>
      </c>
      <c r="GK66" s="1727">
        <v>2300</v>
      </c>
      <c r="GL66" s="1727">
        <f t="shared" si="18"/>
        <v>2635</v>
      </c>
      <c r="GM66" s="1727">
        <f t="shared" si="19"/>
        <v>2642</v>
      </c>
      <c r="GN66" s="1726">
        <f t="shared" si="20"/>
        <v>2284</v>
      </c>
      <c r="GO66" s="1541">
        <f t="shared" si="21"/>
        <v>2393</v>
      </c>
      <c r="GP66" s="1541">
        <f t="shared" si="22"/>
        <v>2619</v>
      </c>
      <c r="GQ66" s="1541">
        <f t="shared" si="23"/>
        <v>3019</v>
      </c>
      <c r="GR66" s="1541">
        <f t="shared" si="24"/>
        <v>3945</v>
      </c>
      <c r="GS66" s="1728">
        <f t="shared" si="25"/>
        <v>3051</v>
      </c>
      <c r="GT66" s="1728">
        <f t="shared" si="26"/>
        <v>3365</v>
      </c>
      <c r="GU66" s="1728">
        <f t="shared" si="27"/>
        <v>3691</v>
      </c>
      <c r="GV66" s="1728">
        <f t="shared" si="28"/>
        <v>3285</v>
      </c>
      <c r="GW66" s="1939">
        <f t="shared" si="29"/>
        <v>3306</v>
      </c>
      <c r="GX66" s="1725">
        <f t="shared" si="30"/>
        <v>2749</v>
      </c>
      <c r="GY66" s="1725">
        <f t="shared" si="31"/>
        <v>3186</v>
      </c>
      <c r="GZ66" s="1725">
        <f t="shared" si="32"/>
        <v>2998</v>
      </c>
      <c r="HA66" s="2443">
        <f t="shared" si="33"/>
        <v>840</v>
      </c>
      <c r="HB66" s="2444">
        <f t="shared" si="34"/>
        <v>0</v>
      </c>
      <c r="HC66" s="2444">
        <f t="shared" si="35"/>
        <v>0</v>
      </c>
      <c r="HD66" s="2444">
        <f t="shared" si="36"/>
        <v>0</v>
      </c>
      <c r="HE66" s="1940"/>
      <c r="HF66" s="1729">
        <v>1944</v>
      </c>
      <c r="HG66" s="1730">
        <v>9014</v>
      </c>
      <c r="HH66" s="1730">
        <v>4238</v>
      </c>
      <c r="HI66" s="1730">
        <v>3266</v>
      </c>
      <c r="HJ66" s="1730">
        <v>4459</v>
      </c>
      <c r="HK66" s="1730">
        <v>6933</v>
      </c>
      <c r="HL66" s="2421">
        <v>6987</v>
      </c>
      <c r="HM66" s="2423">
        <v>8868</v>
      </c>
      <c r="HN66" s="2423">
        <f t="shared" si="37"/>
        <v>9861</v>
      </c>
      <c r="HO66" s="2423">
        <f t="shared" si="38"/>
        <v>11136</v>
      </c>
      <c r="HP66" s="2423">
        <f t="shared" si="39"/>
        <v>13392</v>
      </c>
      <c r="HQ66" s="2423">
        <f t="shared" si="40"/>
        <v>12239</v>
      </c>
      <c r="HR66" s="2452">
        <f t="shared" si="41"/>
        <v>840</v>
      </c>
      <c r="HS66" s="2453">
        <f t="shared" si="49"/>
        <v>12141</v>
      </c>
      <c r="HT66" s="2455">
        <f t="shared" si="42"/>
        <v>11272.833333333334</v>
      </c>
      <c r="HU66" s="1737">
        <f t="shared" si="43"/>
        <v>1.7743050797768098E-2</v>
      </c>
      <c r="HV66" s="1737">
        <f t="shared" si="44"/>
        <v>2.0510589939825189E-2</v>
      </c>
      <c r="HW66" s="1737">
        <f t="shared" si="50"/>
        <v>1.7674641604364723E-2</v>
      </c>
      <c r="HX66" s="2458">
        <f t="shared" si="51"/>
        <v>1.6279376503995652E-2</v>
      </c>
      <c r="HY66" s="1734"/>
      <c r="HZ66" s="2302">
        <f t="shared" si="45"/>
        <v>0.20258620689655182</v>
      </c>
      <c r="IA66" s="2300">
        <f t="shared" si="46"/>
        <v>1.2287476053640001E-2</v>
      </c>
      <c r="IB66" s="2300">
        <f t="shared" si="47"/>
        <v>-8.6096176821983228E-2</v>
      </c>
      <c r="IC66" s="2302">
        <f t="shared" si="48"/>
        <v>-8.0071901299125781E-3</v>
      </c>
    </row>
    <row r="67" spans="1:237" s="341" customFormat="1" ht="21.95" customHeight="1">
      <c r="A67" s="544"/>
      <c r="B67" s="543"/>
      <c r="C67" s="545" t="s">
        <v>12</v>
      </c>
      <c r="D67" s="1684">
        <v>802</v>
      </c>
      <c r="E67" s="1685">
        <v>792</v>
      </c>
      <c r="F67" s="1685">
        <v>587</v>
      </c>
      <c r="G67" s="1685">
        <v>506</v>
      </c>
      <c r="H67" s="1685">
        <v>581</v>
      </c>
      <c r="I67" s="1685">
        <v>629</v>
      </c>
      <c r="J67" s="1685">
        <v>849</v>
      </c>
      <c r="K67" s="1685">
        <v>779</v>
      </c>
      <c r="L67" s="1685">
        <v>784</v>
      </c>
      <c r="M67" s="1685">
        <v>779</v>
      </c>
      <c r="N67" s="1685">
        <v>668</v>
      </c>
      <c r="O67" s="1686">
        <v>701</v>
      </c>
      <c r="P67" s="1687">
        <v>1001</v>
      </c>
      <c r="Q67" s="1688">
        <v>1416</v>
      </c>
      <c r="R67" s="1688">
        <v>639</v>
      </c>
      <c r="S67" s="1688">
        <v>628</v>
      </c>
      <c r="T67" s="1688">
        <v>690</v>
      </c>
      <c r="U67" s="1688">
        <v>720</v>
      </c>
      <c r="V67" s="1688">
        <v>888</v>
      </c>
      <c r="W67" s="1688">
        <v>967</v>
      </c>
      <c r="X67" s="1688">
        <v>909</v>
      </c>
      <c r="Y67" s="1688">
        <v>1253</v>
      </c>
      <c r="Z67" s="1688">
        <v>761</v>
      </c>
      <c r="AA67" s="1689">
        <v>760</v>
      </c>
      <c r="AB67" s="1690">
        <v>1134</v>
      </c>
      <c r="AC67" s="1691">
        <v>933</v>
      </c>
      <c r="AD67" s="1691">
        <v>642</v>
      </c>
      <c r="AE67" s="1691">
        <v>704</v>
      </c>
      <c r="AF67" s="1691">
        <v>710.5</v>
      </c>
      <c r="AG67" s="1691">
        <v>717</v>
      </c>
      <c r="AH67" s="1691">
        <v>970</v>
      </c>
      <c r="AI67" s="1691">
        <v>720</v>
      </c>
      <c r="AJ67" s="1691">
        <v>889</v>
      </c>
      <c r="AK67" s="1691">
        <v>728</v>
      </c>
      <c r="AL67" s="1691">
        <v>715</v>
      </c>
      <c r="AM67" s="1692">
        <v>609</v>
      </c>
      <c r="AN67" s="1693">
        <v>929</v>
      </c>
      <c r="AO67" s="1694">
        <v>1114</v>
      </c>
      <c r="AP67" s="1694">
        <v>507</v>
      </c>
      <c r="AQ67" s="1694">
        <v>594</v>
      </c>
      <c r="AR67" s="1694">
        <v>755</v>
      </c>
      <c r="AS67" s="1694">
        <v>691</v>
      </c>
      <c r="AT67" s="1694">
        <v>751</v>
      </c>
      <c r="AU67" s="1694">
        <v>618</v>
      </c>
      <c r="AV67" s="1694">
        <v>842</v>
      </c>
      <c r="AW67" s="1694">
        <v>882</v>
      </c>
      <c r="AX67" s="1694">
        <v>665</v>
      </c>
      <c r="AY67" s="1695">
        <v>729</v>
      </c>
      <c r="AZ67" s="1680">
        <v>1099</v>
      </c>
      <c r="BA67" s="1680">
        <v>1133</v>
      </c>
      <c r="BB67" s="1680">
        <v>791</v>
      </c>
      <c r="BC67" s="1680">
        <v>698</v>
      </c>
      <c r="BD67" s="1680">
        <v>822</v>
      </c>
      <c r="BE67" s="1680">
        <v>1050</v>
      </c>
      <c r="BF67" s="1680">
        <v>1309</v>
      </c>
      <c r="BG67" s="1680">
        <v>1070</v>
      </c>
      <c r="BH67" s="1680">
        <v>936</v>
      </c>
      <c r="BI67" s="1680">
        <v>966</v>
      </c>
      <c r="BJ67" s="1680">
        <v>790</v>
      </c>
      <c r="BK67" s="1731">
        <v>1233</v>
      </c>
      <c r="BL67" s="1698">
        <v>1072</v>
      </c>
      <c r="BM67" s="1699">
        <v>1312</v>
      </c>
      <c r="BN67" s="1699">
        <v>911</v>
      </c>
      <c r="BO67" s="1699">
        <v>896</v>
      </c>
      <c r="BP67" s="1699">
        <v>1004</v>
      </c>
      <c r="BQ67" s="1699">
        <v>1107</v>
      </c>
      <c r="BR67" s="1699">
        <v>1277</v>
      </c>
      <c r="BS67" s="1699">
        <v>1067</v>
      </c>
      <c r="BT67" s="1700">
        <v>1066</v>
      </c>
      <c r="BU67" s="1700">
        <v>2214</v>
      </c>
      <c r="BV67" s="1700">
        <v>992</v>
      </c>
      <c r="BW67" s="1701">
        <v>895</v>
      </c>
      <c r="BX67" s="1702">
        <v>1139</v>
      </c>
      <c r="BY67" s="1511">
        <v>1193</v>
      </c>
      <c r="BZ67" s="1511">
        <v>722</v>
      </c>
      <c r="CA67" s="1511">
        <v>797</v>
      </c>
      <c r="CB67" s="1511">
        <v>886</v>
      </c>
      <c r="CC67" s="1511">
        <v>854</v>
      </c>
      <c r="CD67" s="1511">
        <v>1141</v>
      </c>
      <c r="CE67" s="1511">
        <v>1070</v>
      </c>
      <c r="CF67" s="1511">
        <v>1090</v>
      </c>
      <c r="CG67" s="1511">
        <v>1003</v>
      </c>
      <c r="CH67" s="1511">
        <v>834</v>
      </c>
      <c r="CI67" s="1513">
        <v>772</v>
      </c>
      <c r="CJ67" s="1703">
        <v>967</v>
      </c>
      <c r="CK67" s="1704">
        <v>1087</v>
      </c>
      <c r="CL67" s="1704">
        <v>951</v>
      </c>
      <c r="CM67" s="1704">
        <v>958</v>
      </c>
      <c r="CN67" s="1704">
        <v>1130</v>
      </c>
      <c r="CO67" s="1704">
        <v>879</v>
      </c>
      <c r="CP67" s="1704">
        <v>1213</v>
      </c>
      <c r="CQ67" s="1704">
        <v>1124</v>
      </c>
      <c r="CR67" s="1704">
        <v>1100</v>
      </c>
      <c r="CS67" s="1704">
        <v>1128</v>
      </c>
      <c r="CT67" s="1704">
        <v>1166</v>
      </c>
      <c r="CU67" s="1705">
        <v>1185</v>
      </c>
      <c r="CV67" s="1703">
        <v>1056</v>
      </c>
      <c r="CW67" s="1704">
        <v>1492</v>
      </c>
      <c r="CX67" s="1510">
        <v>967</v>
      </c>
      <c r="CY67" s="1510">
        <v>831</v>
      </c>
      <c r="CZ67" s="1510">
        <v>973</v>
      </c>
      <c r="DA67" s="1510">
        <v>804</v>
      </c>
      <c r="DB67" s="1510">
        <v>1001</v>
      </c>
      <c r="DC67" s="1510">
        <v>697</v>
      </c>
      <c r="DD67" s="1510">
        <v>700</v>
      </c>
      <c r="DE67" s="1510">
        <v>837</v>
      </c>
      <c r="DF67" s="1510">
        <v>824</v>
      </c>
      <c r="DG67" s="1705">
        <v>804</v>
      </c>
      <c r="DH67" s="1706">
        <v>874</v>
      </c>
      <c r="DI67" s="1707">
        <v>931</v>
      </c>
      <c r="DJ67" s="1707">
        <v>634</v>
      </c>
      <c r="DK67" s="1708">
        <v>630</v>
      </c>
      <c r="DL67" s="1708">
        <v>593</v>
      </c>
      <c r="DM67" s="1708">
        <v>783</v>
      </c>
      <c r="DN67" s="1708">
        <v>933</v>
      </c>
      <c r="DO67" s="1708">
        <v>646</v>
      </c>
      <c r="DP67" s="1708">
        <v>823</v>
      </c>
      <c r="DQ67" s="1708">
        <v>1359</v>
      </c>
      <c r="DR67" s="1708">
        <v>938</v>
      </c>
      <c r="DS67" s="1709">
        <v>883</v>
      </c>
      <c r="DT67" s="1683">
        <v>1275</v>
      </c>
      <c r="DU67" s="1502">
        <v>1308</v>
      </c>
      <c r="DV67" s="1502">
        <v>867</v>
      </c>
      <c r="DW67" s="1487">
        <v>810</v>
      </c>
      <c r="DX67" s="1487">
        <v>726</v>
      </c>
      <c r="DY67" s="1487">
        <v>709</v>
      </c>
      <c r="DZ67" s="1487">
        <v>1106</v>
      </c>
      <c r="EA67" s="1487">
        <v>799</v>
      </c>
      <c r="EB67" s="1487">
        <v>770</v>
      </c>
      <c r="EC67" s="1487">
        <v>928</v>
      </c>
      <c r="ED67" s="1487">
        <v>755</v>
      </c>
      <c r="EE67" s="1486">
        <v>901</v>
      </c>
      <c r="EF67" s="1927">
        <v>1141</v>
      </c>
      <c r="EG67" s="34">
        <v>1396</v>
      </c>
      <c r="EH67" s="34">
        <v>984</v>
      </c>
      <c r="EI67" s="34">
        <v>888</v>
      </c>
      <c r="EJ67" s="34">
        <v>825</v>
      </c>
      <c r="EK67" s="34">
        <v>879</v>
      </c>
      <c r="EL67" s="34">
        <v>1124</v>
      </c>
      <c r="EM67" s="2345">
        <v>824</v>
      </c>
      <c r="EN67" s="2345">
        <v>945</v>
      </c>
      <c r="EO67" s="2346">
        <v>1036</v>
      </c>
      <c r="EP67" s="2346">
        <v>853</v>
      </c>
      <c r="EQ67" s="2347">
        <v>802</v>
      </c>
      <c r="ER67" s="3103">
        <v>1003</v>
      </c>
      <c r="ES67" s="3095"/>
      <c r="ET67" s="3095"/>
      <c r="EU67" s="3095"/>
      <c r="EV67" s="3095"/>
      <c r="EW67" s="3095"/>
      <c r="EX67" s="3095"/>
      <c r="EY67" s="3095"/>
      <c r="EZ67" s="3095"/>
      <c r="FA67" s="3095"/>
      <c r="FB67" s="3095"/>
      <c r="FC67" s="3104"/>
      <c r="FD67" s="2437"/>
      <c r="FE67" s="1710">
        <v>2181</v>
      </c>
      <c r="FF67" s="1711">
        <v>1716</v>
      </c>
      <c r="FG67" s="1711">
        <v>2412</v>
      </c>
      <c r="FH67" s="1712">
        <v>2148</v>
      </c>
      <c r="FI67" s="1713">
        <v>3056</v>
      </c>
      <c r="FJ67" s="1714">
        <v>2038</v>
      </c>
      <c r="FK67" s="1714">
        <v>2764</v>
      </c>
      <c r="FL67" s="1715">
        <v>2774</v>
      </c>
      <c r="FM67" s="1716">
        <v>2709</v>
      </c>
      <c r="FN67" s="1717">
        <v>2131.5</v>
      </c>
      <c r="FO67" s="1718">
        <v>2579</v>
      </c>
      <c r="FP67" s="1718">
        <v>2052</v>
      </c>
      <c r="FQ67" s="1719">
        <v>2550</v>
      </c>
      <c r="FR67" s="1720">
        <v>2040</v>
      </c>
      <c r="FS67" s="1720">
        <v>2211</v>
      </c>
      <c r="FT67" s="1721">
        <v>2276</v>
      </c>
      <c r="FU67" s="1722">
        <v>3023</v>
      </c>
      <c r="FV67" s="1723">
        <v>2570</v>
      </c>
      <c r="FW67" s="1723">
        <v>3315</v>
      </c>
      <c r="FX67" s="1724">
        <v>2989</v>
      </c>
      <c r="FY67" s="1720">
        <v>3295</v>
      </c>
      <c r="FZ67" s="1720">
        <v>3007</v>
      </c>
      <c r="GA67" s="1720">
        <v>3410</v>
      </c>
      <c r="GB67" s="1720">
        <v>4101</v>
      </c>
      <c r="GC67" s="1725">
        <v>3054</v>
      </c>
      <c r="GD67" s="1725">
        <v>2537</v>
      </c>
      <c r="GE67" s="1725">
        <v>3301</v>
      </c>
      <c r="GF67" s="1725">
        <v>2609</v>
      </c>
      <c r="GG67" s="1726">
        <v>3005</v>
      </c>
      <c r="GH67" s="1726">
        <v>2967</v>
      </c>
      <c r="GI67" s="1726">
        <f t="shared" si="17"/>
        <v>3437</v>
      </c>
      <c r="GJ67" s="1726">
        <v>3479</v>
      </c>
      <c r="GK67" s="1727">
        <v>3515</v>
      </c>
      <c r="GL67" s="1727">
        <f t="shared" si="18"/>
        <v>2608</v>
      </c>
      <c r="GM67" s="1727">
        <f t="shared" si="19"/>
        <v>2398</v>
      </c>
      <c r="GN67" s="1726">
        <f t="shared" si="20"/>
        <v>2465</v>
      </c>
      <c r="GO67" s="1541">
        <f t="shared" si="21"/>
        <v>2439</v>
      </c>
      <c r="GP67" s="1541">
        <f t="shared" si="22"/>
        <v>2006</v>
      </c>
      <c r="GQ67" s="1541">
        <f t="shared" si="23"/>
        <v>2462</v>
      </c>
      <c r="GR67" s="1541">
        <f t="shared" si="24"/>
        <v>3180</v>
      </c>
      <c r="GS67" s="1728">
        <f t="shared" si="25"/>
        <v>3450</v>
      </c>
      <c r="GT67" s="1728">
        <f t="shared" si="26"/>
        <v>2245</v>
      </c>
      <c r="GU67" s="1728">
        <f t="shared" si="27"/>
        <v>2675</v>
      </c>
      <c r="GV67" s="1728">
        <f t="shared" si="28"/>
        <v>2584</v>
      </c>
      <c r="GW67" s="1939">
        <f t="shared" si="29"/>
        <v>3521</v>
      </c>
      <c r="GX67" s="1725">
        <f t="shared" si="30"/>
        <v>2592</v>
      </c>
      <c r="GY67" s="1725">
        <f t="shared" si="31"/>
        <v>2893</v>
      </c>
      <c r="GZ67" s="1725">
        <f t="shared" si="32"/>
        <v>2691</v>
      </c>
      <c r="HA67" s="2443">
        <f t="shared" si="33"/>
        <v>1003</v>
      </c>
      <c r="HB67" s="2444">
        <f t="shared" si="34"/>
        <v>0</v>
      </c>
      <c r="HC67" s="2444">
        <f t="shared" si="35"/>
        <v>0</v>
      </c>
      <c r="HD67" s="2444">
        <f t="shared" si="36"/>
        <v>0</v>
      </c>
      <c r="HE67" s="1940"/>
      <c r="HF67" s="1729">
        <v>8457</v>
      </c>
      <c r="HG67" s="1730">
        <v>10632</v>
      </c>
      <c r="HH67" s="1730">
        <v>9471.5</v>
      </c>
      <c r="HI67" s="1730">
        <v>9077</v>
      </c>
      <c r="HJ67" s="1730">
        <v>11897</v>
      </c>
      <c r="HK67" s="1730">
        <v>13813</v>
      </c>
      <c r="HL67" s="2421">
        <v>11501</v>
      </c>
      <c r="HM67" s="2423">
        <v>12888</v>
      </c>
      <c r="HN67" s="2423">
        <f t="shared" si="37"/>
        <v>10986</v>
      </c>
      <c r="HO67" s="2423">
        <f t="shared" si="38"/>
        <v>10027</v>
      </c>
      <c r="HP67" s="2423">
        <f t="shared" si="39"/>
        <v>10954</v>
      </c>
      <c r="HQ67" s="2423">
        <f t="shared" si="40"/>
        <v>11697</v>
      </c>
      <c r="HR67" s="2452">
        <f t="shared" si="41"/>
        <v>1003</v>
      </c>
      <c r="HS67" s="2453">
        <f t="shared" si="49"/>
        <v>11559</v>
      </c>
      <c r="HT67" s="2455">
        <f t="shared" si="42"/>
        <v>11351.833333333334</v>
      </c>
      <c r="HU67" s="1737">
        <f t="shared" si="43"/>
        <v>1.5976074923600998E-2</v>
      </c>
      <c r="HV67" s="1737">
        <f t="shared" si="44"/>
        <v>1.6776657870433476E-2</v>
      </c>
      <c r="HW67" s="1737">
        <f t="shared" si="50"/>
        <v>1.6891926043488371E-2</v>
      </c>
      <c r="HX67" s="2458">
        <f t="shared" si="51"/>
        <v>1.6393462351429661E-2</v>
      </c>
      <c r="HY67" s="1734"/>
      <c r="HZ67" s="2302">
        <f t="shared" si="45"/>
        <v>9.2450383963299076E-2</v>
      </c>
      <c r="IA67" s="2300">
        <f t="shared" si="46"/>
        <v>0.13212659153618578</v>
      </c>
      <c r="IB67" s="2300">
        <f t="shared" si="47"/>
        <v>6.7829103523826983E-2</v>
      </c>
      <c r="IC67" s="2302">
        <f t="shared" si="48"/>
        <v>-1.1797896896640125E-2</v>
      </c>
    </row>
    <row r="68" spans="1:237" s="341" customFormat="1" ht="21.95" customHeight="1">
      <c r="A68" s="370"/>
      <c r="C68" s="557" t="s">
        <v>13</v>
      </c>
      <c r="D68" s="1684">
        <v>89</v>
      </c>
      <c r="E68" s="1685">
        <v>97</v>
      </c>
      <c r="F68" s="1685">
        <v>98</v>
      </c>
      <c r="G68" s="1685">
        <v>73</v>
      </c>
      <c r="H68" s="1685">
        <v>107</v>
      </c>
      <c r="I68" s="1685">
        <v>108</v>
      </c>
      <c r="J68" s="1685">
        <v>114</v>
      </c>
      <c r="K68" s="1685">
        <v>116</v>
      </c>
      <c r="L68" s="1685">
        <v>115</v>
      </c>
      <c r="M68" s="1685">
        <v>116</v>
      </c>
      <c r="N68" s="1685">
        <v>219</v>
      </c>
      <c r="O68" s="1686">
        <v>117</v>
      </c>
      <c r="P68" s="1687">
        <v>110</v>
      </c>
      <c r="Q68" s="1688">
        <v>177</v>
      </c>
      <c r="R68" s="1688">
        <v>117</v>
      </c>
      <c r="S68" s="1688">
        <v>96</v>
      </c>
      <c r="T68" s="1688">
        <v>143</v>
      </c>
      <c r="U68" s="1688">
        <v>107</v>
      </c>
      <c r="V68" s="1688">
        <v>186</v>
      </c>
      <c r="W68" s="1688">
        <v>197</v>
      </c>
      <c r="X68" s="1688">
        <v>181</v>
      </c>
      <c r="Y68" s="1688">
        <v>189</v>
      </c>
      <c r="Z68" s="1688">
        <v>292</v>
      </c>
      <c r="AA68" s="1689">
        <v>152</v>
      </c>
      <c r="AB68" s="1690">
        <v>164</v>
      </c>
      <c r="AC68" s="1691">
        <v>132</v>
      </c>
      <c r="AD68" s="1691">
        <v>166</v>
      </c>
      <c r="AE68" s="1691">
        <v>106</v>
      </c>
      <c r="AF68" s="1691">
        <v>116.5</v>
      </c>
      <c r="AG68" s="1691">
        <v>127</v>
      </c>
      <c r="AH68" s="1691">
        <v>145</v>
      </c>
      <c r="AI68" s="1691">
        <v>105</v>
      </c>
      <c r="AJ68" s="1691">
        <v>149</v>
      </c>
      <c r="AK68" s="1691">
        <v>163</v>
      </c>
      <c r="AL68" s="1691">
        <v>184</v>
      </c>
      <c r="AM68" s="1692">
        <v>125</v>
      </c>
      <c r="AN68" s="1693">
        <v>154</v>
      </c>
      <c r="AO68" s="1694">
        <v>218</v>
      </c>
      <c r="AP68" s="1694">
        <v>150</v>
      </c>
      <c r="AQ68" s="1694">
        <v>189</v>
      </c>
      <c r="AR68" s="1694">
        <v>141</v>
      </c>
      <c r="AS68" s="1694">
        <v>141</v>
      </c>
      <c r="AT68" s="1694">
        <v>147</v>
      </c>
      <c r="AU68" s="1694">
        <v>136</v>
      </c>
      <c r="AV68" s="1694">
        <v>118</v>
      </c>
      <c r="AW68" s="1694">
        <v>121</v>
      </c>
      <c r="AX68" s="1694">
        <v>165</v>
      </c>
      <c r="AY68" s="1695">
        <v>149</v>
      </c>
      <c r="AZ68" s="1680">
        <v>161</v>
      </c>
      <c r="BA68" s="1680">
        <v>180</v>
      </c>
      <c r="BB68" s="1680">
        <v>463</v>
      </c>
      <c r="BC68" s="1680">
        <v>340</v>
      </c>
      <c r="BD68" s="1680">
        <v>336</v>
      </c>
      <c r="BE68" s="1680">
        <v>396</v>
      </c>
      <c r="BF68" s="1680">
        <v>334</v>
      </c>
      <c r="BG68" s="1680">
        <v>362</v>
      </c>
      <c r="BH68" s="1680">
        <v>336</v>
      </c>
      <c r="BI68" s="1680">
        <v>395</v>
      </c>
      <c r="BJ68" s="1680">
        <v>356</v>
      </c>
      <c r="BK68" s="1731">
        <v>381</v>
      </c>
      <c r="BL68" s="1698">
        <v>131</v>
      </c>
      <c r="BM68" s="1699">
        <v>193</v>
      </c>
      <c r="BN68" s="1699">
        <v>397</v>
      </c>
      <c r="BO68" s="1699">
        <v>386</v>
      </c>
      <c r="BP68" s="1699">
        <v>468</v>
      </c>
      <c r="BQ68" s="1699">
        <v>379</v>
      </c>
      <c r="BR68" s="1699">
        <v>392</v>
      </c>
      <c r="BS68" s="1699">
        <v>350</v>
      </c>
      <c r="BT68" s="1700">
        <v>379</v>
      </c>
      <c r="BU68" s="1700">
        <v>342</v>
      </c>
      <c r="BV68" s="1700">
        <v>432</v>
      </c>
      <c r="BW68" s="1701">
        <v>353</v>
      </c>
      <c r="BX68" s="1702">
        <v>362</v>
      </c>
      <c r="BY68" s="1511">
        <v>407</v>
      </c>
      <c r="BZ68" s="1511">
        <v>490</v>
      </c>
      <c r="CA68" s="1511">
        <v>520</v>
      </c>
      <c r="CB68" s="1511">
        <v>497</v>
      </c>
      <c r="CC68" s="1511">
        <v>497</v>
      </c>
      <c r="CD68" s="1511">
        <v>513</v>
      </c>
      <c r="CE68" s="1511">
        <v>460</v>
      </c>
      <c r="CF68" s="1511">
        <v>520</v>
      </c>
      <c r="CG68" s="1511">
        <v>501</v>
      </c>
      <c r="CH68" s="1511">
        <v>503</v>
      </c>
      <c r="CI68" s="1513">
        <v>525</v>
      </c>
      <c r="CJ68" s="1703">
        <v>471</v>
      </c>
      <c r="CK68" s="1704">
        <v>474</v>
      </c>
      <c r="CL68" s="1704">
        <v>491</v>
      </c>
      <c r="CM68" s="1704">
        <v>485</v>
      </c>
      <c r="CN68" s="1704">
        <v>565</v>
      </c>
      <c r="CO68" s="1704">
        <v>493</v>
      </c>
      <c r="CP68" s="1704">
        <v>498</v>
      </c>
      <c r="CQ68" s="1704">
        <v>493</v>
      </c>
      <c r="CR68" s="1704">
        <v>543</v>
      </c>
      <c r="CS68" s="1704">
        <v>389</v>
      </c>
      <c r="CT68" s="1704">
        <v>471</v>
      </c>
      <c r="CU68" s="1705">
        <v>478</v>
      </c>
      <c r="CV68" s="1703">
        <v>398</v>
      </c>
      <c r="CW68" s="1704">
        <v>376</v>
      </c>
      <c r="CX68" s="1510">
        <v>343</v>
      </c>
      <c r="CY68" s="1510">
        <v>380</v>
      </c>
      <c r="CZ68" s="1510">
        <v>488</v>
      </c>
      <c r="DA68" s="1510">
        <v>366</v>
      </c>
      <c r="DB68" s="1510">
        <v>598</v>
      </c>
      <c r="DC68" s="1510">
        <v>512</v>
      </c>
      <c r="DD68" s="1510">
        <v>557</v>
      </c>
      <c r="DE68" s="1510">
        <v>698</v>
      </c>
      <c r="DF68" s="1510">
        <v>731</v>
      </c>
      <c r="DG68" s="1705">
        <v>700</v>
      </c>
      <c r="DH68" s="1706">
        <v>891</v>
      </c>
      <c r="DI68" s="1707">
        <v>862</v>
      </c>
      <c r="DJ68" s="1707">
        <v>915</v>
      </c>
      <c r="DK68" s="1708">
        <v>629</v>
      </c>
      <c r="DL68" s="1708">
        <v>786</v>
      </c>
      <c r="DM68" s="1708">
        <v>756</v>
      </c>
      <c r="DN68" s="1708">
        <v>817</v>
      </c>
      <c r="DO68" s="1708">
        <v>802</v>
      </c>
      <c r="DP68" s="1708">
        <v>584</v>
      </c>
      <c r="DQ68" s="1708">
        <v>872</v>
      </c>
      <c r="DR68" s="1708">
        <v>883</v>
      </c>
      <c r="DS68" s="1709">
        <v>763</v>
      </c>
      <c r="DT68" s="1683">
        <v>841</v>
      </c>
      <c r="DU68" s="1502">
        <v>806</v>
      </c>
      <c r="DV68" s="1502">
        <v>689</v>
      </c>
      <c r="DW68" s="1487">
        <v>656</v>
      </c>
      <c r="DX68" s="1487">
        <v>636</v>
      </c>
      <c r="DY68" s="1487">
        <v>814</v>
      </c>
      <c r="DZ68" s="1487">
        <v>711</v>
      </c>
      <c r="EA68" s="1487">
        <v>815</v>
      </c>
      <c r="EB68" s="1487">
        <v>811</v>
      </c>
      <c r="EC68" s="1487">
        <v>824</v>
      </c>
      <c r="ED68" s="1487">
        <v>864</v>
      </c>
      <c r="EE68" s="1486">
        <v>729</v>
      </c>
      <c r="EF68" s="1927">
        <v>769</v>
      </c>
      <c r="EG68" s="34">
        <v>683</v>
      </c>
      <c r="EH68" s="34">
        <v>727</v>
      </c>
      <c r="EI68" s="34">
        <v>707</v>
      </c>
      <c r="EJ68" s="34">
        <v>717</v>
      </c>
      <c r="EK68" s="34">
        <v>800</v>
      </c>
      <c r="EL68" s="34">
        <v>836</v>
      </c>
      <c r="EM68" s="2345">
        <v>819</v>
      </c>
      <c r="EN68" s="2345">
        <v>868</v>
      </c>
      <c r="EO68" s="2346">
        <v>902</v>
      </c>
      <c r="EP68" s="2346">
        <v>926</v>
      </c>
      <c r="EQ68" s="2347">
        <v>860</v>
      </c>
      <c r="ER68" s="3109">
        <v>840</v>
      </c>
      <c r="ES68" s="3098"/>
      <c r="ET68" s="3098"/>
      <c r="EU68" s="3098"/>
      <c r="EV68" s="3098"/>
      <c r="EW68" s="3098"/>
      <c r="EX68" s="3098"/>
      <c r="EY68" s="3098"/>
      <c r="EZ68" s="3098"/>
      <c r="FA68" s="3098"/>
      <c r="FB68" s="3098"/>
      <c r="FC68" s="3110"/>
      <c r="FD68" s="2437"/>
      <c r="FE68" s="1710">
        <v>284</v>
      </c>
      <c r="FF68" s="1711">
        <v>288</v>
      </c>
      <c r="FG68" s="1711">
        <v>345</v>
      </c>
      <c r="FH68" s="1712">
        <v>452</v>
      </c>
      <c r="FI68" s="1713">
        <v>404</v>
      </c>
      <c r="FJ68" s="1714">
        <v>346</v>
      </c>
      <c r="FK68" s="1714">
        <v>564</v>
      </c>
      <c r="FL68" s="1715">
        <v>633</v>
      </c>
      <c r="FM68" s="1716">
        <v>462</v>
      </c>
      <c r="FN68" s="1717">
        <v>349.5</v>
      </c>
      <c r="FO68" s="1718">
        <v>399</v>
      </c>
      <c r="FP68" s="1718">
        <v>472</v>
      </c>
      <c r="FQ68" s="1719">
        <v>522</v>
      </c>
      <c r="FR68" s="1720">
        <v>471</v>
      </c>
      <c r="FS68" s="1720">
        <v>401</v>
      </c>
      <c r="FT68" s="1721">
        <v>435</v>
      </c>
      <c r="FU68" s="1722">
        <v>804</v>
      </c>
      <c r="FV68" s="1723">
        <v>1072</v>
      </c>
      <c r="FW68" s="1723">
        <v>1032</v>
      </c>
      <c r="FX68" s="1724">
        <v>1132</v>
      </c>
      <c r="FY68" s="1720">
        <v>721</v>
      </c>
      <c r="FZ68" s="1720">
        <v>1233</v>
      </c>
      <c r="GA68" s="1720">
        <v>1121</v>
      </c>
      <c r="GB68" s="1720">
        <v>1127</v>
      </c>
      <c r="GC68" s="1725">
        <v>1259</v>
      </c>
      <c r="GD68" s="1725">
        <v>1514</v>
      </c>
      <c r="GE68" s="1725">
        <v>1493</v>
      </c>
      <c r="GF68" s="1725">
        <v>1529</v>
      </c>
      <c r="GG68" s="1726">
        <v>1436</v>
      </c>
      <c r="GH68" s="1726">
        <v>1543</v>
      </c>
      <c r="GI68" s="1726">
        <f t="shared" si="17"/>
        <v>1534</v>
      </c>
      <c r="GJ68" s="1726">
        <v>1338</v>
      </c>
      <c r="GK68" s="1727">
        <v>1117</v>
      </c>
      <c r="GL68" s="1727">
        <f t="shared" si="18"/>
        <v>1234</v>
      </c>
      <c r="GM68" s="1727">
        <f t="shared" si="19"/>
        <v>1667</v>
      </c>
      <c r="GN68" s="1726">
        <f t="shared" si="20"/>
        <v>2129</v>
      </c>
      <c r="GO68" s="1541">
        <f t="shared" si="21"/>
        <v>2668</v>
      </c>
      <c r="GP68" s="1541">
        <f t="shared" si="22"/>
        <v>2171</v>
      </c>
      <c r="GQ68" s="1541">
        <f t="shared" si="23"/>
        <v>2382</v>
      </c>
      <c r="GR68" s="1541">
        <f t="shared" si="24"/>
        <v>2518</v>
      </c>
      <c r="GS68" s="1728">
        <f t="shared" si="25"/>
        <v>2336</v>
      </c>
      <c r="GT68" s="1728">
        <f t="shared" si="26"/>
        <v>2106</v>
      </c>
      <c r="GU68" s="1728">
        <f t="shared" si="27"/>
        <v>2337</v>
      </c>
      <c r="GV68" s="1728">
        <f t="shared" si="28"/>
        <v>2417</v>
      </c>
      <c r="GW68" s="1939">
        <f t="shared" si="29"/>
        <v>2179</v>
      </c>
      <c r="GX68" s="1725">
        <f t="shared" si="30"/>
        <v>2224</v>
      </c>
      <c r="GY68" s="1725">
        <f t="shared" si="31"/>
        <v>2523</v>
      </c>
      <c r="GZ68" s="1725">
        <f t="shared" si="32"/>
        <v>2688</v>
      </c>
      <c r="HA68" s="2443">
        <f t="shared" si="33"/>
        <v>840</v>
      </c>
      <c r="HB68" s="2444">
        <f t="shared" si="34"/>
        <v>0</v>
      </c>
      <c r="HC68" s="2444">
        <f t="shared" si="35"/>
        <v>0</v>
      </c>
      <c r="HD68" s="2444">
        <f t="shared" si="36"/>
        <v>0</v>
      </c>
      <c r="HE68" s="1940"/>
      <c r="HF68" s="1729">
        <v>1369</v>
      </c>
      <c r="HG68" s="1730">
        <v>1947</v>
      </c>
      <c r="HH68" s="1730">
        <v>1682.5</v>
      </c>
      <c r="HI68" s="1730">
        <v>1829</v>
      </c>
      <c r="HJ68" s="1730">
        <v>4040</v>
      </c>
      <c r="HK68" s="1730">
        <v>4202</v>
      </c>
      <c r="HL68" s="2421">
        <v>5795</v>
      </c>
      <c r="HM68" s="2423">
        <v>5851</v>
      </c>
      <c r="HN68" s="2423">
        <f t="shared" si="37"/>
        <v>6147</v>
      </c>
      <c r="HO68" s="2423">
        <f t="shared" si="38"/>
        <v>9560</v>
      </c>
      <c r="HP68" s="2423">
        <f t="shared" si="39"/>
        <v>9196</v>
      </c>
      <c r="HQ68" s="2423">
        <f t="shared" si="40"/>
        <v>9614</v>
      </c>
      <c r="HR68" s="2452">
        <f t="shared" si="41"/>
        <v>840</v>
      </c>
      <c r="HS68" s="2453">
        <f t="shared" si="49"/>
        <v>9685</v>
      </c>
      <c r="HT68" s="2455">
        <f t="shared" si="42"/>
        <v>8342.1666666666661</v>
      </c>
      <c r="HU68" s="1737">
        <f t="shared" si="43"/>
        <v>1.5232001223658675E-2</v>
      </c>
      <c r="HV68" s="1737">
        <f t="shared" si="44"/>
        <v>1.4084183474210905E-2</v>
      </c>
      <c r="HW68" s="1737">
        <f t="shared" si="50"/>
        <v>1.3883814395323347E-2</v>
      </c>
      <c r="HX68" s="2458">
        <f t="shared" si="51"/>
        <v>1.2047128526612568E-2</v>
      </c>
      <c r="HY68" s="1734"/>
      <c r="HZ68" s="2302">
        <f t="shared" si="45"/>
        <v>-3.8075313807531375E-2</v>
      </c>
      <c r="IA68" s="2300">
        <f t="shared" si="46"/>
        <v>-0.12738842398884243</v>
      </c>
      <c r="IB68" s="2300">
        <f t="shared" si="47"/>
        <v>4.5454545454545414E-2</v>
      </c>
      <c r="IC68" s="2302">
        <f t="shared" si="48"/>
        <v>7.3850634491365863E-3</v>
      </c>
    </row>
    <row r="69" spans="1:237" s="341" customFormat="1" ht="21.95" customHeight="1">
      <c r="A69" s="370"/>
      <c r="C69" s="557" t="s">
        <v>20</v>
      </c>
      <c r="D69" s="1684">
        <v>549</v>
      </c>
      <c r="E69" s="1685">
        <v>378</v>
      </c>
      <c r="F69" s="1685">
        <v>399</v>
      </c>
      <c r="G69" s="1685">
        <v>391</v>
      </c>
      <c r="H69" s="1685">
        <v>397</v>
      </c>
      <c r="I69" s="1685">
        <v>487</v>
      </c>
      <c r="J69" s="1685">
        <v>844</v>
      </c>
      <c r="K69" s="1685">
        <v>1198</v>
      </c>
      <c r="L69" s="1685">
        <v>469</v>
      </c>
      <c r="M69" s="1685">
        <v>573</v>
      </c>
      <c r="N69" s="1685">
        <v>556</v>
      </c>
      <c r="O69" s="1686">
        <v>606</v>
      </c>
      <c r="P69" s="1687">
        <v>658</v>
      </c>
      <c r="Q69" s="1688">
        <v>721</v>
      </c>
      <c r="R69" s="1688">
        <v>522</v>
      </c>
      <c r="S69" s="1688">
        <v>491</v>
      </c>
      <c r="T69" s="1688">
        <v>485</v>
      </c>
      <c r="U69" s="1688">
        <v>640</v>
      </c>
      <c r="V69" s="1688">
        <v>950</v>
      </c>
      <c r="W69" s="1688">
        <v>1246</v>
      </c>
      <c r="X69" s="1688">
        <v>719</v>
      </c>
      <c r="Y69" s="1688">
        <v>629</v>
      </c>
      <c r="Z69" s="1688">
        <v>701</v>
      </c>
      <c r="AA69" s="1689">
        <v>596</v>
      </c>
      <c r="AB69" s="1690">
        <v>761</v>
      </c>
      <c r="AC69" s="1691">
        <v>540</v>
      </c>
      <c r="AD69" s="1691">
        <v>496</v>
      </c>
      <c r="AE69" s="1691">
        <v>503</v>
      </c>
      <c r="AF69" s="1691">
        <v>608</v>
      </c>
      <c r="AG69" s="1691">
        <v>713</v>
      </c>
      <c r="AH69" s="1691">
        <v>1022</v>
      </c>
      <c r="AI69" s="1691">
        <v>1396</v>
      </c>
      <c r="AJ69" s="1691">
        <v>602</v>
      </c>
      <c r="AK69" s="1691">
        <v>609</v>
      </c>
      <c r="AL69" s="1691">
        <v>680</v>
      </c>
      <c r="AM69" s="1692">
        <v>666</v>
      </c>
      <c r="AN69" s="1693">
        <v>637</v>
      </c>
      <c r="AO69" s="1694">
        <v>545</v>
      </c>
      <c r="AP69" s="1694">
        <v>550</v>
      </c>
      <c r="AQ69" s="1694">
        <v>538</v>
      </c>
      <c r="AR69" s="1694">
        <v>528</v>
      </c>
      <c r="AS69" s="1694">
        <v>635</v>
      </c>
      <c r="AT69" s="1694">
        <v>849</v>
      </c>
      <c r="AU69" s="1694">
        <v>1276</v>
      </c>
      <c r="AV69" s="1694">
        <v>521</v>
      </c>
      <c r="AW69" s="1694">
        <v>614</v>
      </c>
      <c r="AX69" s="1694">
        <v>715</v>
      </c>
      <c r="AY69" s="1695">
        <v>639</v>
      </c>
      <c r="AZ69" s="1680">
        <v>595</v>
      </c>
      <c r="BA69" s="1680">
        <v>497</v>
      </c>
      <c r="BB69" s="1680">
        <v>505</v>
      </c>
      <c r="BC69" s="1680">
        <v>417</v>
      </c>
      <c r="BD69" s="1680">
        <v>543</v>
      </c>
      <c r="BE69" s="1680">
        <v>559</v>
      </c>
      <c r="BF69" s="1680">
        <v>777</v>
      </c>
      <c r="BG69" s="1680">
        <v>1289</v>
      </c>
      <c r="BH69" s="1680">
        <v>535</v>
      </c>
      <c r="BI69" s="1680">
        <v>653</v>
      </c>
      <c r="BJ69" s="1680">
        <v>682</v>
      </c>
      <c r="BK69" s="1731">
        <v>664</v>
      </c>
      <c r="BL69" s="1698">
        <v>551</v>
      </c>
      <c r="BM69" s="1699">
        <v>522</v>
      </c>
      <c r="BN69" s="1699">
        <v>534</v>
      </c>
      <c r="BO69" s="1699">
        <v>525</v>
      </c>
      <c r="BP69" s="1699">
        <v>544</v>
      </c>
      <c r="BQ69" s="1699">
        <v>656</v>
      </c>
      <c r="BR69" s="1699">
        <v>836</v>
      </c>
      <c r="BS69" s="1699">
        <v>1119</v>
      </c>
      <c r="BT69" s="1700">
        <v>550</v>
      </c>
      <c r="BU69" s="1700">
        <v>658</v>
      </c>
      <c r="BV69" s="1700">
        <v>688</v>
      </c>
      <c r="BW69" s="1701">
        <v>574</v>
      </c>
      <c r="BX69" s="1702">
        <v>600</v>
      </c>
      <c r="BY69" s="1511">
        <v>512</v>
      </c>
      <c r="BZ69" s="1511">
        <v>542</v>
      </c>
      <c r="CA69" s="1511">
        <v>511</v>
      </c>
      <c r="CB69" s="1511">
        <v>483</v>
      </c>
      <c r="CC69" s="1511">
        <v>646</v>
      </c>
      <c r="CD69" s="1511">
        <v>665</v>
      </c>
      <c r="CE69" s="1511">
        <v>935</v>
      </c>
      <c r="CF69" s="1511">
        <v>579</v>
      </c>
      <c r="CG69" s="1511">
        <v>611</v>
      </c>
      <c r="CH69" s="1511">
        <v>678</v>
      </c>
      <c r="CI69" s="1513">
        <v>758</v>
      </c>
      <c r="CJ69" s="1703">
        <v>698</v>
      </c>
      <c r="CK69" s="1704">
        <v>643</v>
      </c>
      <c r="CL69" s="1704">
        <v>609</v>
      </c>
      <c r="CM69" s="1704">
        <v>572</v>
      </c>
      <c r="CN69" s="1704">
        <v>490</v>
      </c>
      <c r="CO69" s="1704">
        <v>643</v>
      </c>
      <c r="CP69" s="1704">
        <v>814</v>
      </c>
      <c r="CQ69" s="1704">
        <v>1057</v>
      </c>
      <c r="CR69" s="1704">
        <v>554</v>
      </c>
      <c r="CS69" s="1704">
        <v>636</v>
      </c>
      <c r="CT69" s="1704">
        <v>734</v>
      </c>
      <c r="CU69" s="1705">
        <v>716</v>
      </c>
      <c r="CV69" s="1703">
        <v>704</v>
      </c>
      <c r="CW69" s="1704">
        <v>575</v>
      </c>
      <c r="CX69" s="1510">
        <v>571</v>
      </c>
      <c r="CY69" s="1510">
        <v>525</v>
      </c>
      <c r="CZ69" s="1510">
        <v>537</v>
      </c>
      <c r="DA69" s="1510">
        <v>740</v>
      </c>
      <c r="DB69" s="1510">
        <v>857</v>
      </c>
      <c r="DC69" s="1510">
        <v>1052</v>
      </c>
      <c r="DD69" s="1510">
        <v>643</v>
      </c>
      <c r="DE69" s="1510">
        <v>549</v>
      </c>
      <c r="DF69" s="1510">
        <v>656</v>
      </c>
      <c r="DG69" s="1705">
        <v>699</v>
      </c>
      <c r="DH69" s="1706">
        <v>630</v>
      </c>
      <c r="DI69" s="1707">
        <v>567</v>
      </c>
      <c r="DJ69" s="1707">
        <v>515</v>
      </c>
      <c r="DK69" s="1708">
        <v>517</v>
      </c>
      <c r="DL69" s="1708">
        <v>530</v>
      </c>
      <c r="DM69" s="1708">
        <v>594</v>
      </c>
      <c r="DN69" s="1708">
        <v>797</v>
      </c>
      <c r="DO69" s="1708">
        <v>968</v>
      </c>
      <c r="DP69" s="1708">
        <v>477</v>
      </c>
      <c r="DQ69" s="1708">
        <v>663</v>
      </c>
      <c r="DR69" s="1708">
        <v>605</v>
      </c>
      <c r="DS69" s="1709">
        <v>640</v>
      </c>
      <c r="DT69" s="1683">
        <v>661</v>
      </c>
      <c r="DU69" s="1502">
        <v>472</v>
      </c>
      <c r="DV69" s="1502">
        <v>508</v>
      </c>
      <c r="DW69" s="1487">
        <v>543</v>
      </c>
      <c r="DX69" s="1487">
        <v>594</v>
      </c>
      <c r="DY69" s="1487">
        <v>673</v>
      </c>
      <c r="DZ69" s="1487">
        <v>769</v>
      </c>
      <c r="EA69" s="1487">
        <v>922</v>
      </c>
      <c r="EB69" s="1487">
        <v>542</v>
      </c>
      <c r="EC69" s="1487">
        <v>601</v>
      </c>
      <c r="ED69" s="1487">
        <v>691</v>
      </c>
      <c r="EE69" s="1486">
        <v>768</v>
      </c>
      <c r="EF69" s="1927">
        <v>637</v>
      </c>
      <c r="EG69" s="34">
        <v>567</v>
      </c>
      <c r="EH69" s="34">
        <v>562</v>
      </c>
      <c r="EI69" s="34">
        <v>572</v>
      </c>
      <c r="EJ69" s="34">
        <v>529</v>
      </c>
      <c r="EK69" s="34">
        <v>741</v>
      </c>
      <c r="EL69" s="34">
        <v>937</v>
      </c>
      <c r="EM69" s="2345">
        <v>1050</v>
      </c>
      <c r="EN69" s="2345">
        <v>478</v>
      </c>
      <c r="EO69" s="2346">
        <v>576</v>
      </c>
      <c r="EP69" s="2346">
        <v>721</v>
      </c>
      <c r="EQ69" s="2347">
        <v>705</v>
      </c>
      <c r="ER69" s="3109">
        <v>645</v>
      </c>
      <c r="ES69" s="3098"/>
      <c r="ET69" s="3098"/>
      <c r="EU69" s="3098"/>
      <c r="EV69" s="3098"/>
      <c r="EW69" s="3098"/>
      <c r="EX69" s="3098"/>
      <c r="EY69" s="3098"/>
      <c r="EZ69" s="3098"/>
      <c r="FA69" s="3098"/>
      <c r="FB69" s="3098"/>
      <c r="FC69" s="3110"/>
      <c r="FD69" s="2437"/>
      <c r="FE69" s="1710">
        <v>1326</v>
      </c>
      <c r="FF69" s="1711">
        <v>1275</v>
      </c>
      <c r="FG69" s="1711">
        <v>2511</v>
      </c>
      <c r="FH69" s="1712">
        <v>1735</v>
      </c>
      <c r="FI69" s="1713">
        <v>1901</v>
      </c>
      <c r="FJ69" s="1714">
        <v>1616</v>
      </c>
      <c r="FK69" s="1714">
        <v>2915</v>
      </c>
      <c r="FL69" s="1715">
        <v>1926</v>
      </c>
      <c r="FM69" s="1716">
        <v>1797</v>
      </c>
      <c r="FN69" s="1717">
        <v>1824</v>
      </c>
      <c r="FO69" s="1718">
        <v>3020</v>
      </c>
      <c r="FP69" s="1718">
        <v>1955</v>
      </c>
      <c r="FQ69" s="1719">
        <v>1732</v>
      </c>
      <c r="FR69" s="1720">
        <v>1701</v>
      </c>
      <c r="FS69" s="1720">
        <v>2646</v>
      </c>
      <c r="FT69" s="1721">
        <v>1968</v>
      </c>
      <c r="FU69" s="1722">
        <v>1597</v>
      </c>
      <c r="FV69" s="1723">
        <v>1519</v>
      </c>
      <c r="FW69" s="1723">
        <v>2601</v>
      </c>
      <c r="FX69" s="1724">
        <v>1999</v>
      </c>
      <c r="FY69" s="1720">
        <v>1607</v>
      </c>
      <c r="FZ69" s="1720">
        <v>1725</v>
      </c>
      <c r="GA69" s="1720">
        <v>2505</v>
      </c>
      <c r="GB69" s="1720">
        <v>1920</v>
      </c>
      <c r="GC69" s="1725">
        <v>1654</v>
      </c>
      <c r="GD69" s="1725">
        <v>1640</v>
      </c>
      <c r="GE69" s="1725">
        <v>2179</v>
      </c>
      <c r="GF69" s="1725">
        <v>2047</v>
      </c>
      <c r="GG69" s="1726">
        <v>1950</v>
      </c>
      <c r="GH69" s="1726">
        <v>1705</v>
      </c>
      <c r="GI69" s="1726">
        <f t="shared" si="17"/>
        <v>2425</v>
      </c>
      <c r="GJ69" s="1726">
        <v>2086</v>
      </c>
      <c r="GK69" s="1727">
        <v>1850</v>
      </c>
      <c r="GL69" s="1727">
        <f t="shared" si="18"/>
        <v>1802</v>
      </c>
      <c r="GM69" s="1727">
        <f t="shared" si="19"/>
        <v>2552</v>
      </c>
      <c r="GN69" s="1726">
        <f t="shared" si="20"/>
        <v>1904</v>
      </c>
      <c r="GO69" s="1541">
        <f t="shared" si="21"/>
        <v>1712</v>
      </c>
      <c r="GP69" s="1541">
        <f t="shared" si="22"/>
        <v>1641</v>
      </c>
      <c r="GQ69" s="1541">
        <f t="shared" si="23"/>
        <v>2405</v>
      </c>
      <c r="GR69" s="1541">
        <f t="shared" si="24"/>
        <v>1908</v>
      </c>
      <c r="GS69" s="1728">
        <f t="shared" si="25"/>
        <v>1641</v>
      </c>
      <c r="GT69" s="1728">
        <f t="shared" si="26"/>
        <v>1810</v>
      </c>
      <c r="GU69" s="1728">
        <f t="shared" si="27"/>
        <v>2233</v>
      </c>
      <c r="GV69" s="1728">
        <f t="shared" si="28"/>
        <v>2060</v>
      </c>
      <c r="GW69" s="1939">
        <f t="shared" si="29"/>
        <v>1766</v>
      </c>
      <c r="GX69" s="1725">
        <f t="shared" si="30"/>
        <v>1842</v>
      </c>
      <c r="GY69" s="1725">
        <f t="shared" si="31"/>
        <v>2465</v>
      </c>
      <c r="GZ69" s="1725">
        <f t="shared" si="32"/>
        <v>2002</v>
      </c>
      <c r="HA69" s="2443">
        <f t="shared" si="33"/>
        <v>645</v>
      </c>
      <c r="HB69" s="2444">
        <f t="shared" si="34"/>
        <v>0</v>
      </c>
      <c r="HC69" s="2444">
        <f t="shared" si="35"/>
        <v>0</v>
      </c>
      <c r="HD69" s="2444">
        <f t="shared" si="36"/>
        <v>0</v>
      </c>
      <c r="HE69" s="1940"/>
      <c r="HF69" s="1729">
        <v>6847</v>
      </c>
      <c r="HG69" s="1730">
        <v>8358</v>
      </c>
      <c r="HH69" s="1730">
        <v>8596</v>
      </c>
      <c r="HI69" s="1730">
        <v>8047</v>
      </c>
      <c r="HJ69" s="1730">
        <v>7716</v>
      </c>
      <c r="HK69" s="1730">
        <v>7757</v>
      </c>
      <c r="HL69" s="2421">
        <v>7520</v>
      </c>
      <c r="HM69" s="2423">
        <v>8166</v>
      </c>
      <c r="HN69" s="2423">
        <f t="shared" si="37"/>
        <v>8108</v>
      </c>
      <c r="HO69" s="2423">
        <f t="shared" si="38"/>
        <v>7503</v>
      </c>
      <c r="HP69" s="2423">
        <f t="shared" si="39"/>
        <v>7744</v>
      </c>
      <c r="HQ69" s="2423">
        <f t="shared" si="40"/>
        <v>8075</v>
      </c>
      <c r="HR69" s="2452">
        <f t="shared" si="41"/>
        <v>645</v>
      </c>
      <c r="HS69" s="2453">
        <f t="shared" si="49"/>
        <v>8083</v>
      </c>
      <c r="HT69" s="2455">
        <f t="shared" si="42"/>
        <v>7946.5</v>
      </c>
      <c r="HU69" s="1737">
        <f t="shared" si="43"/>
        <v>1.1954571671664336E-2</v>
      </c>
      <c r="HV69" s="1737">
        <f t="shared" si="44"/>
        <v>1.1860365030914446E-2</v>
      </c>
      <c r="HW69" s="1737">
        <f t="shared" si="50"/>
        <v>1.1661306557336803E-2</v>
      </c>
      <c r="HX69" s="2458">
        <f t="shared" si="51"/>
        <v>1.1475736539675159E-2</v>
      </c>
      <c r="HY69" s="1734"/>
      <c r="HZ69" s="2302">
        <f t="shared" si="45"/>
        <v>3.2120485139277566E-2</v>
      </c>
      <c r="IA69" s="2300">
        <f t="shared" si="46"/>
        <v>5.9109689457550241E-2</v>
      </c>
      <c r="IB69" s="2300">
        <f t="shared" si="47"/>
        <v>4.2742768595041225E-2</v>
      </c>
      <c r="IC69" s="2302">
        <f t="shared" si="48"/>
        <v>9.9071207430334596E-4</v>
      </c>
    </row>
    <row r="70" spans="1:237" s="341" customFormat="1" ht="21.95" customHeight="1">
      <c r="A70" s="370"/>
      <c r="C70" s="557" t="s">
        <v>24</v>
      </c>
      <c r="D70" s="1684">
        <v>364</v>
      </c>
      <c r="E70" s="1685">
        <v>398</v>
      </c>
      <c r="F70" s="1685">
        <v>362</v>
      </c>
      <c r="G70" s="1685">
        <v>333</v>
      </c>
      <c r="H70" s="1685">
        <v>305</v>
      </c>
      <c r="I70" s="1685">
        <v>347</v>
      </c>
      <c r="J70" s="1685">
        <v>748</v>
      </c>
      <c r="K70" s="1685">
        <v>334</v>
      </c>
      <c r="L70" s="1685">
        <v>478</v>
      </c>
      <c r="M70" s="1685">
        <v>546</v>
      </c>
      <c r="N70" s="1685">
        <v>492</v>
      </c>
      <c r="O70" s="1686">
        <v>429</v>
      </c>
      <c r="P70" s="1687">
        <v>442</v>
      </c>
      <c r="Q70" s="1688">
        <v>593</v>
      </c>
      <c r="R70" s="1688">
        <v>475</v>
      </c>
      <c r="S70" s="1688">
        <v>378</v>
      </c>
      <c r="T70" s="1688">
        <v>364</v>
      </c>
      <c r="U70" s="1688">
        <v>401</v>
      </c>
      <c r="V70" s="1688">
        <v>795</v>
      </c>
      <c r="W70" s="1688">
        <v>418</v>
      </c>
      <c r="X70" s="1688">
        <v>410</v>
      </c>
      <c r="Y70" s="1688">
        <v>462</v>
      </c>
      <c r="Z70" s="1688">
        <v>547</v>
      </c>
      <c r="AA70" s="1689">
        <v>450</v>
      </c>
      <c r="AB70" s="1690">
        <v>472</v>
      </c>
      <c r="AC70" s="1691">
        <v>324</v>
      </c>
      <c r="AD70" s="1691">
        <v>379</v>
      </c>
      <c r="AE70" s="1691">
        <v>343</v>
      </c>
      <c r="AF70" s="1691">
        <v>385.5</v>
      </c>
      <c r="AG70" s="1691">
        <v>428</v>
      </c>
      <c r="AH70" s="1691">
        <v>875</v>
      </c>
      <c r="AI70" s="1691">
        <v>391</v>
      </c>
      <c r="AJ70" s="1691">
        <v>458</v>
      </c>
      <c r="AK70" s="1691">
        <v>460</v>
      </c>
      <c r="AL70" s="1691">
        <v>532</v>
      </c>
      <c r="AM70" s="1692">
        <v>487</v>
      </c>
      <c r="AN70" s="1693">
        <v>443</v>
      </c>
      <c r="AO70" s="1694">
        <v>376</v>
      </c>
      <c r="AP70" s="1694">
        <v>358</v>
      </c>
      <c r="AQ70" s="1694">
        <v>310</v>
      </c>
      <c r="AR70" s="1694">
        <v>315</v>
      </c>
      <c r="AS70" s="1694">
        <v>379</v>
      </c>
      <c r="AT70" s="1694">
        <v>783</v>
      </c>
      <c r="AU70" s="1694">
        <v>396</v>
      </c>
      <c r="AV70" s="1694">
        <v>362</v>
      </c>
      <c r="AW70" s="1694">
        <v>563</v>
      </c>
      <c r="AX70" s="1694">
        <v>559</v>
      </c>
      <c r="AY70" s="1695">
        <v>469</v>
      </c>
      <c r="AZ70" s="1680">
        <v>429</v>
      </c>
      <c r="BA70" s="1680">
        <v>404</v>
      </c>
      <c r="BB70" s="1680">
        <v>315</v>
      </c>
      <c r="BC70" s="1680">
        <v>400</v>
      </c>
      <c r="BD70" s="1680">
        <v>329</v>
      </c>
      <c r="BE70" s="1680">
        <v>370</v>
      </c>
      <c r="BF70" s="1680">
        <v>834</v>
      </c>
      <c r="BG70" s="1680">
        <v>402</v>
      </c>
      <c r="BH70" s="1680">
        <v>363</v>
      </c>
      <c r="BI70" s="1680">
        <v>578</v>
      </c>
      <c r="BJ70" s="1680">
        <v>603</v>
      </c>
      <c r="BK70" s="1731">
        <v>577</v>
      </c>
      <c r="BL70" s="1698">
        <v>442</v>
      </c>
      <c r="BM70" s="1699">
        <v>386</v>
      </c>
      <c r="BN70" s="1699">
        <v>342</v>
      </c>
      <c r="BO70" s="1699">
        <v>413</v>
      </c>
      <c r="BP70" s="1699">
        <v>323</v>
      </c>
      <c r="BQ70" s="1699">
        <v>446</v>
      </c>
      <c r="BR70" s="1699">
        <v>986</v>
      </c>
      <c r="BS70" s="1699">
        <v>441</v>
      </c>
      <c r="BT70" s="1700">
        <v>500</v>
      </c>
      <c r="BU70" s="1700">
        <v>622</v>
      </c>
      <c r="BV70" s="1700">
        <v>645</v>
      </c>
      <c r="BW70" s="1701">
        <v>674</v>
      </c>
      <c r="BX70" s="1702">
        <v>449</v>
      </c>
      <c r="BY70" s="1511">
        <v>392</v>
      </c>
      <c r="BZ70" s="1511">
        <v>495</v>
      </c>
      <c r="CA70" s="1511">
        <v>430</v>
      </c>
      <c r="CB70" s="1511">
        <v>411</v>
      </c>
      <c r="CC70" s="1511">
        <v>419</v>
      </c>
      <c r="CD70" s="1511">
        <v>996</v>
      </c>
      <c r="CE70" s="1511">
        <v>438</v>
      </c>
      <c r="CF70" s="1511">
        <v>418</v>
      </c>
      <c r="CG70" s="1511">
        <v>574</v>
      </c>
      <c r="CH70" s="1511">
        <v>598</v>
      </c>
      <c r="CI70" s="1513">
        <v>671</v>
      </c>
      <c r="CJ70" s="1703">
        <v>474</v>
      </c>
      <c r="CK70" s="1704">
        <v>485</v>
      </c>
      <c r="CL70" s="1704">
        <v>443</v>
      </c>
      <c r="CM70" s="1704">
        <v>516</v>
      </c>
      <c r="CN70" s="1704">
        <v>447</v>
      </c>
      <c r="CO70" s="1704">
        <v>401</v>
      </c>
      <c r="CP70" s="1704">
        <v>1000</v>
      </c>
      <c r="CQ70" s="1704">
        <v>403</v>
      </c>
      <c r="CR70" s="1704">
        <v>432</v>
      </c>
      <c r="CS70" s="1704">
        <v>612</v>
      </c>
      <c r="CT70" s="1704">
        <v>615</v>
      </c>
      <c r="CU70" s="1705">
        <v>638</v>
      </c>
      <c r="CV70" s="1703">
        <v>514</v>
      </c>
      <c r="CW70" s="1704">
        <v>443</v>
      </c>
      <c r="CX70" s="1510">
        <v>472</v>
      </c>
      <c r="CY70" s="1510">
        <v>513</v>
      </c>
      <c r="CZ70" s="1510">
        <v>444</v>
      </c>
      <c r="DA70" s="1510">
        <v>445</v>
      </c>
      <c r="DB70" s="1510">
        <v>1074</v>
      </c>
      <c r="DC70" s="1510">
        <v>403</v>
      </c>
      <c r="DD70" s="1510">
        <v>441</v>
      </c>
      <c r="DE70" s="1510">
        <v>599</v>
      </c>
      <c r="DF70" s="1510">
        <v>582</v>
      </c>
      <c r="DG70" s="1705">
        <v>596</v>
      </c>
      <c r="DH70" s="1706">
        <v>566</v>
      </c>
      <c r="DI70" s="1707">
        <v>575</v>
      </c>
      <c r="DJ70" s="1707">
        <v>533</v>
      </c>
      <c r="DK70" s="1708">
        <v>489</v>
      </c>
      <c r="DL70" s="1708">
        <v>387</v>
      </c>
      <c r="DM70" s="1708">
        <v>383</v>
      </c>
      <c r="DN70" s="1708">
        <v>1133</v>
      </c>
      <c r="DO70" s="1708">
        <v>480</v>
      </c>
      <c r="DP70" s="1708">
        <v>390</v>
      </c>
      <c r="DQ70" s="1708">
        <v>692</v>
      </c>
      <c r="DR70" s="1708">
        <v>501</v>
      </c>
      <c r="DS70" s="1709">
        <v>545</v>
      </c>
      <c r="DT70" s="1683">
        <v>510</v>
      </c>
      <c r="DU70" s="1502">
        <v>457</v>
      </c>
      <c r="DV70" s="1502">
        <v>436</v>
      </c>
      <c r="DW70" s="1487">
        <v>611</v>
      </c>
      <c r="DX70" s="1487">
        <v>335</v>
      </c>
      <c r="DY70" s="1487">
        <v>452</v>
      </c>
      <c r="DZ70" s="1487">
        <v>981</v>
      </c>
      <c r="EA70" s="1487">
        <v>427</v>
      </c>
      <c r="EB70" s="1487">
        <v>447</v>
      </c>
      <c r="EC70" s="1487">
        <v>575</v>
      </c>
      <c r="ED70" s="1487">
        <v>478</v>
      </c>
      <c r="EE70" s="1486">
        <v>579</v>
      </c>
      <c r="EF70" s="1927">
        <v>507</v>
      </c>
      <c r="EG70" s="34">
        <v>534</v>
      </c>
      <c r="EH70" s="34">
        <v>515</v>
      </c>
      <c r="EI70" s="34">
        <v>487</v>
      </c>
      <c r="EJ70" s="34">
        <v>373</v>
      </c>
      <c r="EK70" s="34">
        <v>437</v>
      </c>
      <c r="EL70" s="34">
        <v>1093</v>
      </c>
      <c r="EM70" s="2345">
        <v>415</v>
      </c>
      <c r="EN70" s="2345">
        <v>526</v>
      </c>
      <c r="EO70" s="2346">
        <v>655</v>
      </c>
      <c r="EP70" s="2346">
        <v>579</v>
      </c>
      <c r="EQ70" s="2347">
        <v>714</v>
      </c>
      <c r="ER70" s="3109">
        <v>500</v>
      </c>
      <c r="ES70" s="3098"/>
      <c r="ET70" s="3098"/>
      <c r="EU70" s="3098"/>
      <c r="EV70" s="3098"/>
      <c r="EW70" s="3098"/>
      <c r="EX70" s="3098"/>
      <c r="EY70" s="3098"/>
      <c r="EZ70" s="3098"/>
      <c r="FA70" s="3098"/>
      <c r="FB70" s="3098"/>
      <c r="FC70" s="3110"/>
      <c r="FD70" s="2437"/>
      <c r="FE70" s="1710">
        <v>1124</v>
      </c>
      <c r="FF70" s="1711">
        <v>985</v>
      </c>
      <c r="FG70" s="1711">
        <v>1560</v>
      </c>
      <c r="FH70" s="1712">
        <v>1467</v>
      </c>
      <c r="FI70" s="1713">
        <v>1510</v>
      </c>
      <c r="FJ70" s="1714">
        <v>1143</v>
      </c>
      <c r="FK70" s="1714">
        <v>1623</v>
      </c>
      <c r="FL70" s="1715">
        <v>1459</v>
      </c>
      <c r="FM70" s="1716">
        <v>1175</v>
      </c>
      <c r="FN70" s="1717">
        <v>1156.5</v>
      </c>
      <c r="FO70" s="1718">
        <v>1724</v>
      </c>
      <c r="FP70" s="1718">
        <v>1479</v>
      </c>
      <c r="FQ70" s="1719">
        <v>1177</v>
      </c>
      <c r="FR70" s="1720">
        <v>1004</v>
      </c>
      <c r="FS70" s="1720">
        <v>1541</v>
      </c>
      <c r="FT70" s="1721">
        <v>1591</v>
      </c>
      <c r="FU70" s="1722">
        <v>1148</v>
      </c>
      <c r="FV70" s="1723">
        <v>1099</v>
      </c>
      <c r="FW70" s="1723">
        <v>1599</v>
      </c>
      <c r="FX70" s="1724">
        <v>1758</v>
      </c>
      <c r="FY70" s="1720">
        <v>1170</v>
      </c>
      <c r="FZ70" s="1720">
        <v>1182</v>
      </c>
      <c r="GA70" s="1720">
        <v>1927</v>
      </c>
      <c r="GB70" s="1720">
        <v>1941</v>
      </c>
      <c r="GC70" s="1725">
        <v>1336</v>
      </c>
      <c r="GD70" s="1725">
        <v>1260</v>
      </c>
      <c r="GE70" s="1725">
        <v>1852</v>
      </c>
      <c r="GF70" s="1725">
        <v>1843</v>
      </c>
      <c r="GG70" s="1726">
        <v>1402</v>
      </c>
      <c r="GH70" s="1726">
        <v>1364</v>
      </c>
      <c r="GI70" s="1726">
        <f t="shared" si="17"/>
        <v>1835</v>
      </c>
      <c r="GJ70" s="1726">
        <v>1865</v>
      </c>
      <c r="GK70" s="1727">
        <v>1429</v>
      </c>
      <c r="GL70" s="1727">
        <f t="shared" si="18"/>
        <v>1402</v>
      </c>
      <c r="GM70" s="1727">
        <f t="shared" si="19"/>
        <v>1918</v>
      </c>
      <c r="GN70" s="1726">
        <f t="shared" si="20"/>
        <v>1777</v>
      </c>
      <c r="GO70" s="1541">
        <f t="shared" si="21"/>
        <v>1674</v>
      </c>
      <c r="GP70" s="1541">
        <f t="shared" si="22"/>
        <v>1259</v>
      </c>
      <c r="GQ70" s="1541">
        <f t="shared" si="23"/>
        <v>2158</v>
      </c>
      <c r="GR70" s="1541">
        <f t="shared" si="24"/>
        <v>1738</v>
      </c>
      <c r="GS70" s="1728">
        <f t="shared" si="25"/>
        <v>1403</v>
      </c>
      <c r="GT70" s="1728">
        <f t="shared" si="26"/>
        <v>1398</v>
      </c>
      <c r="GU70" s="1728">
        <f t="shared" si="27"/>
        <v>1855</v>
      </c>
      <c r="GV70" s="1728">
        <f t="shared" si="28"/>
        <v>1632</v>
      </c>
      <c r="GW70" s="1939">
        <f t="shared" si="29"/>
        <v>1556</v>
      </c>
      <c r="GX70" s="1725">
        <f t="shared" si="30"/>
        <v>1297</v>
      </c>
      <c r="GY70" s="1725">
        <f t="shared" si="31"/>
        <v>2034</v>
      </c>
      <c r="GZ70" s="1725">
        <f t="shared" si="32"/>
        <v>1948</v>
      </c>
      <c r="HA70" s="2443">
        <f t="shared" si="33"/>
        <v>500</v>
      </c>
      <c r="HB70" s="2444">
        <f t="shared" si="34"/>
        <v>0</v>
      </c>
      <c r="HC70" s="2444">
        <f t="shared" si="35"/>
        <v>0</v>
      </c>
      <c r="HD70" s="2444">
        <f t="shared" si="36"/>
        <v>0</v>
      </c>
      <c r="HE70" s="1940"/>
      <c r="HF70" s="1729">
        <v>5136</v>
      </c>
      <c r="HG70" s="1730">
        <v>5735</v>
      </c>
      <c r="HH70" s="1730">
        <v>5534.5</v>
      </c>
      <c r="HI70" s="1730">
        <v>5313</v>
      </c>
      <c r="HJ70" s="1730">
        <v>5604</v>
      </c>
      <c r="HK70" s="1730">
        <v>6220</v>
      </c>
      <c r="HL70" s="2421">
        <v>6291</v>
      </c>
      <c r="HM70" s="2423">
        <v>6466</v>
      </c>
      <c r="HN70" s="2423">
        <f t="shared" si="37"/>
        <v>6526</v>
      </c>
      <c r="HO70" s="2423">
        <f t="shared" si="38"/>
        <v>6674</v>
      </c>
      <c r="HP70" s="2423">
        <f t="shared" si="39"/>
        <v>6288</v>
      </c>
      <c r="HQ70" s="2423">
        <f t="shared" si="40"/>
        <v>6835</v>
      </c>
      <c r="HR70" s="2452">
        <f t="shared" si="41"/>
        <v>500</v>
      </c>
      <c r="HS70" s="2453">
        <f t="shared" si="49"/>
        <v>6828</v>
      </c>
      <c r="HT70" s="2455">
        <f t="shared" si="42"/>
        <v>6602.833333333333</v>
      </c>
      <c r="HU70" s="1737">
        <f t="shared" si="43"/>
        <v>1.0633721356349164E-2</v>
      </c>
      <c r="HV70" s="1737">
        <f t="shared" si="44"/>
        <v>9.6304203660111092E-3</v>
      </c>
      <c r="HW70" s="1737">
        <f t="shared" si="50"/>
        <v>9.8705919900182112E-3</v>
      </c>
      <c r="HX70" s="2458">
        <f t="shared" si="51"/>
        <v>9.5353143835296625E-3</v>
      </c>
      <c r="HY70" s="1734"/>
      <c r="HZ70" s="2302">
        <f t="shared" si="45"/>
        <v>-5.7836379982019737E-2</v>
      </c>
      <c r="IA70" s="2300">
        <f t="shared" si="46"/>
        <v>-1.0663270402557212E-2</v>
      </c>
      <c r="IB70" s="2300">
        <f t="shared" si="47"/>
        <v>8.6991094147582659E-2</v>
      </c>
      <c r="IC70" s="2302">
        <f t="shared" si="48"/>
        <v>-1.0241404535479282E-3</v>
      </c>
    </row>
    <row r="71" spans="1:237" s="341" customFormat="1" ht="21.95" customHeight="1">
      <c r="A71" s="544"/>
      <c r="B71" s="543"/>
      <c r="C71" s="2174" t="s">
        <v>32</v>
      </c>
      <c r="D71" s="1684">
        <v>286</v>
      </c>
      <c r="E71" s="1685">
        <v>223</v>
      </c>
      <c r="F71" s="1685">
        <v>234</v>
      </c>
      <c r="G71" s="1685">
        <v>325</v>
      </c>
      <c r="H71" s="1685">
        <v>318</v>
      </c>
      <c r="I71" s="1685">
        <v>277</v>
      </c>
      <c r="J71" s="1685">
        <v>322</v>
      </c>
      <c r="K71" s="1685">
        <v>300</v>
      </c>
      <c r="L71" s="1685">
        <v>421</v>
      </c>
      <c r="M71" s="1685">
        <v>451</v>
      </c>
      <c r="N71" s="1685">
        <v>458</v>
      </c>
      <c r="O71" s="1686">
        <v>428</v>
      </c>
      <c r="P71" s="1687">
        <v>405</v>
      </c>
      <c r="Q71" s="1688">
        <v>516</v>
      </c>
      <c r="R71" s="1688">
        <v>459</v>
      </c>
      <c r="S71" s="1688">
        <v>570</v>
      </c>
      <c r="T71" s="1688">
        <v>475</v>
      </c>
      <c r="U71" s="1688">
        <v>319</v>
      </c>
      <c r="V71" s="1688">
        <v>354</v>
      </c>
      <c r="W71" s="1688">
        <v>498</v>
      </c>
      <c r="X71" s="1688">
        <v>495</v>
      </c>
      <c r="Y71" s="1688">
        <v>611</v>
      </c>
      <c r="Z71" s="1688">
        <v>484</v>
      </c>
      <c r="AA71" s="1689">
        <v>517</v>
      </c>
      <c r="AB71" s="1690">
        <v>373</v>
      </c>
      <c r="AC71" s="1691">
        <v>273</v>
      </c>
      <c r="AD71" s="1691">
        <v>366</v>
      </c>
      <c r="AE71" s="1691">
        <v>426</v>
      </c>
      <c r="AF71" s="1691">
        <v>404</v>
      </c>
      <c r="AG71" s="1691">
        <v>382</v>
      </c>
      <c r="AH71" s="1691">
        <v>369</v>
      </c>
      <c r="AI71" s="1691">
        <v>469</v>
      </c>
      <c r="AJ71" s="1691">
        <v>494</v>
      </c>
      <c r="AK71" s="1691">
        <v>512</v>
      </c>
      <c r="AL71" s="1691">
        <v>510</v>
      </c>
      <c r="AM71" s="1692">
        <v>568</v>
      </c>
      <c r="AN71" s="1693">
        <v>469</v>
      </c>
      <c r="AO71" s="1694">
        <v>260</v>
      </c>
      <c r="AP71" s="1694">
        <v>424</v>
      </c>
      <c r="AQ71" s="1694">
        <v>545</v>
      </c>
      <c r="AR71" s="1694">
        <v>529</v>
      </c>
      <c r="AS71" s="1694">
        <v>447</v>
      </c>
      <c r="AT71" s="1694">
        <v>422</v>
      </c>
      <c r="AU71" s="1694">
        <v>436</v>
      </c>
      <c r="AV71" s="1694">
        <v>464</v>
      </c>
      <c r="AW71" s="1694">
        <v>558</v>
      </c>
      <c r="AX71" s="1694">
        <v>513</v>
      </c>
      <c r="AY71" s="1695">
        <v>529</v>
      </c>
      <c r="AZ71" s="1680">
        <v>503</v>
      </c>
      <c r="BA71" s="1680">
        <v>295</v>
      </c>
      <c r="BB71" s="1680">
        <v>499</v>
      </c>
      <c r="BC71" s="1680">
        <v>579</v>
      </c>
      <c r="BD71" s="1680">
        <v>572</v>
      </c>
      <c r="BE71" s="1680">
        <v>431</v>
      </c>
      <c r="BF71" s="1680">
        <v>461</v>
      </c>
      <c r="BG71" s="1680">
        <v>457</v>
      </c>
      <c r="BH71" s="1680">
        <v>507</v>
      </c>
      <c r="BI71" s="1680">
        <v>654</v>
      </c>
      <c r="BJ71" s="1680">
        <v>660</v>
      </c>
      <c r="BK71" s="1731">
        <v>629</v>
      </c>
      <c r="BL71" s="1698">
        <v>536</v>
      </c>
      <c r="BM71" s="1699">
        <v>420</v>
      </c>
      <c r="BN71" s="1699">
        <v>480</v>
      </c>
      <c r="BO71" s="1699">
        <v>593</v>
      </c>
      <c r="BP71" s="1699">
        <v>610</v>
      </c>
      <c r="BQ71" s="1699">
        <v>556</v>
      </c>
      <c r="BR71" s="1699">
        <v>521</v>
      </c>
      <c r="BS71" s="1699">
        <v>484</v>
      </c>
      <c r="BT71" s="1700">
        <v>574</v>
      </c>
      <c r="BU71" s="1700">
        <v>718</v>
      </c>
      <c r="BV71" s="1700">
        <v>763</v>
      </c>
      <c r="BW71" s="1701">
        <v>706</v>
      </c>
      <c r="BX71" s="1702">
        <v>565</v>
      </c>
      <c r="BY71" s="1511">
        <v>412</v>
      </c>
      <c r="BZ71" s="1511">
        <v>599</v>
      </c>
      <c r="CA71" s="1511">
        <v>660</v>
      </c>
      <c r="CB71" s="1511">
        <v>613</v>
      </c>
      <c r="CC71" s="1511">
        <v>626</v>
      </c>
      <c r="CD71" s="1511">
        <v>532</v>
      </c>
      <c r="CE71" s="1511">
        <v>589</v>
      </c>
      <c r="CF71" s="1511">
        <v>750</v>
      </c>
      <c r="CG71" s="1511">
        <v>677</v>
      </c>
      <c r="CH71" s="1511">
        <v>706</v>
      </c>
      <c r="CI71" s="1513">
        <v>603</v>
      </c>
      <c r="CJ71" s="1703">
        <v>557</v>
      </c>
      <c r="CK71" s="1704">
        <v>399</v>
      </c>
      <c r="CL71" s="1704">
        <v>522</v>
      </c>
      <c r="CM71" s="1704">
        <v>690</v>
      </c>
      <c r="CN71" s="1704">
        <v>757</v>
      </c>
      <c r="CO71" s="1704">
        <v>705</v>
      </c>
      <c r="CP71" s="1704">
        <v>631</v>
      </c>
      <c r="CQ71" s="1704">
        <v>767</v>
      </c>
      <c r="CR71" s="1704">
        <v>753</v>
      </c>
      <c r="CS71" s="1704">
        <v>725</v>
      </c>
      <c r="CT71" s="1704">
        <v>711</v>
      </c>
      <c r="CU71" s="1705">
        <v>758</v>
      </c>
      <c r="CV71" s="1703">
        <v>729</v>
      </c>
      <c r="CW71" s="1704">
        <v>449</v>
      </c>
      <c r="CX71" s="1510">
        <v>579</v>
      </c>
      <c r="CY71" s="1510">
        <v>650</v>
      </c>
      <c r="CZ71" s="1510">
        <v>806</v>
      </c>
      <c r="DA71" s="1510">
        <v>606</v>
      </c>
      <c r="DB71" s="1510">
        <v>591</v>
      </c>
      <c r="DC71" s="1510">
        <v>464</v>
      </c>
      <c r="DD71" s="1510">
        <v>741</v>
      </c>
      <c r="DE71" s="1510">
        <v>750</v>
      </c>
      <c r="DF71" s="1510">
        <v>556</v>
      </c>
      <c r="DG71" s="1705">
        <v>690</v>
      </c>
      <c r="DH71" s="1706">
        <v>609</v>
      </c>
      <c r="DI71" s="1707">
        <v>395</v>
      </c>
      <c r="DJ71" s="1707">
        <v>546</v>
      </c>
      <c r="DK71" s="1708">
        <v>650</v>
      </c>
      <c r="DL71" s="1708">
        <v>636</v>
      </c>
      <c r="DM71" s="1708">
        <v>511</v>
      </c>
      <c r="DN71" s="1708">
        <v>541</v>
      </c>
      <c r="DO71" s="1708">
        <v>566</v>
      </c>
      <c r="DP71" s="1708">
        <v>606</v>
      </c>
      <c r="DQ71" s="1708">
        <v>811</v>
      </c>
      <c r="DR71" s="1708">
        <v>600</v>
      </c>
      <c r="DS71" s="1709">
        <v>536</v>
      </c>
      <c r="DT71" s="1683">
        <v>502</v>
      </c>
      <c r="DU71" s="1502">
        <v>379</v>
      </c>
      <c r="DV71" s="1502">
        <v>480</v>
      </c>
      <c r="DW71" s="1487">
        <v>624</v>
      </c>
      <c r="DX71" s="1487">
        <v>603</v>
      </c>
      <c r="DY71" s="1487">
        <v>484</v>
      </c>
      <c r="DZ71" s="1487">
        <v>514</v>
      </c>
      <c r="EA71" s="1487">
        <v>473</v>
      </c>
      <c r="EB71" s="1487">
        <v>733</v>
      </c>
      <c r="EC71" s="1487">
        <v>686</v>
      </c>
      <c r="ED71" s="1487">
        <v>593</v>
      </c>
      <c r="EE71" s="1486">
        <v>569</v>
      </c>
      <c r="EF71" s="1927">
        <v>523</v>
      </c>
      <c r="EG71" s="34">
        <v>452</v>
      </c>
      <c r="EH71" s="34">
        <v>441</v>
      </c>
      <c r="EI71" s="34">
        <v>586</v>
      </c>
      <c r="EJ71" s="34">
        <v>641</v>
      </c>
      <c r="EK71" s="34">
        <v>594</v>
      </c>
      <c r="EL71" s="34">
        <v>593</v>
      </c>
      <c r="EM71" s="2345">
        <v>523</v>
      </c>
      <c r="EN71" s="2345">
        <v>644</v>
      </c>
      <c r="EO71" s="2346">
        <v>673</v>
      </c>
      <c r="EP71" s="2346">
        <v>567</v>
      </c>
      <c r="EQ71" s="2347">
        <v>592</v>
      </c>
      <c r="ER71" s="3105">
        <v>571</v>
      </c>
      <c r="ES71" s="3096"/>
      <c r="ET71" s="3096"/>
      <c r="EU71" s="3096"/>
      <c r="EV71" s="3096"/>
      <c r="EW71" s="3096"/>
      <c r="EX71" s="3096"/>
      <c r="EY71" s="3096"/>
      <c r="EZ71" s="3096"/>
      <c r="FA71" s="3096"/>
      <c r="FB71" s="3096"/>
      <c r="FC71" s="3106"/>
      <c r="FD71" s="2437"/>
      <c r="FE71" s="1710">
        <v>743</v>
      </c>
      <c r="FF71" s="1711">
        <v>920</v>
      </c>
      <c r="FG71" s="1711">
        <v>1043</v>
      </c>
      <c r="FH71" s="1712">
        <v>1337</v>
      </c>
      <c r="FI71" s="1713">
        <v>1380</v>
      </c>
      <c r="FJ71" s="1714">
        <v>1364</v>
      </c>
      <c r="FK71" s="1714">
        <v>1347</v>
      </c>
      <c r="FL71" s="1715">
        <v>1612</v>
      </c>
      <c r="FM71" s="1716">
        <v>1012</v>
      </c>
      <c r="FN71" s="1717">
        <v>1212</v>
      </c>
      <c r="FO71" s="1718">
        <v>1332</v>
      </c>
      <c r="FP71" s="1718">
        <v>1590</v>
      </c>
      <c r="FQ71" s="1719">
        <v>1153</v>
      </c>
      <c r="FR71" s="1720">
        <v>1521</v>
      </c>
      <c r="FS71" s="1720">
        <v>1322</v>
      </c>
      <c r="FT71" s="1721">
        <v>1600</v>
      </c>
      <c r="FU71" s="1722">
        <v>1297</v>
      </c>
      <c r="FV71" s="1723">
        <v>1582</v>
      </c>
      <c r="FW71" s="1723">
        <v>1425</v>
      </c>
      <c r="FX71" s="1724">
        <v>1943</v>
      </c>
      <c r="FY71" s="1720">
        <v>1436</v>
      </c>
      <c r="FZ71" s="1720">
        <v>1759</v>
      </c>
      <c r="GA71" s="1720">
        <v>1579</v>
      </c>
      <c r="GB71" s="1720">
        <v>2187</v>
      </c>
      <c r="GC71" s="1725">
        <v>1576</v>
      </c>
      <c r="GD71" s="1725">
        <v>1899</v>
      </c>
      <c r="GE71" s="1725">
        <v>1871</v>
      </c>
      <c r="GF71" s="1725">
        <v>1986</v>
      </c>
      <c r="GG71" s="1726">
        <v>1478</v>
      </c>
      <c r="GH71" s="1726">
        <v>2152</v>
      </c>
      <c r="GI71" s="1726">
        <f t="shared" si="17"/>
        <v>2151</v>
      </c>
      <c r="GJ71" s="1726">
        <v>2194</v>
      </c>
      <c r="GK71" s="1727">
        <v>1757</v>
      </c>
      <c r="GL71" s="1727">
        <f t="shared" si="18"/>
        <v>2062</v>
      </c>
      <c r="GM71" s="1727">
        <f t="shared" si="19"/>
        <v>1796</v>
      </c>
      <c r="GN71" s="1726">
        <f t="shared" si="20"/>
        <v>1996</v>
      </c>
      <c r="GO71" s="1541">
        <f t="shared" si="21"/>
        <v>1550</v>
      </c>
      <c r="GP71" s="1541">
        <f t="shared" si="22"/>
        <v>1797</v>
      </c>
      <c r="GQ71" s="1541">
        <f t="shared" si="23"/>
        <v>1643</v>
      </c>
      <c r="GR71" s="1541">
        <f t="shared" si="24"/>
        <v>1947</v>
      </c>
      <c r="GS71" s="1728">
        <f t="shared" si="25"/>
        <v>1361</v>
      </c>
      <c r="GT71" s="1728">
        <f t="shared" si="26"/>
        <v>1711</v>
      </c>
      <c r="GU71" s="1728">
        <f t="shared" si="27"/>
        <v>1720</v>
      </c>
      <c r="GV71" s="1728">
        <f t="shared" si="28"/>
        <v>1848</v>
      </c>
      <c r="GW71" s="1939">
        <f t="shared" si="29"/>
        <v>1416</v>
      </c>
      <c r="GX71" s="1725">
        <f t="shared" si="30"/>
        <v>1821</v>
      </c>
      <c r="GY71" s="1725">
        <f t="shared" si="31"/>
        <v>1760</v>
      </c>
      <c r="GZ71" s="1725">
        <f t="shared" si="32"/>
        <v>1832</v>
      </c>
      <c r="HA71" s="2443">
        <f t="shared" si="33"/>
        <v>571</v>
      </c>
      <c r="HB71" s="2444">
        <f t="shared" si="34"/>
        <v>0</v>
      </c>
      <c r="HC71" s="2444">
        <f t="shared" si="35"/>
        <v>0</v>
      </c>
      <c r="HD71" s="2444">
        <f t="shared" si="36"/>
        <v>0</v>
      </c>
      <c r="HE71" s="1940"/>
      <c r="HF71" s="1729">
        <v>4043</v>
      </c>
      <c r="HG71" s="1730">
        <v>5703</v>
      </c>
      <c r="HH71" s="1730">
        <v>5146</v>
      </c>
      <c r="HI71" s="1730">
        <v>5596</v>
      </c>
      <c r="HJ71" s="1730">
        <v>6247</v>
      </c>
      <c r="HK71" s="1730">
        <v>6961</v>
      </c>
      <c r="HL71" s="2421">
        <v>7332</v>
      </c>
      <c r="HM71" s="2423">
        <v>7975</v>
      </c>
      <c r="HN71" s="2423">
        <f t="shared" si="37"/>
        <v>7611</v>
      </c>
      <c r="HO71" s="2423">
        <f t="shared" si="38"/>
        <v>7007</v>
      </c>
      <c r="HP71" s="2423">
        <f t="shared" si="39"/>
        <v>6640</v>
      </c>
      <c r="HQ71" s="2423">
        <f t="shared" si="40"/>
        <v>6829</v>
      </c>
      <c r="HR71" s="2452">
        <f t="shared" si="41"/>
        <v>571</v>
      </c>
      <c r="HS71" s="2453">
        <f t="shared" si="49"/>
        <v>6877</v>
      </c>
      <c r="HT71" s="2455">
        <f t="shared" si="42"/>
        <v>7156.5</v>
      </c>
      <c r="HU71" s="1737">
        <f t="shared" si="43"/>
        <v>1.1164292110269492E-2</v>
      </c>
      <c r="HV71" s="1737">
        <f t="shared" si="44"/>
        <v>1.0169527867416312E-2</v>
      </c>
      <c r="HW71" s="1737">
        <f t="shared" si="50"/>
        <v>9.8619272421118301E-3</v>
      </c>
      <c r="HX71" s="2458">
        <f t="shared" si="51"/>
        <v>1.0334878065335087E-2</v>
      </c>
      <c r="HY71" s="1734"/>
      <c r="HZ71" s="2302">
        <f t="shared" si="45"/>
        <v>-5.2376195233338141E-2</v>
      </c>
      <c r="IA71" s="2300">
        <f t="shared" si="46"/>
        <v>2.1335807050092859E-2</v>
      </c>
      <c r="IB71" s="2300">
        <f t="shared" si="47"/>
        <v>2.8463855421686723E-2</v>
      </c>
      <c r="IC71" s="2302">
        <f t="shared" si="48"/>
        <v>7.0288475618685009E-3</v>
      </c>
    </row>
    <row r="72" spans="1:237" s="341" customFormat="1" ht="21.95" customHeight="1">
      <c r="A72" s="370"/>
      <c r="C72" s="557" t="s">
        <v>22</v>
      </c>
      <c r="D72" s="1684">
        <v>113</v>
      </c>
      <c r="E72" s="1685">
        <v>80</v>
      </c>
      <c r="F72" s="1685">
        <v>131</v>
      </c>
      <c r="G72" s="1685">
        <v>89</v>
      </c>
      <c r="H72" s="1685">
        <v>83</v>
      </c>
      <c r="I72" s="1685">
        <v>111</v>
      </c>
      <c r="J72" s="1685">
        <v>125</v>
      </c>
      <c r="K72" s="1685">
        <v>125</v>
      </c>
      <c r="L72" s="1685">
        <v>216</v>
      </c>
      <c r="M72" s="1685">
        <v>145</v>
      </c>
      <c r="N72" s="1685">
        <v>163</v>
      </c>
      <c r="O72" s="1686">
        <v>118</v>
      </c>
      <c r="P72" s="1687">
        <v>101</v>
      </c>
      <c r="Q72" s="1688">
        <v>137</v>
      </c>
      <c r="R72" s="1688">
        <v>136</v>
      </c>
      <c r="S72" s="1688">
        <v>129</v>
      </c>
      <c r="T72" s="1688">
        <v>159</v>
      </c>
      <c r="U72" s="1688">
        <v>162</v>
      </c>
      <c r="V72" s="1688">
        <v>179</v>
      </c>
      <c r="W72" s="1688">
        <v>205</v>
      </c>
      <c r="X72" s="1688">
        <v>213</v>
      </c>
      <c r="Y72" s="1688">
        <v>255</v>
      </c>
      <c r="Z72" s="1688">
        <v>461</v>
      </c>
      <c r="AA72" s="1689">
        <v>158</v>
      </c>
      <c r="AB72" s="1690">
        <v>143</v>
      </c>
      <c r="AC72" s="1691">
        <v>169</v>
      </c>
      <c r="AD72" s="1691">
        <v>150</v>
      </c>
      <c r="AE72" s="1691">
        <v>150</v>
      </c>
      <c r="AF72" s="1691">
        <v>149</v>
      </c>
      <c r="AG72" s="1691">
        <v>148</v>
      </c>
      <c r="AH72" s="1691">
        <v>177</v>
      </c>
      <c r="AI72" s="1691">
        <v>202</v>
      </c>
      <c r="AJ72" s="1691">
        <v>177</v>
      </c>
      <c r="AK72" s="1691">
        <v>142</v>
      </c>
      <c r="AL72" s="1691">
        <v>186</v>
      </c>
      <c r="AM72" s="1692">
        <v>313</v>
      </c>
      <c r="AN72" s="1693">
        <v>183</v>
      </c>
      <c r="AO72" s="1694">
        <v>334</v>
      </c>
      <c r="AP72" s="1694">
        <v>252</v>
      </c>
      <c r="AQ72" s="1694">
        <v>204</v>
      </c>
      <c r="AR72" s="1694">
        <v>152</v>
      </c>
      <c r="AS72" s="1694">
        <v>152</v>
      </c>
      <c r="AT72" s="1694">
        <v>230</v>
      </c>
      <c r="AU72" s="1694">
        <v>176</v>
      </c>
      <c r="AV72" s="1694">
        <v>157</v>
      </c>
      <c r="AW72" s="1694">
        <v>172</v>
      </c>
      <c r="AX72" s="1694">
        <v>217</v>
      </c>
      <c r="AY72" s="1695">
        <v>253</v>
      </c>
      <c r="AZ72" s="1680">
        <v>153</v>
      </c>
      <c r="BA72" s="1680">
        <v>142</v>
      </c>
      <c r="BB72" s="1680">
        <v>164</v>
      </c>
      <c r="BC72" s="1680">
        <v>293</v>
      </c>
      <c r="BD72" s="1680">
        <v>171</v>
      </c>
      <c r="BE72" s="1680">
        <v>173</v>
      </c>
      <c r="BF72" s="1680">
        <v>231</v>
      </c>
      <c r="BG72" s="1680">
        <v>197</v>
      </c>
      <c r="BH72" s="1680">
        <v>245</v>
      </c>
      <c r="BI72" s="1680">
        <v>280</v>
      </c>
      <c r="BJ72" s="1680">
        <v>283</v>
      </c>
      <c r="BK72" s="1731">
        <v>243</v>
      </c>
      <c r="BL72" s="1698">
        <v>268</v>
      </c>
      <c r="BM72" s="1699">
        <v>150</v>
      </c>
      <c r="BN72" s="1699">
        <v>224</v>
      </c>
      <c r="BO72" s="1699">
        <v>227</v>
      </c>
      <c r="BP72" s="1699">
        <v>202</v>
      </c>
      <c r="BQ72" s="1699">
        <v>282</v>
      </c>
      <c r="BR72" s="1699">
        <v>254</v>
      </c>
      <c r="BS72" s="1699">
        <v>203</v>
      </c>
      <c r="BT72" s="1700">
        <v>282</v>
      </c>
      <c r="BU72" s="1700">
        <v>257</v>
      </c>
      <c r="BV72" s="1700">
        <v>199</v>
      </c>
      <c r="BW72" s="1701">
        <v>315</v>
      </c>
      <c r="BX72" s="1702">
        <v>272</v>
      </c>
      <c r="BY72" s="1511">
        <v>189</v>
      </c>
      <c r="BZ72" s="1511">
        <v>443</v>
      </c>
      <c r="CA72" s="1511">
        <v>360</v>
      </c>
      <c r="CB72" s="1511">
        <v>387</v>
      </c>
      <c r="CC72" s="1511">
        <v>395</v>
      </c>
      <c r="CD72" s="1511">
        <v>479</v>
      </c>
      <c r="CE72" s="1511">
        <v>345</v>
      </c>
      <c r="CF72" s="1511">
        <v>386</v>
      </c>
      <c r="CG72" s="1511">
        <v>394</v>
      </c>
      <c r="CH72" s="1511">
        <v>424</v>
      </c>
      <c r="CI72" s="1513">
        <v>430</v>
      </c>
      <c r="CJ72" s="1703">
        <v>349</v>
      </c>
      <c r="CK72" s="1704">
        <v>333</v>
      </c>
      <c r="CL72" s="1704">
        <v>286</v>
      </c>
      <c r="CM72" s="1704">
        <v>303</v>
      </c>
      <c r="CN72" s="1704">
        <v>228</v>
      </c>
      <c r="CO72" s="1704">
        <v>316</v>
      </c>
      <c r="CP72" s="1704">
        <v>267</v>
      </c>
      <c r="CQ72" s="1704">
        <v>252</v>
      </c>
      <c r="CR72" s="1704">
        <v>253</v>
      </c>
      <c r="CS72" s="1704">
        <v>338</v>
      </c>
      <c r="CT72" s="1704">
        <v>304</v>
      </c>
      <c r="CU72" s="1705">
        <v>275</v>
      </c>
      <c r="CV72" s="1703">
        <v>278</v>
      </c>
      <c r="CW72" s="1704">
        <v>193</v>
      </c>
      <c r="CX72" s="1510">
        <v>249</v>
      </c>
      <c r="CY72" s="1510">
        <v>229</v>
      </c>
      <c r="CZ72" s="1510">
        <v>231</v>
      </c>
      <c r="DA72" s="1510">
        <v>190</v>
      </c>
      <c r="DB72" s="1510">
        <v>322</v>
      </c>
      <c r="DC72" s="1510">
        <v>196</v>
      </c>
      <c r="DD72" s="1510">
        <v>227</v>
      </c>
      <c r="DE72" s="1510">
        <v>228</v>
      </c>
      <c r="DF72" s="1510">
        <v>256</v>
      </c>
      <c r="DG72" s="1705">
        <v>262</v>
      </c>
      <c r="DH72" s="1706">
        <v>237</v>
      </c>
      <c r="DI72" s="1707">
        <v>168</v>
      </c>
      <c r="DJ72" s="1707">
        <v>204</v>
      </c>
      <c r="DK72" s="1708">
        <v>199</v>
      </c>
      <c r="DL72" s="1708">
        <v>158</v>
      </c>
      <c r="DM72" s="1708">
        <v>188</v>
      </c>
      <c r="DN72" s="1708">
        <v>339</v>
      </c>
      <c r="DO72" s="1708">
        <v>179</v>
      </c>
      <c r="DP72" s="1708">
        <v>185</v>
      </c>
      <c r="DQ72" s="1708">
        <v>315</v>
      </c>
      <c r="DR72" s="1708">
        <v>275</v>
      </c>
      <c r="DS72" s="1709">
        <v>226</v>
      </c>
      <c r="DT72" s="1683">
        <v>390</v>
      </c>
      <c r="DU72" s="1502">
        <v>471</v>
      </c>
      <c r="DV72" s="1502">
        <v>444</v>
      </c>
      <c r="DW72" s="1487">
        <v>759</v>
      </c>
      <c r="DX72" s="1487">
        <v>521</v>
      </c>
      <c r="DY72" s="1487">
        <v>439</v>
      </c>
      <c r="DZ72" s="1487">
        <v>488</v>
      </c>
      <c r="EA72" s="1487">
        <v>356</v>
      </c>
      <c r="EB72" s="1487">
        <v>426</v>
      </c>
      <c r="EC72" s="1487">
        <v>447</v>
      </c>
      <c r="ED72" s="1487">
        <v>495</v>
      </c>
      <c r="EE72" s="1486">
        <v>605</v>
      </c>
      <c r="EF72" s="1927">
        <v>506</v>
      </c>
      <c r="EG72" s="34">
        <v>426</v>
      </c>
      <c r="EH72" s="34">
        <v>456</v>
      </c>
      <c r="EI72" s="34">
        <v>390</v>
      </c>
      <c r="EJ72" s="34">
        <v>427</v>
      </c>
      <c r="EK72" s="34">
        <v>471</v>
      </c>
      <c r="EL72" s="34">
        <v>587</v>
      </c>
      <c r="EM72" s="2345">
        <v>397</v>
      </c>
      <c r="EN72" s="2345">
        <v>461</v>
      </c>
      <c r="EO72" s="2346">
        <v>502</v>
      </c>
      <c r="EP72" s="2346">
        <v>499</v>
      </c>
      <c r="EQ72" s="2347">
        <v>531</v>
      </c>
      <c r="ER72" s="3109">
        <v>495</v>
      </c>
      <c r="ES72" s="3098"/>
      <c r="ET72" s="3098"/>
      <c r="EU72" s="3098"/>
      <c r="EV72" s="3098"/>
      <c r="EW72" s="3098"/>
      <c r="EX72" s="3098"/>
      <c r="EY72" s="3098"/>
      <c r="EZ72" s="3098"/>
      <c r="FA72" s="3098"/>
      <c r="FB72" s="3098"/>
      <c r="FC72" s="3110"/>
      <c r="FD72" s="2437"/>
      <c r="FE72" s="1710">
        <v>324</v>
      </c>
      <c r="FF72" s="1711">
        <v>283</v>
      </c>
      <c r="FG72" s="1711">
        <v>466</v>
      </c>
      <c r="FH72" s="1712">
        <v>426</v>
      </c>
      <c r="FI72" s="1713">
        <v>374</v>
      </c>
      <c r="FJ72" s="1714">
        <v>450</v>
      </c>
      <c r="FK72" s="1714">
        <v>597</v>
      </c>
      <c r="FL72" s="1715">
        <v>874</v>
      </c>
      <c r="FM72" s="1716">
        <v>462</v>
      </c>
      <c r="FN72" s="1717">
        <v>447</v>
      </c>
      <c r="FO72" s="1718">
        <v>556</v>
      </c>
      <c r="FP72" s="1718">
        <v>641</v>
      </c>
      <c r="FQ72" s="1719">
        <v>769</v>
      </c>
      <c r="FR72" s="1720">
        <v>508</v>
      </c>
      <c r="FS72" s="1720">
        <v>563</v>
      </c>
      <c r="FT72" s="1721">
        <v>642</v>
      </c>
      <c r="FU72" s="1722">
        <v>459</v>
      </c>
      <c r="FV72" s="1723">
        <v>637</v>
      </c>
      <c r="FW72" s="1723">
        <v>673</v>
      </c>
      <c r="FX72" s="1724">
        <v>806</v>
      </c>
      <c r="FY72" s="1720">
        <v>642</v>
      </c>
      <c r="FZ72" s="1720">
        <v>711</v>
      </c>
      <c r="GA72" s="1720">
        <v>739</v>
      </c>
      <c r="GB72" s="1720">
        <v>771</v>
      </c>
      <c r="GC72" s="1725">
        <v>904</v>
      </c>
      <c r="GD72" s="1725">
        <v>1142</v>
      </c>
      <c r="GE72" s="1725">
        <v>1210</v>
      </c>
      <c r="GF72" s="1725">
        <v>1248</v>
      </c>
      <c r="GG72" s="1726">
        <v>968</v>
      </c>
      <c r="GH72" s="1726">
        <v>847</v>
      </c>
      <c r="GI72" s="1726">
        <f t="shared" si="17"/>
        <v>772</v>
      </c>
      <c r="GJ72" s="1726">
        <v>917</v>
      </c>
      <c r="GK72" s="1727">
        <v>720</v>
      </c>
      <c r="GL72" s="1727">
        <f t="shared" si="18"/>
        <v>650</v>
      </c>
      <c r="GM72" s="1727">
        <f t="shared" si="19"/>
        <v>745</v>
      </c>
      <c r="GN72" s="1726">
        <f t="shared" si="20"/>
        <v>746</v>
      </c>
      <c r="GO72" s="1541">
        <f t="shared" si="21"/>
        <v>609</v>
      </c>
      <c r="GP72" s="1541">
        <f t="shared" si="22"/>
        <v>545</v>
      </c>
      <c r="GQ72" s="1541">
        <f t="shared" si="23"/>
        <v>744</v>
      </c>
      <c r="GR72" s="1541">
        <f t="shared" si="24"/>
        <v>816</v>
      </c>
      <c r="GS72" s="1728">
        <f t="shared" si="25"/>
        <v>1305</v>
      </c>
      <c r="GT72" s="1728">
        <f t="shared" si="26"/>
        <v>1719</v>
      </c>
      <c r="GU72" s="1728">
        <f t="shared" si="27"/>
        <v>1270</v>
      </c>
      <c r="GV72" s="1728">
        <f t="shared" si="28"/>
        <v>1547</v>
      </c>
      <c r="GW72" s="1939">
        <f t="shared" si="29"/>
        <v>1388</v>
      </c>
      <c r="GX72" s="1725">
        <f t="shared" si="30"/>
        <v>1288</v>
      </c>
      <c r="GY72" s="1725">
        <f t="shared" si="31"/>
        <v>1445</v>
      </c>
      <c r="GZ72" s="1725">
        <f t="shared" si="32"/>
        <v>1532</v>
      </c>
      <c r="HA72" s="2443">
        <f t="shared" si="33"/>
        <v>495</v>
      </c>
      <c r="HB72" s="2444">
        <f t="shared" si="34"/>
        <v>0</v>
      </c>
      <c r="HC72" s="2444">
        <f t="shared" si="35"/>
        <v>0</v>
      </c>
      <c r="HD72" s="2444">
        <f t="shared" si="36"/>
        <v>0</v>
      </c>
      <c r="HE72" s="1940"/>
      <c r="HF72" s="1729">
        <v>1499</v>
      </c>
      <c r="HG72" s="1730">
        <v>2295</v>
      </c>
      <c r="HH72" s="1730">
        <v>2106</v>
      </c>
      <c r="HI72" s="1730">
        <v>2482</v>
      </c>
      <c r="HJ72" s="1730">
        <v>2575</v>
      </c>
      <c r="HK72" s="1730">
        <v>2863</v>
      </c>
      <c r="HL72" s="2421">
        <v>4504</v>
      </c>
      <c r="HM72" s="2423">
        <v>3504</v>
      </c>
      <c r="HN72" s="2423">
        <f t="shared" si="37"/>
        <v>2861</v>
      </c>
      <c r="HO72" s="2423">
        <f t="shared" si="38"/>
        <v>2673</v>
      </c>
      <c r="HP72" s="2423">
        <f t="shared" si="39"/>
        <v>5841</v>
      </c>
      <c r="HQ72" s="2423">
        <f t="shared" si="40"/>
        <v>5653</v>
      </c>
      <c r="HR72" s="2452">
        <f t="shared" si="41"/>
        <v>495</v>
      </c>
      <c r="HS72" s="2453">
        <f t="shared" si="49"/>
        <v>5642</v>
      </c>
      <c r="HT72" s="2455">
        <f t="shared" si="42"/>
        <v>4362.333333333333</v>
      </c>
      <c r="HU72" s="1737">
        <f t="shared" si="43"/>
        <v>4.258905781468582E-3</v>
      </c>
      <c r="HV72" s="1737">
        <f t="shared" si="44"/>
        <v>8.9458151014425724E-3</v>
      </c>
      <c r="HW72" s="1737">
        <f t="shared" si="50"/>
        <v>8.1636366524612935E-3</v>
      </c>
      <c r="HX72" s="2458">
        <f t="shared" si="51"/>
        <v>6.2997531028221561E-3</v>
      </c>
      <c r="HY72" s="1734"/>
      <c r="HZ72" s="2302">
        <f t="shared" si="45"/>
        <v>1.1851851851851851</v>
      </c>
      <c r="IA72" s="2300">
        <f t="shared" si="46"/>
        <v>0.63199900236937268</v>
      </c>
      <c r="IB72" s="2300">
        <f t="shared" si="47"/>
        <v>-3.218626947440506E-2</v>
      </c>
      <c r="IC72" s="2302">
        <f t="shared" si="48"/>
        <v>-1.9458694498496465E-3</v>
      </c>
    </row>
    <row r="73" spans="1:237" s="341" customFormat="1" ht="21.95" customHeight="1">
      <c r="A73" s="370"/>
      <c r="C73" s="557" t="s">
        <v>26</v>
      </c>
      <c r="D73" s="1684">
        <v>191</v>
      </c>
      <c r="E73" s="1685">
        <v>147</v>
      </c>
      <c r="F73" s="1685">
        <v>184</v>
      </c>
      <c r="G73" s="1685">
        <v>164</v>
      </c>
      <c r="H73" s="1685">
        <v>171</v>
      </c>
      <c r="I73" s="1685">
        <v>315</v>
      </c>
      <c r="J73" s="1685">
        <v>438</v>
      </c>
      <c r="K73" s="1685">
        <v>326</v>
      </c>
      <c r="L73" s="1685">
        <v>276</v>
      </c>
      <c r="M73" s="1685">
        <v>312</v>
      </c>
      <c r="N73" s="1685">
        <v>240</v>
      </c>
      <c r="O73" s="1686">
        <v>141</v>
      </c>
      <c r="P73" s="1687">
        <v>227</v>
      </c>
      <c r="Q73" s="1688">
        <v>309</v>
      </c>
      <c r="R73" s="1688">
        <v>244</v>
      </c>
      <c r="S73" s="1688">
        <v>211</v>
      </c>
      <c r="T73" s="1688">
        <v>218</v>
      </c>
      <c r="U73" s="1688">
        <v>331</v>
      </c>
      <c r="V73" s="1688">
        <v>626</v>
      </c>
      <c r="W73" s="1688">
        <v>308</v>
      </c>
      <c r="X73" s="1688">
        <v>265</v>
      </c>
      <c r="Y73" s="1688">
        <v>268</v>
      </c>
      <c r="Z73" s="1688">
        <v>267</v>
      </c>
      <c r="AA73" s="1689">
        <v>167</v>
      </c>
      <c r="AB73" s="1690">
        <v>197</v>
      </c>
      <c r="AC73" s="1691">
        <v>192</v>
      </c>
      <c r="AD73" s="1691">
        <v>173</v>
      </c>
      <c r="AE73" s="1691">
        <v>357</v>
      </c>
      <c r="AF73" s="1691">
        <v>355</v>
      </c>
      <c r="AG73" s="1691">
        <v>353</v>
      </c>
      <c r="AH73" s="1691">
        <v>540</v>
      </c>
      <c r="AI73" s="1691">
        <v>350</v>
      </c>
      <c r="AJ73" s="1691">
        <v>282</v>
      </c>
      <c r="AK73" s="1691">
        <v>316</v>
      </c>
      <c r="AL73" s="1691">
        <v>221</v>
      </c>
      <c r="AM73" s="1692">
        <v>212</v>
      </c>
      <c r="AN73" s="1693">
        <v>233</v>
      </c>
      <c r="AO73" s="1694">
        <v>194</v>
      </c>
      <c r="AP73" s="1694">
        <v>155</v>
      </c>
      <c r="AQ73" s="1694">
        <v>196</v>
      </c>
      <c r="AR73" s="1694">
        <v>171</v>
      </c>
      <c r="AS73" s="1694">
        <v>316</v>
      </c>
      <c r="AT73" s="1694">
        <v>607</v>
      </c>
      <c r="AU73" s="1694">
        <v>289</v>
      </c>
      <c r="AV73" s="1694">
        <v>282</v>
      </c>
      <c r="AW73" s="1694">
        <v>216</v>
      </c>
      <c r="AX73" s="1694">
        <v>267</v>
      </c>
      <c r="AY73" s="1695">
        <v>190</v>
      </c>
      <c r="AZ73" s="1680">
        <v>184</v>
      </c>
      <c r="BA73" s="1680">
        <v>211</v>
      </c>
      <c r="BB73" s="1680">
        <v>169</v>
      </c>
      <c r="BC73" s="1680">
        <v>205</v>
      </c>
      <c r="BD73" s="1680">
        <v>200</v>
      </c>
      <c r="BE73" s="1680">
        <v>313</v>
      </c>
      <c r="BF73" s="1680">
        <v>620</v>
      </c>
      <c r="BG73" s="1680">
        <v>258</v>
      </c>
      <c r="BH73" s="1680">
        <v>275</v>
      </c>
      <c r="BI73" s="1680">
        <v>302</v>
      </c>
      <c r="BJ73" s="1680">
        <v>305</v>
      </c>
      <c r="BK73" s="1731">
        <v>214</v>
      </c>
      <c r="BL73" s="1698">
        <v>196</v>
      </c>
      <c r="BM73" s="1699">
        <v>218</v>
      </c>
      <c r="BN73" s="1699">
        <v>222</v>
      </c>
      <c r="BO73" s="1699">
        <v>155</v>
      </c>
      <c r="BP73" s="1699">
        <v>206</v>
      </c>
      <c r="BQ73" s="1699">
        <v>450</v>
      </c>
      <c r="BR73" s="1699">
        <v>575</v>
      </c>
      <c r="BS73" s="1699">
        <v>291</v>
      </c>
      <c r="BT73" s="1700">
        <v>229</v>
      </c>
      <c r="BU73" s="1700">
        <v>271</v>
      </c>
      <c r="BV73" s="1700">
        <v>261</v>
      </c>
      <c r="BW73" s="1701">
        <v>255</v>
      </c>
      <c r="BX73" s="1702">
        <v>204</v>
      </c>
      <c r="BY73" s="1511">
        <v>192</v>
      </c>
      <c r="BZ73" s="1511">
        <v>280</v>
      </c>
      <c r="CA73" s="1511">
        <v>160</v>
      </c>
      <c r="CB73" s="1511">
        <v>223</v>
      </c>
      <c r="CC73" s="1511">
        <v>404</v>
      </c>
      <c r="CD73" s="1511">
        <v>597</v>
      </c>
      <c r="CE73" s="1511">
        <v>307</v>
      </c>
      <c r="CF73" s="1511">
        <v>259</v>
      </c>
      <c r="CG73" s="1511">
        <v>272</v>
      </c>
      <c r="CH73" s="1511">
        <v>263</v>
      </c>
      <c r="CI73" s="1513">
        <v>290</v>
      </c>
      <c r="CJ73" s="1703">
        <v>251</v>
      </c>
      <c r="CK73" s="1704">
        <v>233</v>
      </c>
      <c r="CL73" s="1704">
        <v>238</v>
      </c>
      <c r="CM73" s="1704">
        <v>277</v>
      </c>
      <c r="CN73" s="1704">
        <v>207</v>
      </c>
      <c r="CO73" s="1704">
        <v>470</v>
      </c>
      <c r="CP73" s="1704">
        <v>549</v>
      </c>
      <c r="CQ73" s="1704">
        <v>239</v>
      </c>
      <c r="CR73" s="1704">
        <v>269</v>
      </c>
      <c r="CS73" s="1704">
        <v>283</v>
      </c>
      <c r="CT73" s="1704">
        <v>246</v>
      </c>
      <c r="CU73" s="1705">
        <v>254</v>
      </c>
      <c r="CV73" s="1703">
        <v>241</v>
      </c>
      <c r="CW73" s="1704">
        <v>223</v>
      </c>
      <c r="CX73" s="1510">
        <v>216</v>
      </c>
      <c r="CY73" s="1510">
        <v>246</v>
      </c>
      <c r="CZ73" s="1510">
        <v>178</v>
      </c>
      <c r="DA73" s="1510">
        <v>422</v>
      </c>
      <c r="DB73" s="1510">
        <v>543</v>
      </c>
      <c r="DC73" s="1510">
        <v>270</v>
      </c>
      <c r="DD73" s="1510">
        <v>258</v>
      </c>
      <c r="DE73" s="1510">
        <v>297</v>
      </c>
      <c r="DF73" s="1510">
        <v>250</v>
      </c>
      <c r="DG73" s="1705">
        <v>227</v>
      </c>
      <c r="DH73" s="1706">
        <v>280</v>
      </c>
      <c r="DI73" s="1707">
        <v>197</v>
      </c>
      <c r="DJ73" s="1707">
        <v>236</v>
      </c>
      <c r="DK73" s="1708">
        <v>158</v>
      </c>
      <c r="DL73" s="1708">
        <v>178</v>
      </c>
      <c r="DM73" s="1708">
        <v>492</v>
      </c>
      <c r="DN73" s="1708">
        <v>634</v>
      </c>
      <c r="DO73" s="1708">
        <v>279</v>
      </c>
      <c r="DP73" s="1708">
        <v>277</v>
      </c>
      <c r="DQ73" s="1708">
        <v>301</v>
      </c>
      <c r="DR73" s="1708">
        <v>213</v>
      </c>
      <c r="DS73" s="1709">
        <v>198</v>
      </c>
      <c r="DT73" s="1683">
        <v>219</v>
      </c>
      <c r="DU73" s="1502">
        <v>171</v>
      </c>
      <c r="DV73" s="1502">
        <v>217</v>
      </c>
      <c r="DW73" s="1487">
        <v>219</v>
      </c>
      <c r="DX73" s="1487">
        <v>146</v>
      </c>
      <c r="DY73" s="1487">
        <v>398</v>
      </c>
      <c r="DZ73" s="1487">
        <v>590</v>
      </c>
      <c r="EA73" s="1487">
        <v>340</v>
      </c>
      <c r="EB73" s="1487">
        <v>296</v>
      </c>
      <c r="EC73" s="1487">
        <v>261</v>
      </c>
      <c r="ED73" s="1487">
        <v>257</v>
      </c>
      <c r="EE73" s="1486">
        <v>209</v>
      </c>
      <c r="EF73" s="1927">
        <v>187</v>
      </c>
      <c r="EG73" s="34">
        <v>221</v>
      </c>
      <c r="EH73" s="34">
        <v>298</v>
      </c>
      <c r="EI73" s="34">
        <v>220</v>
      </c>
      <c r="EJ73" s="34">
        <v>271</v>
      </c>
      <c r="EK73" s="34">
        <v>384</v>
      </c>
      <c r="EL73" s="34">
        <v>705</v>
      </c>
      <c r="EM73" s="2345">
        <v>361</v>
      </c>
      <c r="EN73" s="2345">
        <v>355</v>
      </c>
      <c r="EO73" s="2346">
        <v>351</v>
      </c>
      <c r="EP73" s="2346">
        <v>305</v>
      </c>
      <c r="EQ73" s="2347">
        <v>277</v>
      </c>
      <c r="ER73" s="3109">
        <v>216</v>
      </c>
      <c r="ES73" s="3098"/>
      <c r="ET73" s="3098"/>
      <c r="EU73" s="3098"/>
      <c r="EV73" s="3098"/>
      <c r="EW73" s="3098"/>
      <c r="EX73" s="3098"/>
      <c r="EY73" s="3098"/>
      <c r="EZ73" s="3098"/>
      <c r="FA73" s="3098"/>
      <c r="FB73" s="3098"/>
      <c r="FC73" s="3110"/>
      <c r="FD73" s="2437"/>
      <c r="FE73" s="1710">
        <v>522</v>
      </c>
      <c r="FF73" s="1711">
        <v>650</v>
      </c>
      <c r="FG73" s="1711">
        <v>1040</v>
      </c>
      <c r="FH73" s="1712">
        <v>693</v>
      </c>
      <c r="FI73" s="1713">
        <v>780</v>
      </c>
      <c r="FJ73" s="1714">
        <v>760</v>
      </c>
      <c r="FK73" s="1714">
        <v>1199</v>
      </c>
      <c r="FL73" s="1715">
        <v>702</v>
      </c>
      <c r="FM73" s="1716">
        <v>562</v>
      </c>
      <c r="FN73" s="1717">
        <v>1065</v>
      </c>
      <c r="FO73" s="1718">
        <v>1172</v>
      </c>
      <c r="FP73" s="1718">
        <v>749</v>
      </c>
      <c r="FQ73" s="1719">
        <v>582</v>
      </c>
      <c r="FR73" s="1720">
        <v>683</v>
      </c>
      <c r="FS73" s="1720">
        <v>1178</v>
      </c>
      <c r="FT73" s="1721">
        <v>673</v>
      </c>
      <c r="FU73" s="1722">
        <v>564</v>
      </c>
      <c r="FV73" s="1723">
        <v>718</v>
      </c>
      <c r="FW73" s="1723">
        <v>1153</v>
      </c>
      <c r="FX73" s="1724">
        <v>821</v>
      </c>
      <c r="FY73" s="1720">
        <v>636</v>
      </c>
      <c r="FZ73" s="1720">
        <v>811</v>
      </c>
      <c r="GA73" s="1720">
        <v>1095</v>
      </c>
      <c r="GB73" s="1720">
        <v>787</v>
      </c>
      <c r="GC73" s="1725">
        <v>676</v>
      </c>
      <c r="GD73" s="1725">
        <v>787</v>
      </c>
      <c r="GE73" s="1725">
        <v>1163</v>
      </c>
      <c r="GF73" s="1725">
        <v>825</v>
      </c>
      <c r="GG73" s="1726">
        <v>722</v>
      </c>
      <c r="GH73" s="1726">
        <v>954</v>
      </c>
      <c r="GI73" s="1726">
        <f t="shared" si="17"/>
        <v>1057</v>
      </c>
      <c r="GJ73" s="1726">
        <v>783</v>
      </c>
      <c r="GK73" s="1727">
        <v>680</v>
      </c>
      <c r="GL73" s="1727">
        <f t="shared" si="18"/>
        <v>846</v>
      </c>
      <c r="GM73" s="1727">
        <f t="shared" si="19"/>
        <v>1071</v>
      </c>
      <c r="GN73" s="1726">
        <f t="shared" si="20"/>
        <v>774</v>
      </c>
      <c r="GO73" s="1541">
        <f t="shared" si="21"/>
        <v>713</v>
      </c>
      <c r="GP73" s="1541">
        <f t="shared" si="22"/>
        <v>828</v>
      </c>
      <c r="GQ73" s="1541">
        <f t="shared" si="23"/>
        <v>1111</v>
      </c>
      <c r="GR73" s="1541">
        <f t="shared" si="24"/>
        <v>712</v>
      </c>
      <c r="GS73" s="1728">
        <f t="shared" si="25"/>
        <v>607</v>
      </c>
      <c r="GT73" s="1728">
        <f t="shared" si="26"/>
        <v>763</v>
      </c>
      <c r="GU73" s="1728">
        <f t="shared" si="27"/>
        <v>1226</v>
      </c>
      <c r="GV73" s="1728">
        <f t="shared" si="28"/>
        <v>727</v>
      </c>
      <c r="GW73" s="1939">
        <f t="shared" si="29"/>
        <v>706</v>
      </c>
      <c r="GX73" s="1725">
        <f t="shared" si="30"/>
        <v>875</v>
      </c>
      <c r="GY73" s="1725">
        <f t="shared" si="31"/>
        <v>1421</v>
      </c>
      <c r="GZ73" s="1725">
        <f t="shared" si="32"/>
        <v>933</v>
      </c>
      <c r="HA73" s="2443">
        <f t="shared" si="33"/>
        <v>216</v>
      </c>
      <c r="HB73" s="2444">
        <f t="shared" si="34"/>
        <v>0</v>
      </c>
      <c r="HC73" s="2444">
        <f t="shared" si="35"/>
        <v>0</v>
      </c>
      <c r="HD73" s="2444">
        <f t="shared" si="36"/>
        <v>0</v>
      </c>
      <c r="HE73" s="1940"/>
      <c r="HF73" s="1729">
        <v>2905</v>
      </c>
      <c r="HG73" s="1730">
        <v>3441</v>
      </c>
      <c r="HH73" s="1730">
        <v>3548</v>
      </c>
      <c r="HI73" s="1730">
        <v>3116</v>
      </c>
      <c r="HJ73" s="1730">
        <v>3256</v>
      </c>
      <c r="HK73" s="1730">
        <v>3329</v>
      </c>
      <c r="HL73" s="2421">
        <v>3451</v>
      </c>
      <c r="HM73" s="2423">
        <v>3516</v>
      </c>
      <c r="HN73" s="2423">
        <f t="shared" si="37"/>
        <v>3371</v>
      </c>
      <c r="HO73" s="2423">
        <f t="shared" si="38"/>
        <v>3443</v>
      </c>
      <c r="HP73" s="2423">
        <f t="shared" si="39"/>
        <v>3323</v>
      </c>
      <c r="HQ73" s="2423">
        <f t="shared" si="40"/>
        <v>3935</v>
      </c>
      <c r="HR73" s="2452">
        <f t="shared" si="41"/>
        <v>216</v>
      </c>
      <c r="HS73" s="2453">
        <f t="shared" si="49"/>
        <v>3964</v>
      </c>
      <c r="HT73" s="2455">
        <f t="shared" si="42"/>
        <v>3592</v>
      </c>
      <c r="HU73" s="1737">
        <f t="shared" si="43"/>
        <v>5.4857510683113831E-3</v>
      </c>
      <c r="HV73" s="1737">
        <f t="shared" si="44"/>
        <v>5.0893585999133139E-3</v>
      </c>
      <c r="HW73" s="1737">
        <f t="shared" si="50"/>
        <v>5.6826305019344048E-3</v>
      </c>
      <c r="HX73" s="2458">
        <f t="shared" si="51"/>
        <v>5.1872957466196652E-3</v>
      </c>
      <c r="HY73" s="1734"/>
      <c r="HZ73" s="2302">
        <f t="shared" si="45"/>
        <v>-3.4853325588149908E-2</v>
      </c>
      <c r="IA73" s="2300">
        <f t="shared" si="46"/>
        <v>4.3276212605286135E-2</v>
      </c>
      <c r="IB73" s="2300">
        <f t="shared" si="47"/>
        <v>0.18417092988263617</v>
      </c>
      <c r="IC73" s="2302">
        <f t="shared" si="48"/>
        <v>7.3697585768741636E-3</v>
      </c>
    </row>
    <row r="74" spans="1:237" s="341" customFormat="1" ht="21.95" customHeight="1">
      <c r="A74" s="370"/>
      <c r="C74" s="557" t="s">
        <v>31</v>
      </c>
      <c r="D74" s="1684">
        <v>164</v>
      </c>
      <c r="E74" s="1685">
        <v>248</v>
      </c>
      <c r="F74" s="1685">
        <v>234</v>
      </c>
      <c r="G74" s="1685">
        <v>208</v>
      </c>
      <c r="H74" s="1685">
        <v>139</v>
      </c>
      <c r="I74" s="1685">
        <v>167</v>
      </c>
      <c r="J74" s="1685">
        <v>217</v>
      </c>
      <c r="K74" s="1685">
        <v>310</v>
      </c>
      <c r="L74" s="1685">
        <v>201</v>
      </c>
      <c r="M74" s="1685">
        <v>197</v>
      </c>
      <c r="N74" s="1685">
        <v>288</v>
      </c>
      <c r="O74" s="1686">
        <v>260</v>
      </c>
      <c r="P74" s="1687">
        <v>271</v>
      </c>
      <c r="Q74" s="1688">
        <v>459</v>
      </c>
      <c r="R74" s="1688">
        <v>298</v>
      </c>
      <c r="S74" s="1688">
        <v>187</v>
      </c>
      <c r="T74" s="1688">
        <v>206</v>
      </c>
      <c r="U74" s="1688">
        <v>261</v>
      </c>
      <c r="V74" s="1688">
        <v>251</v>
      </c>
      <c r="W74" s="1688">
        <v>413</v>
      </c>
      <c r="X74" s="1688">
        <v>500</v>
      </c>
      <c r="Y74" s="1688">
        <v>268</v>
      </c>
      <c r="Z74" s="1688">
        <v>279</v>
      </c>
      <c r="AA74" s="1689">
        <v>284</v>
      </c>
      <c r="AB74" s="1690">
        <v>231</v>
      </c>
      <c r="AC74" s="1691">
        <v>272</v>
      </c>
      <c r="AD74" s="1691">
        <v>309</v>
      </c>
      <c r="AE74" s="1691">
        <v>217</v>
      </c>
      <c r="AF74" s="1691">
        <v>201.5</v>
      </c>
      <c r="AG74" s="1691">
        <v>186</v>
      </c>
      <c r="AH74" s="1691">
        <v>319</v>
      </c>
      <c r="AI74" s="1691">
        <v>287</v>
      </c>
      <c r="AJ74" s="1691">
        <v>355</v>
      </c>
      <c r="AK74" s="1691">
        <v>237</v>
      </c>
      <c r="AL74" s="1691">
        <v>212</v>
      </c>
      <c r="AM74" s="1692">
        <v>284</v>
      </c>
      <c r="AN74" s="1693">
        <v>214</v>
      </c>
      <c r="AO74" s="1694">
        <v>229</v>
      </c>
      <c r="AP74" s="1694">
        <v>253</v>
      </c>
      <c r="AQ74" s="1694">
        <v>222</v>
      </c>
      <c r="AR74" s="1694">
        <v>206</v>
      </c>
      <c r="AS74" s="1694">
        <v>292</v>
      </c>
      <c r="AT74" s="1694">
        <v>267</v>
      </c>
      <c r="AU74" s="1694">
        <v>293</v>
      </c>
      <c r="AV74" s="1694">
        <v>423</v>
      </c>
      <c r="AW74" s="1694">
        <v>147</v>
      </c>
      <c r="AX74" s="1694">
        <v>234</v>
      </c>
      <c r="AY74" s="1695">
        <v>268</v>
      </c>
      <c r="AZ74" s="1680">
        <v>162</v>
      </c>
      <c r="BA74" s="1680">
        <v>261</v>
      </c>
      <c r="BB74" s="1680">
        <v>238</v>
      </c>
      <c r="BC74" s="1680">
        <v>206</v>
      </c>
      <c r="BD74" s="1680">
        <v>181</v>
      </c>
      <c r="BE74" s="1680">
        <v>178</v>
      </c>
      <c r="BF74" s="1680">
        <v>207</v>
      </c>
      <c r="BG74" s="1680">
        <v>327</v>
      </c>
      <c r="BH74" s="1680">
        <v>363</v>
      </c>
      <c r="BI74" s="1680">
        <v>308</v>
      </c>
      <c r="BJ74" s="1680">
        <v>257</v>
      </c>
      <c r="BK74" s="1731">
        <v>318</v>
      </c>
      <c r="BL74" s="1698">
        <v>174</v>
      </c>
      <c r="BM74" s="1699">
        <v>210</v>
      </c>
      <c r="BN74" s="1699">
        <v>273</v>
      </c>
      <c r="BO74" s="1699">
        <v>245</v>
      </c>
      <c r="BP74" s="1699">
        <v>198</v>
      </c>
      <c r="BQ74" s="1699">
        <v>263</v>
      </c>
      <c r="BR74" s="1699">
        <v>300</v>
      </c>
      <c r="BS74" s="1699">
        <v>322</v>
      </c>
      <c r="BT74" s="1700">
        <v>392</v>
      </c>
      <c r="BU74" s="1700">
        <v>304</v>
      </c>
      <c r="BV74" s="1700">
        <v>226</v>
      </c>
      <c r="BW74" s="1701">
        <v>380</v>
      </c>
      <c r="BX74" s="1702">
        <v>246</v>
      </c>
      <c r="BY74" s="1511">
        <v>230</v>
      </c>
      <c r="BZ74" s="1511">
        <v>250</v>
      </c>
      <c r="CA74" s="1511">
        <v>268</v>
      </c>
      <c r="CB74" s="1511">
        <v>172</v>
      </c>
      <c r="CC74" s="1511">
        <v>227</v>
      </c>
      <c r="CD74" s="1511">
        <v>231</v>
      </c>
      <c r="CE74" s="1511">
        <v>305</v>
      </c>
      <c r="CF74" s="1511">
        <v>386</v>
      </c>
      <c r="CG74" s="1511">
        <v>233</v>
      </c>
      <c r="CH74" s="1511">
        <v>295</v>
      </c>
      <c r="CI74" s="1513">
        <v>399</v>
      </c>
      <c r="CJ74" s="1703">
        <v>275</v>
      </c>
      <c r="CK74" s="1704">
        <v>249</v>
      </c>
      <c r="CL74" s="1704">
        <v>305</v>
      </c>
      <c r="CM74" s="1704">
        <v>246</v>
      </c>
      <c r="CN74" s="1704">
        <v>181</v>
      </c>
      <c r="CO74" s="1704">
        <v>184</v>
      </c>
      <c r="CP74" s="1704">
        <v>215</v>
      </c>
      <c r="CQ74" s="1704">
        <v>314</v>
      </c>
      <c r="CR74" s="1704">
        <v>322</v>
      </c>
      <c r="CS74" s="1704">
        <v>214</v>
      </c>
      <c r="CT74" s="1704">
        <v>237</v>
      </c>
      <c r="CU74" s="1705">
        <v>326</v>
      </c>
      <c r="CV74" s="1703">
        <v>273</v>
      </c>
      <c r="CW74" s="1704">
        <v>301</v>
      </c>
      <c r="CX74" s="1510">
        <v>306</v>
      </c>
      <c r="CY74" s="1510">
        <v>203</v>
      </c>
      <c r="CZ74" s="1510">
        <v>196</v>
      </c>
      <c r="DA74" s="1510">
        <v>197</v>
      </c>
      <c r="DB74" s="1510">
        <v>197</v>
      </c>
      <c r="DC74" s="1510">
        <v>250</v>
      </c>
      <c r="DD74" s="1510">
        <v>472</v>
      </c>
      <c r="DE74" s="1510">
        <v>190</v>
      </c>
      <c r="DF74" s="1510">
        <v>234</v>
      </c>
      <c r="DG74" s="1705">
        <v>286</v>
      </c>
      <c r="DH74" s="1706">
        <v>237</v>
      </c>
      <c r="DI74" s="1707">
        <v>251</v>
      </c>
      <c r="DJ74" s="1707">
        <v>266</v>
      </c>
      <c r="DK74" s="1708">
        <v>190</v>
      </c>
      <c r="DL74" s="1708">
        <v>172</v>
      </c>
      <c r="DM74" s="1708">
        <v>158</v>
      </c>
      <c r="DN74" s="1708">
        <v>217</v>
      </c>
      <c r="DO74" s="1708">
        <v>207</v>
      </c>
      <c r="DP74" s="1708">
        <v>256</v>
      </c>
      <c r="DQ74" s="1708">
        <v>294</v>
      </c>
      <c r="DR74" s="1708">
        <v>242</v>
      </c>
      <c r="DS74" s="1709">
        <v>290</v>
      </c>
      <c r="DT74" s="1683">
        <v>219</v>
      </c>
      <c r="DU74" s="1502">
        <v>224</v>
      </c>
      <c r="DV74" s="1502">
        <v>359</v>
      </c>
      <c r="DW74" s="1487">
        <v>236</v>
      </c>
      <c r="DX74" s="1487">
        <v>164</v>
      </c>
      <c r="DY74" s="1487">
        <v>225</v>
      </c>
      <c r="DZ74" s="1487">
        <v>222</v>
      </c>
      <c r="EA74" s="1487">
        <v>330</v>
      </c>
      <c r="EB74" s="1487">
        <v>234</v>
      </c>
      <c r="EC74" s="1487">
        <v>240</v>
      </c>
      <c r="ED74" s="1487">
        <v>328</v>
      </c>
      <c r="EE74" s="1486">
        <v>327</v>
      </c>
      <c r="EF74" s="1927">
        <v>253</v>
      </c>
      <c r="EG74" s="34">
        <v>276</v>
      </c>
      <c r="EH74" s="34">
        <v>394</v>
      </c>
      <c r="EI74" s="34">
        <v>291</v>
      </c>
      <c r="EJ74" s="34">
        <v>230</v>
      </c>
      <c r="EK74" s="34">
        <v>294</v>
      </c>
      <c r="EL74" s="34">
        <v>286</v>
      </c>
      <c r="EM74" s="2345">
        <v>421</v>
      </c>
      <c r="EN74" s="2345">
        <v>364</v>
      </c>
      <c r="EO74" s="2346">
        <v>252</v>
      </c>
      <c r="EP74" s="2346">
        <v>303</v>
      </c>
      <c r="EQ74" s="2347">
        <v>333</v>
      </c>
      <c r="ER74" s="3109">
        <v>227</v>
      </c>
      <c r="ES74" s="3098"/>
      <c r="ET74" s="3098"/>
      <c r="EU74" s="3098"/>
      <c r="EV74" s="3098"/>
      <c r="EW74" s="3098"/>
      <c r="EX74" s="3098"/>
      <c r="EY74" s="3098"/>
      <c r="EZ74" s="3098"/>
      <c r="FA74" s="3098"/>
      <c r="FB74" s="3098"/>
      <c r="FC74" s="3110"/>
      <c r="FD74" s="2437"/>
      <c r="FE74" s="1710">
        <v>646</v>
      </c>
      <c r="FF74" s="1711">
        <v>514</v>
      </c>
      <c r="FG74" s="1711">
        <v>728</v>
      </c>
      <c r="FH74" s="1712">
        <v>745</v>
      </c>
      <c r="FI74" s="1713">
        <v>1028</v>
      </c>
      <c r="FJ74" s="1714">
        <v>654</v>
      </c>
      <c r="FK74" s="1714">
        <v>1164</v>
      </c>
      <c r="FL74" s="1715">
        <v>831</v>
      </c>
      <c r="FM74" s="1716">
        <v>812</v>
      </c>
      <c r="FN74" s="1717">
        <v>604.5</v>
      </c>
      <c r="FO74" s="1718">
        <v>961</v>
      </c>
      <c r="FP74" s="1718">
        <v>733</v>
      </c>
      <c r="FQ74" s="1719">
        <v>696</v>
      </c>
      <c r="FR74" s="1720">
        <v>720</v>
      </c>
      <c r="FS74" s="1720">
        <v>983</v>
      </c>
      <c r="FT74" s="1721">
        <v>649</v>
      </c>
      <c r="FU74" s="1722">
        <v>661</v>
      </c>
      <c r="FV74" s="1723">
        <v>565</v>
      </c>
      <c r="FW74" s="1723">
        <v>897</v>
      </c>
      <c r="FX74" s="1724">
        <v>883</v>
      </c>
      <c r="FY74" s="1720">
        <v>657</v>
      </c>
      <c r="FZ74" s="1720">
        <v>706</v>
      </c>
      <c r="GA74" s="1720">
        <v>1014</v>
      </c>
      <c r="GB74" s="1720">
        <v>910</v>
      </c>
      <c r="GC74" s="1725">
        <v>726</v>
      </c>
      <c r="GD74" s="1725">
        <v>667</v>
      </c>
      <c r="GE74" s="1725">
        <v>922</v>
      </c>
      <c r="GF74" s="1725">
        <v>927</v>
      </c>
      <c r="GG74" s="1726">
        <v>829</v>
      </c>
      <c r="GH74" s="1726">
        <v>611</v>
      </c>
      <c r="GI74" s="1726">
        <f t="shared" si="17"/>
        <v>851</v>
      </c>
      <c r="GJ74" s="1726">
        <v>777</v>
      </c>
      <c r="GK74" s="1727">
        <v>880</v>
      </c>
      <c r="GL74" s="1727">
        <f t="shared" si="18"/>
        <v>596</v>
      </c>
      <c r="GM74" s="1727">
        <f t="shared" si="19"/>
        <v>919</v>
      </c>
      <c r="GN74" s="1726">
        <f t="shared" si="20"/>
        <v>710</v>
      </c>
      <c r="GO74" s="1541">
        <f t="shared" si="21"/>
        <v>754</v>
      </c>
      <c r="GP74" s="1541">
        <f t="shared" si="22"/>
        <v>520</v>
      </c>
      <c r="GQ74" s="1541">
        <f t="shared" si="23"/>
        <v>714</v>
      </c>
      <c r="GR74" s="1541">
        <f t="shared" si="24"/>
        <v>826</v>
      </c>
      <c r="GS74" s="1728">
        <f t="shared" si="25"/>
        <v>802</v>
      </c>
      <c r="GT74" s="1728">
        <f t="shared" si="26"/>
        <v>625</v>
      </c>
      <c r="GU74" s="1728">
        <f t="shared" si="27"/>
        <v>786</v>
      </c>
      <c r="GV74" s="1728">
        <f t="shared" si="28"/>
        <v>895</v>
      </c>
      <c r="GW74" s="1939">
        <f t="shared" si="29"/>
        <v>923</v>
      </c>
      <c r="GX74" s="1725">
        <f t="shared" si="30"/>
        <v>815</v>
      </c>
      <c r="GY74" s="1725">
        <f t="shared" si="31"/>
        <v>1071</v>
      </c>
      <c r="GZ74" s="1725">
        <f t="shared" si="32"/>
        <v>888</v>
      </c>
      <c r="HA74" s="2443">
        <f t="shared" si="33"/>
        <v>227</v>
      </c>
      <c r="HB74" s="2444">
        <f t="shared" si="34"/>
        <v>0</v>
      </c>
      <c r="HC74" s="2444">
        <f t="shared" si="35"/>
        <v>0</v>
      </c>
      <c r="HD74" s="2444">
        <f t="shared" si="36"/>
        <v>0</v>
      </c>
      <c r="HE74" s="1940"/>
      <c r="HF74" s="1729">
        <v>2633</v>
      </c>
      <c r="HG74" s="1730">
        <v>3677</v>
      </c>
      <c r="HH74" s="1730">
        <v>3110.5</v>
      </c>
      <c r="HI74" s="1730">
        <v>3048</v>
      </c>
      <c r="HJ74" s="1730">
        <v>3006</v>
      </c>
      <c r="HK74" s="1730">
        <v>3287</v>
      </c>
      <c r="HL74" s="2421">
        <v>3242</v>
      </c>
      <c r="HM74" s="2423">
        <v>3068</v>
      </c>
      <c r="HN74" s="2423">
        <f t="shared" si="37"/>
        <v>3105</v>
      </c>
      <c r="HO74" s="2423">
        <f t="shared" si="38"/>
        <v>2780</v>
      </c>
      <c r="HP74" s="2423">
        <f t="shared" si="39"/>
        <v>3108</v>
      </c>
      <c r="HQ74" s="2423">
        <f t="shared" si="40"/>
        <v>3697</v>
      </c>
      <c r="HR74" s="2452">
        <f t="shared" si="41"/>
        <v>227</v>
      </c>
      <c r="HS74" s="2453">
        <f t="shared" si="49"/>
        <v>3671</v>
      </c>
      <c r="HT74" s="2455">
        <f t="shared" si="42"/>
        <v>3238.1666666666665</v>
      </c>
      <c r="HU74" s="1737">
        <f t="shared" si="43"/>
        <v>4.4293894771727108E-3</v>
      </c>
      <c r="HV74" s="1737">
        <f t="shared" si="44"/>
        <v>4.7600741885436594E-3</v>
      </c>
      <c r="HW74" s="1737">
        <f t="shared" si="50"/>
        <v>5.3389288349813199E-3</v>
      </c>
      <c r="HX74" s="2458">
        <f t="shared" si="51"/>
        <v>4.6763163075850718E-3</v>
      </c>
      <c r="HY74" s="1734"/>
      <c r="HZ74" s="2302">
        <f t="shared" si="45"/>
        <v>0.11798561151079134</v>
      </c>
      <c r="IA74" s="2300">
        <f t="shared" si="46"/>
        <v>0.16480815347721811</v>
      </c>
      <c r="IB74" s="2300">
        <f t="shared" si="47"/>
        <v>0.18951093951093956</v>
      </c>
      <c r="IC74" s="2302">
        <f t="shared" si="48"/>
        <v>-7.0327292399242625E-3</v>
      </c>
    </row>
    <row r="75" spans="1:237" s="341" customFormat="1" ht="21.95" customHeight="1">
      <c r="A75" s="370"/>
      <c r="C75" s="557" t="s">
        <v>19</v>
      </c>
      <c r="D75" s="1684">
        <v>106</v>
      </c>
      <c r="E75" s="1685">
        <v>77</v>
      </c>
      <c r="F75" s="1685">
        <v>164</v>
      </c>
      <c r="G75" s="1685">
        <v>124</v>
      </c>
      <c r="H75" s="1685">
        <v>101</v>
      </c>
      <c r="I75" s="1685">
        <v>151</v>
      </c>
      <c r="J75" s="1685">
        <v>131</v>
      </c>
      <c r="K75" s="1685">
        <v>168</v>
      </c>
      <c r="L75" s="1685">
        <v>204</v>
      </c>
      <c r="M75" s="1685">
        <v>300</v>
      </c>
      <c r="N75" s="1685">
        <v>233</v>
      </c>
      <c r="O75" s="1686">
        <v>211</v>
      </c>
      <c r="P75" s="1687">
        <v>300</v>
      </c>
      <c r="Q75" s="1688">
        <v>404</v>
      </c>
      <c r="R75" s="1688">
        <v>290</v>
      </c>
      <c r="S75" s="1688">
        <v>346</v>
      </c>
      <c r="T75" s="1688">
        <v>350</v>
      </c>
      <c r="U75" s="1688">
        <v>372</v>
      </c>
      <c r="V75" s="1688">
        <v>536</v>
      </c>
      <c r="W75" s="1688">
        <v>619</v>
      </c>
      <c r="X75" s="1688">
        <v>611</v>
      </c>
      <c r="Y75" s="1688">
        <v>684</v>
      </c>
      <c r="Z75" s="1688">
        <v>721</v>
      </c>
      <c r="AA75" s="1689">
        <v>903</v>
      </c>
      <c r="AB75" s="1690">
        <v>1157</v>
      </c>
      <c r="AC75" s="1691">
        <v>1112</v>
      </c>
      <c r="AD75" s="1691">
        <v>1391</v>
      </c>
      <c r="AE75" s="1691">
        <v>1532</v>
      </c>
      <c r="AF75" s="1691">
        <v>1541.5</v>
      </c>
      <c r="AG75" s="1691">
        <v>1551</v>
      </c>
      <c r="AH75" s="1691">
        <v>1371</v>
      </c>
      <c r="AI75" s="1691">
        <v>1483</v>
      </c>
      <c r="AJ75" s="1691">
        <v>1483</v>
      </c>
      <c r="AK75" s="1691">
        <v>1483</v>
      </c>
      <c r="AL75" s="1691">
        <v>1508</v>
      </c>
      <c r="AM75" s="1692">
        <v>1112</v>
      </c>
      <c r="AN75" s="1693">
        <v>1670</v>
      </c>
      <c r="AO75" s="1694">
        <v>1244</v>
      </c>
      <c r="AP75" s="1694">
        <v>1508</v>
      </c>
      <c r="AQ75" s="1694">
        <v>1345</v>
      </c>
      <c r="AR75" s="1694">
        <v>1092</v>
      </c>
      <c r="AS75" s="1694">
        <v>1109</v>
      </c>
      <c r="AT75" s="1694">
        <v>891</v>
      </c>
      <c r="AU75" s="1694">
        <v>1140</v>
      </c>
      <c r="AV75" s="1694">
        <v>997</v>
      </c>
      <c r="AW75" s="1694">
        <v>1311</v>
      </c>
      <c r="AX75" s="1694">
        <v>1203</v>
      </c>
      <c r="AY75" s="1695">
        <v>960</v>
      </c>
      <c r="AZ75" s="1680">
        <v>992</v>
      </c>
      <c r="BA75" s="1680">
        <v>732</v>
      </c>
      <c r="BB75" s="1680">
        <v>978</v>
      </c>
      <c r="BC75" s="1680">
        <v>817</v>
      </c>
      <c r="BD75" s="1680">
        <v>838</v>
      </c>
      <c r="BE75" s="1680">
        <v>887</v>
      </c>
      <c r="BF75" s="1680">
        <v>692</v>
      </c>
      <c r="BG75" s="1680">
        <v>892</v>
      </c>
      <c r="BH75" s="1680">
        <v>731</v>
      </c>
      <c r="BI75" s="1680">
        <v>750</v>
      </c>
      <c r="BJ75" s="1680">
        <v>871</v>
      </c>
      <c r="BK75" s="1731">
        <v>710</v>
      </c>
      <c r="BL75" s="1698">
        <v>499</v>
      </c>
      <c r="BM75" s="1699">
        <v>499</v>
      </c>
      <c r="BN75" s="1699">
        <v>547</v>
      </c>
      <c r="BO75" s="1699">
        <v>895</v>
      </c>
      <c r="BP75" s="1699">
        <v>771</v>
      </c>
      <c r="BQ75" s="1699">
        <v>1058</v>
      </c>
      <c r="BR75" s="1699">
        <v>888</v>
      </c>
      <c r="BS75" s="1699">
        <v>976</v>
      </c>
      <c r="BT75" s="1700">
        <v>831</v>
      </c>
      <c r="BU75" s="1700">
        <v>1039</v>
      </c>
      <c r="BV75" s="1700">
        <v>1026</v>
      </c>
      <c r="BW75" s="1701">
        <v>1042</v>
      </c>
      <c r="BX75" s="1702">
        <v>750</v>
      </c>
      <c r="BY75" s="1511">
        <v>510</v>
      </c>
      <c r="BZ75" s="1511">
        <v>450</v>
      </c>
      <c r="CA75" s="1511">
        <v>871</v>
      </c>
      <c r="CB75" s="1511">
        <v>931</v>
      </c>
      <c r="CC75" s="1511">
        <v>942</v>
      </c>
      <c r="CD75" s="1511">
        <v>982</v>
      </c>
      <c r="CE75" s="1511">
        <v>1290</v>
      </c>
      <c r="CF75" s="1511">
        <v>1267</v>
      </c>
      <c r="CG75" s="1511">
        <v>1309</v>
      </c>
      <c r="CH75" s="1511">
        <v>1575</v>
      </c>
      <c r="CI75" s="1513">
        <v>1856</v>
      </c>
      <c r="CJ75" s="1703">
        <v>893</v>
      </c>
      <c r="CK75" s="1704">
        <v>801</v>
      </c>
      <c r="CL75" s="1704">
        <v>871</v>
      </c>
      <c r="CM75" s="1704">
        <v>1883</v>
      </c>
      <c r="CN75" s="1704">
        <v>2034</v>
      </c>
      <c r="CO75" s="1704">
        <v>2126</v>
      </c>
      <c r="CP75" s="1704">
        <v>2458</v>
      </c>
      <c r="CQ75" s="1704">
        <v>2398</v>
      </c>
      <c r="CR75" s="1704">
        <v>2644</v>
      </c>
      <c r="CS75" s="1704">
        <v>3590</v>
      </c>
      <c r="CT75" s="1704">
        <v>3991</v>
      </c>
      <c r="CU75" s="1705">
        <v>4790</v>
      </c>
      <c r="CV75" s="1703">
        <v>3360</v>
      </c>
      <c r="CW75" s="1704">
        <v>3179</v>
      </c>
      <c r="CX75" s="1510">
        <v>4515</v>
      </c>
      <c r="CY75" s="1510">
        <v>4321</v>
      </c>
      <c r="CZ75" s="1510">
        <v>4182</v>
      </c>
      <c r="DA75" s="1510">
        <v>4631</v>
      </c>
      <c r="DB75" s="1510">
        <v>4067</v>
      </c>
      <c r="DC75" s="1510">
        <v>3726</v>
      </c>
      <c r="DD75" s="1510">
        <v>5741</v>
      </c>
      <c r="DE75" s="1510">
        <v>5804</v>
      </c>
      <c r="DF75" s="1510">
        <v>9307</v>
      </c>
      <c r="DG75" s="1705">
        <v>5009</v>
      </c>
      <c r="DH75" s="1706">
        <v>1225</v>
      </c>
      <c r="DI75" s="1707">
        <v>2019</v>
      </c>
      <c r="DJ75" s="1707">
        <v>907</v>
      </c>
      <c r="DK75" s="1708">
        <v>278</v>
      </c>
      <c r="DL75" s="1708">
        <v>325</v>
      </c>
      <c r="DM75" s="1708">
        <v>306</v>
      </c>
      <c r="DN75" s="1708">
        <v>246</v>
      </c>
      <c r="DO75" s="1708">
        <v>246</v>
      </c>
      <c r="DP75" s="1708">
        <v>417</v>
      </c>
      <c r="DQ75" s="1708">
        <v>506</v>
      </c>
      <c r="DR75" s="1708">
        <v>429</v>
      </c>
      <c r="DS75" s="1709">
        <v>379</v>
      </c>
      <c r="DT75" s="1683">
        <v>338</v>
      </c>
      <c r="DU75" s="1502">
        <v>315</v>
      </c>
      <c r="DV75" s="1502">
        <v>296</v>
      </c>
      <c r="DW75" s="1487">
        <v>264</v>
      </c>
      <c r="DX75" s="1487">
        <v>350</v>
      </c>
      <c r="DY75" s="1487">
        <v>296</v>
      </c>
      <c r="DZ75" s="1487">
        <v>339</v>
      </c>
      <c r="EA75" s="1487">
        <v>273</v>
      </c>
      <c r="EB75" s="1487">
        <v>322</v>
      </c>
      <c r="EC75" s="1487">
        <v>328</v>
      </c>
      <c r="ED75" s="1487">
        <v>362</v>
      </c>
      <c r="EE75" s="1486">
        <v>330</v>
      </c>
      <c r="EF75" s="1927">
        <v>267</v>
      </c>
      <c r="EG75" s="34">
        <v>279</v>
      </c>
      <c r="EH75" s="34">
        <v>283</v>
      </c>
      <c r="EI75" s="34">
        <v>288</v>
      </c>
      <c r="EJ75" s="34">
        <v>317</v>
      </c>
      <c r="EK75" s="34">
        <v>290</v>
      </c>
      <c r="EL75" s="34">
        <v>325</v>
      </c>
      <c r="EM75" s="2345">
        <v>300</v>
      </c>
      <c r="EN75" s="2345">
        <v>287</v>
      </c>
      <c r="EO75" s="2346">
        <v>320</v>
      </c>
      <c r="EP75" s="2346">
        <v>345</v>
      </c>
      <c r="EQ75" s="2347">
        <v>273</v>
      </c>
      <c r="ER75" s="3109">
        <v>305</v>
      </c>
      <c r="ES75" s="3098"/>
      <c r="ET75" s="3098"/>
      <c r="EU75" s="3098"/>
      <c r="EV75" s="3098"/>
      <c r="EW75" s="3098"/>
      <c r="EX75" s="3098"/>
      <c r="EY75" s="3098"/>
      <c r="EZ75" s="3098"/>
      <c r="FA75" s="3098"/>
      <c r="FB75" s="3098"/>
      <c r="FC75" s="3110"/>
      <c r="FD75" s="2437"/>
      <c r="FE75" s="1710">
        <v>347</v>
      </c>
      <c r="FF75" s="1711">
        <v>376</v>
      </c>
      <c r="FG75" s="1711">
        <v>503</v>
      </c>
      <c r="FH75" s="1712">
        <v>744</v>
      </c>
      <c r="FI75" s="1713">
        <v>994</v>
      </c>
      <c r="FJ75" s="1714">
        <v>1068</v>
      </c>
      <c r="FK75" s="1714">
        <v>1766</v>
      </c>
      <c r="FL75" s="1715">
        <v>2308</v>
      </c>
      <c r="FM75" s="1716">
        <v>3660</v>
      </c>
      <c r="FN75" s="1717">
        <v>4624.5</v>
      </c>
      <c r="FO75" s="1718">
        <v>4337</v>
      </c>
      <c r="FP75" s="1718">
        <v>4103</v>
      </c>
      <c r="FQ75" s="1719">
        <v>4422</v>
      </c>
      <c r="FR75" s="1720">
        <v>3546</v>
      </c>
      <c r="FS75" s="1720">
        <v>3028</v>
      </c>
      <c r="FT75" s="1721">
        <v>3474</v>
      </c>
      <c r="FU75" s="1722">
        <v>2702</v>
      </c>
      <c r="FV75" s="1723">
        <v>2542</v>
      </c>
      <c r="FW75" s="1723">
        <v>2315</v>
      </c>
      <c r="FX75" s="1724">
        <v>2331</v>
      </c>
      <c r="FY75" s="1720">
        <v>1545</v>
      </c>
      <c r="FZ75" s="1720">
        <v>2724</v>
      </c>
      <c r="GA75" s="1720">
        <v>2695</v>
      </c>
      <c r="GB75" s="1720">
        <v>3107</v>
      </c>
      <c r="GC75" s="1725">
        <v>1710</v>
      </c>
      <c r="GD75" s="1725">
        <v>2744</v>
      </c>
      <c r="GE75" s="1725">
        <v>3539</v>
      </c>
      <c r="GF75" s="1725">
        <v>4740</v>
      </c>
      <c r="GG75" s="1726">
        <v>2565</v>
      </c>
      <c r="GH75" s="1726">
        <v>6043</v>
      </c>
      <c r="GI75" s="1726">
        <f t="shared" si="17"/>
        <v>7500</v>
      </c>
      <c r="GJ75" s="1726">
        <v>12371</v>
      </c>
      <c r="GK75" s="1727">
        <v>11054</v>
      </c>
      <c r="GL75" s="1727">
        <f t="shared" si="18"/>
        <v>13134</v>
      </c>
      <c r="GM75" s="1727">
        <f t="shared" si="19"/>
        <v>13534</v>
      </c>
      <c r="GN75" s="1726">
        <f t="shared" si="20"/>
        <v>20120</v>
      </c>
      <c r="GO75" s="1541">
        <f t="shared" si="21"/>
        <v>4151</v>
      </c>
      <c r="GP75" s="1541">
        <f t="shared" si="22"/>
        <v>909</v>
      </c>
      <c r="GQ75" s="1541">
        <f t="shared" si="23"/>
        <v>871</v>
      </c>
      <c r="GR75" s="1541">
        <f t="shared" si="24"/>
        <v>1314</v>
      </c>
      <c r="GS75" s="1728">
        <f t="shared" si="25"/>
        <v>949</v>
      </c>
      <c r="GT75" s="1728">
        <f t="shared" si="26"/>
        <v>910</v>
      </c>
      <c r="GU75" s="1728">
        <f t="shared" si="27"/>
        <v>934</v>
      </c>
      <c r="GV75" s="1728">
        <f t="shared" si="28"/>
        <v>1020</v>
      </c>
      <c r="GW75" s="1939">
        <f t="shared" si="29"/>
        <v>829</v>
      </c>
      <c r="GX75" s="1725">
        <f t="shared" si="30"/>
        <v>895</v>
      </c>
      <c r="GY75" s="1725">
        <f t="shared" si="31"/>
        <v>912</v>
      </c>
      <c r="GZ75" s="1725">
        <f t="shared" si="32"/>
        <v>938</v>
      </c>
      <c r="HA75" s="2443">
        <f t="shared" si="33"/>
        <v>305</v>
      </c>
      <c r="HB75" s="2444">
        <f t="shared" si="34"/>
        <v>0</v>
      </c>
      <c r="HC75" s="2444">
        <f t="shared" si="35"/>
        <v>0</v>
      </c>
      <c r="HD75" s="2444">
        <f t="shared" si="36"/>
        <v>0</v>
      </c>
      <c r="HE75" s="1940"/>
      <c r="HF75" s="1729">
        <v>1970</v>
      </c>
      <c r="HG75" s="1730">
        <v>6136</v>
      </c>
      <c r="HH75" s="1730">
        <v>16724.5</v>
      </c>
      <c r="HI75" s="1730">
        <v>14470</v>
      </c>
      <c r="HJ75" s="1730">
        <v>9890</v>
      </c>
      <c r="HK75" s="1730">
        <v>10071</v>
      </c>
      <c r="HL75" s="2421">
        <v>12733</v>
      </c>
      <c r="HM75" s="2423">
        <v>28479</v>
      </c>
      <c r="HN75" s="2423">
        <f t="shared" si="37"/>
        <v>57842</v>
      </c>
      <c r="HO75" s="2423">
        <f t="shared" si="38"/>
        <v>7283</v>
      </c>
      <c r="HP75" s="2423">
        <f t="shared" si="39"/>
        <v>3813</v>
      </c>
      <c r="HQ75" s="2423">
        <f t="shared" si="40"/>
        <v>3574</v>
      </c>
      <c r="HR75" s="2452">
        <f t="shared" si="41"/>
        <v>305</v>
      </c>
      <c r="HS75" s="2453">
        <f t="shared" si="49"/>
        <v>3612</v>
      </c>
      <c r="HT75" s="2455">
        <f t="shared" si="42"/>
        <v>17433.833333333332</v>
      </c>
      <c r="HU75" s="1737">
        <f t="shared" si="43"/>
        <v>1.1604044446852107E-2</v>
      </c>
      <c r="HV75" s="1737">
        <f t="shared" si="44"/>
        <v>5.839820746755783E-3</v>
      </c>
      <c r="HW75" s="1737">
        <f t="shared" si="50"/>
        <v>5.1613015029005243E-3</v>
      </c>
      <c r="HX75" s="2458">
        <f t="shared" si="51"/>
        <v>2.5176628479197143E-2</v>
      </c>
      <c r="HY75" s="1734"/>
      <c r="HZ75" s="2302">
        <f t="shared" si="45"/>
        <v>-0.47645201153370864</v>
      </c>
      <c r="IA75" s="2300">
        <f t="shared" si="46"/>
        <v>1.3937708819625612</v>
      </c>
      <c r="IB75" s="2300">
        <f t="shared" si="47"/>
        <v>-6.268030422239701E-2</v>
      </c>
      <c r="IC75" s="2302">
        <f t="shared" si="48"/>
        <v>1.0632344711807518E-2</v>
      </c>
    </row>
    <row r="76" spans="1:237" s="341" customFormat="1" ht="21.95" customHeight="1">
      <c r="A76" s="544"/>
      <c r="B76" s="543"/>
      <c r="C76" s="545" t="s">
        <v>18</v>
      </c>
      <c r="D76" s="1684">
        <v>119</v>
      </c>
      <c r="E76" s="1685">
        <v>130</v>
      </c>
      <c r="F76" s="1685">
        <v>176</v>
      </c>
      <c r="G76" s="1685">
        <v>124</v>
      </c>
      <c r="H76" s="1685">
        <v>123</v>
      </c>
      <c r="I76" s="1685">
        <v>173</v>
      </c>
      <c r="J76" s="1685">
        <v>251</v>
      </c>
      <c r="K76" s="1685">
        <v>216</v>
      </c>
      <c r="L76" s="1685">
        <v>321</v>
      </c>
      <c r="M76" s="1685">
        <v>214</v>
      </c>
      <c r="N76" s="1685">
        <v>244</v>
      </c>
      <c r="O76" s="1686">
        <v>126</v>
      </c>
      <c r="P76" s="1687">
        <v>134</v>
      </c>
      <c r="Q76" s="1688">
        <v>307</v>
      </c>
      <c r="R76" s="1688">
        <v>218</v>
      </c>
      <c r="S76" s="1688">
        <v>255</v>
      </c>
      <c r="T76" s="1688">
        <v>201</v>
      </c>
      <c r="U76" s="1688">
        <v>215</v>
      </c>
      <c r="V76" s="1688">
        <v>187</v>
      </c>
      <c r="W76" s="1688">
        <v>228</v>
      </c>
      <c r="X76" s="1688">
        <v>253</v>
      </c>
      <c r="Y76" s="1688">
        <v>230</v>
      </c>
      <c r="Z76" s="1688">
        <v>279</v>
      </c>
      <c r="AA76" s="1689">
        <v>228</v>
      </c>
      <c r="AB76" s="1690">
        <v>182</v>
      </c>
      <c r="AC76" s="1691">
        <v>186</v>
      </c>
      <c r="AD76" s="1691">
        <v>274</v>
      </c>
      <c r="AE76" s="1691">
        <v>222</v>
      </c>
      <c r="AF76" s="1691">
        <v>220.5</v>
      </c>
      <c r="AG76" s="1691">
        <v>219</v>
      </c>
      <c r="AH76" s="1691">
        <v>220</v>
      </c>
      <c r="AI76" s="1691">
        <v>205</v>
      </c>
      <c r="AJ76" s="1691">
        <v>241</v>
      </c>
      <c r="AK76" s="1691">
        <v>178</v>
      </c>
      <c r="AL76" s="1691">
        <v>253</v>
      </c>
      <c r="AM76" s="1692">
        <v>160</v>
      </c>
      <c r="AN76" s="1693">
        <v>173</v>
      </c>
      <c r="AO76" s="1694">
        <v>480</v>
      </c>
      <c r="AP76" s="1694">
        <v>219</v>
      </c>
      <c r="AQ76" s="1694">
        <v>183</v>
      </c>
      <c r="AR76" s="1694">
        <v>203</v>
      </c>
      <c r="AS76" s="1694">
        <v>202</v>
      </c>
      <c r="AT76" s="1694">
        <v>126</v>
      </c>
      <c r="AU76" s="1694">
        <v>185</v>
      </c>
      <c r="AV76" s="1694">
        <v>172</v>
      </c>
      <c r="AW76" s="1694">
        <v>151</v>
      </c>
      <c r="AX76" s="1694">
        <v>223</v>
      </c>
      <c r="AY76" s="1695">
        <v>172</v>
      </c>
      <c r="AZ76" s="1680">
        <v>173</v>
      </c>
      <c r="BA76" s="1680">
        <v>187</v>
      </c>
      <c r="BB76" s="1680">
        <v>216</v>
      </c>
      <c r="BC76" s="1680">
        <v>138</v>
      </c>
      <c r="BD76" s="1680">
        <v>194</v>
      </c>
      <c r="BE76" s="1680">
        <v>192</v>
      </c>
      <c r="BF76" s="1680">
        <v>186</v>
      </c>
      <c r="BG76" s="1680">
        <v>182</v>
      </c>
      <c r="BH76" s="1680">
        <v>218</v>
      </c>
      <c r="BI76" s="1680">
        <v>222</v>
      </c>
      <c r="BJ76" s="1680">
        <v>219</v>
      </c>
      <c r="BK76" s="1731">
        <v>161</v>
      </c>
      <c r="BL76" s="1698">
        <v>2</v>
      </c>
      <c r="BM76" s="1699">
        <v>148</v>
      </c>
      <c r="BN76" s="1699">
        <v>155</v>
      </c>
      <c r="BO76" s="1699">
        <v>190</v>
      </c>
      <c r="BP76" s="1699">
        <v>221</v>
      </c>
      <c r="BQ76" s="1699">
        <v>224</v>
      </c>
      <c r="BR76" s="1699">
        <v>248</v>
      </c>
      <c r="BS76" s="1699">
        <v>205</v>
      </c>
      <c r="BT76" s="1700">
        <v>314</v>
      </c>
      <c r="BU76" s="1700">
        <v>260</v>
      </c>
      <c r="BV76" s="1700">
        <v>276</v>
      </c>
      <c r="BW76" s="1701">
        <v>182</v>
      </c>
      <c r="BX76" s="1702">
        <v>201</v>
      </c>
      <c r="BY76" s="1511">
        <v>185</v>
      </c>
      <c r="BZ76" s="1511">
        <v>224</v>
      </c>
      <c r="CA76" s="1511">
        <v>156</v>
      </c>
      <c r="CB76" s="1511">
        <v>251</v>
      </c>
      <c r="CC76" s="1511">
        <v>282</v>
      </c>
      <c r="CD76" s="1511">
        <v>325</v>
      </c>
      <c r="CE76" s="1511">
        <v>208</v>
      </c>
      <c r="CF76" s="1511">
        <v>236</v>
      </c>
      <c r="CG76" s="1511">
        <v>227</v>
      </c>
      <c r="CH76" s="1511">
        <v>327</v>
      </c>
      <c r="CI76" s="1513">
        <v>247</v>
      </c>
      <c r="CJ76" s="1703">
        <v>171</v>
      </c>
      <c r="CK76" s="1704">
        <v>189</v>
      </c>
      <c r="CL76" s="1704">
        <v>203</v>
      </c>
      <c r="CM76" s="1704">
        <v>239</v>
      </c>
      <c r="CN76" s="1704">
        <v>239</v>
      </c>
      <c r="CO76" s="1704">
        <v>247</v>
      </c>
      <c r="CP76" s="1704">
        <v>214</v>
      </c>
      <c r="CQ76" s="1704">
        <v>268</v>
      </c>
      <c r="CR76" s="1704">
        <v>318</v>
      </c>
      <c r="CS76" s="1704">
        <v>325</v>
      </c>
      <c r="CT76" s="1704">
        <v>275</v>
      </c>
      <c r="CU76" s="1705">
        <v>267</v>
      </c>
      <c r="CV76" s="1703">
        <v>193</v>
      </c>
      <c r="CW76" s="1704">
        <v>216</v>
      </c>
      <c r="CX76" s="1510">
        <v>209</v>
      </c>
      <c r="CY76" s="1510">
        <v>223</v>
      </c>
      <c r="CZ76" s="1510">
        <v>231</v>
      </c>
      <c r="DA76" s="1510">
        <v>215</v>
      </c>
      <c r="DB76" s="1510">
        <v>241</v>
      </c>
      <c r="DC76" s="1510">
        <v>229</v>
      </c>
      <c r="DD76" s="1510">
        <v>220</v>
      </c>
      <c r="DE76" s="1510">
        <v>313</v>
      </c>
      <c r="DF76" s="1510">
        <v>259</v>
      </c>
      <c r="DG76" s="1705">
        <v>272</v>
      </c>
      <c r="DH76" s="1706">
        <v>208</v>
      </c>
      <c r="DI76" s="1707">
        <v>198</v>
      </c>
      <c r="DJ76" s="1707">
        <v>189</v>
      </c>
      <c r="DK76" s="1708">
        <v>151</v>
      </c>
      <c r="DL76" s="1708">
        <v>162</v>
      </c>
      <c r="DM76" s="1708">
        <v>234</v>
      </c>
      <c r="DN76" s="1708">
        <v>292</v>
      </c>
      <c r="DO76" s="1708">
        <v>183</v>
      </c>
      <c r="DP76" s="1708">
        <v>204</v>
      </c>
      <c r="DQ76" s="1708">
        <v>300</v>
      </c>
      <c r="DR76" s="1708">
        <v>242</v>
      </c>
      <c r="DS76" s="1709">
        <v>325</v>
      </c>
      <c r="DT76" s="1683">
        <v>284</v>
      </c>
      <c r="DU76" s="1502">
        <v>170</v>
      </c>
      <c r="DV76" s="1502">
        <v>251</v>
      </c>
      <c r="DW76" s="1487">
        <v>239</v>
      </c>
      <c r="DX76" s="1487">
        <v>317</v>
      </c>
      <c r="DY76" s="1487">
        <v>264</v>
      </c>
      <c r="DZ76" s="1487">
        <v>306</v>
      </c>
      <c r="EA76" s="1487">
        <v>225</v>
      </c>
      <c r="EB76" s="1487">
        <v>258</v>
      </c>
      <c r="EC76" s="1487">
        <v>212</v>
      </c>
      <c r="ED76" s="1487">
        <v>352</v>
      </c>
      <c r="EE76" s="1486">
        <v>284</v>
      </c>
      <c r="EF76" s="1927">
        <v>267</v>
      </c>
      <c r="EG76" s="34">
        <v>231</v>
      </c>
      <c r="EH76" s="34">
        <v>204</v>
      </c>
      <c r="EI76" s="34">
        <v>179</v>
      </c>
      <c r="EJ76" s="34">
        <v>219</v>
      </c>
      <c r="EK76" s="34">
        <v>249</v>
      </c>
      <c r="EL76" s="34">
        <v>318</v>
      </c>
      <c r="EM76" s="2345">
        <v>205</v>
      </c>
      <c r="EN76" s="2345">
        <v>217</v>
      </c>
      <c r="EO76" s="2346">
        <v>284</v>
      </c>
      <c r="EP76" s="2346">
        <v>356</v>
      </c>
      <c r="EQ76" s="2347">
        <v>311</v>
      </c>
      <c r="ER76" s="3103">
        <v>204</v>
      </c>
      <c r="ES76" s="3095"/>
      <c r="ET76" s="3095"/>
      <c r="EU76" s="3095"/>
      <c r="EV76" s="3095"/>
      <c r="EW76" s="3095"/>
      <c r="EX76" s="3095"/>
      <c r="EY76" s="3095"/>
      <c r="EZ76" s="3095"/>
      <c r="FA76" s="3095"/>
      <c r="FB76" s="3095"/>
      <c r="FC76" s="3104"/>
      <c r="FD76" s="2437"/>
      <c r="FE76" s="1710">
        <v>425</v>
      </c>
      <c r="FF76" s="1711">
        <v>420</v>
      </c>
      <c r="FG76" s="1711">
        <v>788</v>
      </c>
      <c r="FH76" s="1712">
        <v>584</v>
      </c>
      <c r="FI76" s="1713">
        <v>659</v>
      </c>
      <c r="FJ76" s="1714">
        <v>671</v>
      </c>
      <c r="FK76" s="1714">
        <v>668</v>
      </c>
      <c r="FL76" s="1715">
        <v>737</v>
      </c>
      <c r="FM76" s="1716">
        <v>642</v>
      </c>
      <c r="FN76" s="1717">
        <v>661.5</v>
      </c>
      <c r="FO76" s="1718">
        <v>666</v>
      </c>
      <c r="FP76" s="1718">
        <v>591</v>
      </c>
      <c r="FQ76" s="1719">
        <v>872</v>
      </c>
      <c r="FR76" s="1720">
        <v>588</v>
      </c>
      <c r="FS76" s="1720">
        <v>483</v>
      </c>
      <c r="FT76" s="1721">
        <v>546</v>
      </c>
      <c r="FU76" s="1722">
        <v>576</v>
      </c>
      <c r="FV76" s="1723">
        <v>524</v>
      </c>
      <c r="FW76" s="1723">
        <v>586</v>
      </c>
      <c r="FX76" s="1724">
        <v>602</v>
      </c>
      <c r="FY76" s="1720">
        <v>305</v>
      </c>
      <c r="FZ76" s="1720">
        <v>635</v>
      </c>
      <c r="GA76" s="1720">
        <v>767</v>
      </c>
      <c r="GB76" s="1720">
        <v>718</v>
      </c>
      <c r="GC76" s="1725">
        <v>610</v>
      </c>
      <c r="GD76" s="1725">
        <v>689</v>
      </c>
      <c r="GE76" s="1725">
        <v>769</v>
      </c>
      <c r="GF76" s="1725">
        <v>801</v>
      </c>
      <c r="GG76" s="1726">
        <v>563</v>
      </c>
      <c r="GH76" s="1726">
        <v>725</v>
      </c>
      <c r="GI76" s="1726">
        <f t="shared" si="17"/>
        <v>800</v>
      </c>
      <c r="GJ76" s="1726">
        <v>867</v>
      </c>
      <c r="GK76" s="1727">
        <v>618</v>
      </c>
      <c r="GL76" s="1727">
        <f t="shared" si="18"/>
        <v>669</v>
      </c>
      <c r="GM76" s="1727">
        <f t="shared" si="19"/>
        <v>690</v>
      </c>
      <c r="GN76" s="1726">
        <f t="shared" si="20"/>
        <v>844</v>
      </c>
      <c r="GO76" s="1541">
        <f t="shared" si="21"/>
        <v>595</v>
      </c>
      <c r="GP76" s="1541">
        <f t="shared" si="22"/>
        <v>547</v>
      </c>
      <c r="GQ76" s="1541">
        <f t="shared" si="23"/>
        <v>800</v>
      </c>
      <c r="GR76" s="1541">
        <f t="shared" si="24"/>
        <v>867</v>
      </c>
      <c r="GS76" s="1728">
        <f t="shared" si="25"/>
        <v>705</v>
      </c>
      <c r="GT76" s="1728">
        <f t="shared" si="26"/>
        <v>820</v>
      </c>
      <c r="GU76" s="1728">
        <f t="shared" si="27"/>
        <v>789</v>
      </c>
      <c r="GV76" s="1728">
        <f t="shared" si="28"/>
        <v>848</v>
      </c>
      <c r="GW76" s="1939">
        <f t="shared" si="29"/>
        <v>702</v>
      </c>
      <c r="GX76" s="1725">
        <f t="shared" si="30"/>
        <v>647</v>
      </c>
      <c r="GY76" s="1725">
        <f t="shared" si="31"/>
        <v>740</v>
      </c>
      <c r="GZ76" s="1725">
        <f t="shared" si="32"/>
        <v>951</v>
      </c>
      <c r="HA76" s="2443">
        <f t="shared" si="33"/>
        <v>204</v>
      </c>
      <c r="HB76" s="2444">
        <f t="shared" si="34"/>
        <v>0</v>
      </c>
      <c r="HC76" s="2444">
        <f t="shared" si="35"/>
        <v>0</v>
      </c>
      <c r="HD76" s="2444">
        <f t="shared" si="36"/>
        <v>0</v>
      </c>
      <c r="HE76" s="1940"/>
      <c r="HF76" s="1729">
        <v>2217</v>
      </c>
      <c r="HG76" s="1730">
        <v>2735</v>
      </c>
      <c r="HH76" s="1730">
        <v>2560.5</v>
      </c>
      <c r="HI76" s="1730">
        <v>2489</v>
      </c>
      <c r="HJ76" s="1730">
        <v>2288</v>
      </c>
      <c r="HK76" s="1730">
        <v>2425</v>
      </c>
      <c r="HL76" s="2421">
        <v>2869</v>
      </c>
      <c r="HM76" s="2423">
        <v>2955</v>
      </c>
      <c r="HN76" s="2423">
        <f t="shared" si="37"/>
        <v>2821</v>
      </c>
      <c r="HO76" s="2423">
        <f t="shared" si="38"/>
        <v>2688</v>
      </c>
      <c r="HP76" s="2423">
        <f t="shared" si="39"/>
        <v>3162</v>
      </c>
      <c r="HQ76" s="2423">
        <f t="shared" si="40"/>
        <v>3040</v>
      </c>
      <c r="HR76" s="2452">
        <f t="shared" si="41"/>
        <v>204</v>
      </c>
      <c r="HS76" s="2453">
        <f t="shared" si="49"/>
        <v>2977</v>
      </c>
      <c r="HT76" s="2455">
        <f t="shared" si="42"/>
        <v>2940.5</v>
      </c>
      <c r="HU76" s="1737">
        <f t="shared" si="43"/>
        <v>4.2828053649785064E-3</v>
      </c>
      <c r="HV76" s="1737">
        <f t="shared" si="44"/>
        <v>4.8427781802365026E-3</v>
      </c>
      <c r="HW76" s="1737">
        <f t="shared" si="50"/>
        <v>4.3901389392326786E-3</v>
      </c>
      <c r="HX76" s="2458">
        <f t="shared" si="51"/>
        <v>4.2464485364518724E-3</v>
      </c>
      <c r="HY76" s="1734"/>
      <c r="HZ76" s="2302">
        <f t="shared" si="45"/>
        <v>0.17633928571428581</v>
      </c>
      <c r="IA76" s="2300">
        <f t="shared" si="46"/>
        <v>9.3936011904761862E-2</v>
      </c>
      <c r="IB76" s="2300">
        <f t="shared" si="47"/>
        <v>-3.8583175205566089E-2</v>
      </c>
      <c r="IC76" s="2302">
        <f t="shared" si="48"/>
        <v>-2.0723684210526283E-2</v>
      </c>
    </row>
    <row r="77" spans="1:237" s="341" customFormat="1" ht="21.95" customHeight="1">
      <c r="A77" s="370"/>
      <c r="C77" s="467" t="s">
        <v>28</v>
      </c>
      <c r="D77" s="1684">
        <v>265</v>
      </c>
      <c r="E77" s="1685">
        <v>307</v>
      </c>
      <c r="F77" s="1685">
        <v>216</v>
      </c>
      <c r="G77" s="1685">
        <v>119</v>
      </c>
      <c r="H77" s="1685">
        <v>65</v>
      </c>
      <c r="I77" s="1685">
        <v>98</v>
      </c>
      <c r="J77" s="1685">
        <v>294</v>
      </c>
      <c r="K77" s="1685">
        <v>80</v>
      </c>
      <c r="L77" s="1685">
        <v>155</v>
      </c>
      <c r="M77" s="1685">
        <v>283</v>
      </c>
      <c r="N77" s="1685">
        <v>162</v>
      </c>
      <c r="O77" s="1686">
        <v>88</v>
      </c>
      <c r="P77" s="1687">
        <v>219</v>
      </c>
      <c r="Q77" s="1688">
        <v>477</v>
      </c>
      <c r="R77" s="1688">
        <v>222</v>
      </c>
      <c r="S77" s="1688">
        <v>110</v>
      </c>
      <c r="T77" s="1688">
        <v>92</v>
      </c>
      <c r="U77" s="1688">
        <v>159</v>
      </c>
      <c r="V77" s="1688">
        <v>307</v>
      </c>
      <c r="W77" s="1688">
        <v>107</v>
      </c>
      <c r="X77" s="1688">
        <v>148</v>
      </c>
      <c r="Y77" s="1688">
        <v>279</v>
      </c>
      <c r="Z77" s="1688">
        <v>201</v>
      </c>
      <c r="AA77" s="1689">
        <v>148</v>
      </c>
      <c r="AB77" s="1690">
        <v>203</v>
      </c>
      <c r="AC77" s="1691">
        <v>261</v>
      </c>
      <c r="AD77" s="1691">
        <v>206</v>
      </c>
      <c r="AE77" s="1691">
        <v>168</v>
      </c>
      <c r="AF77" s="1691">
        <v>175.5</v>
      </c>
      <c r="AG77" s="1691">
        <v>183</v>
      </c>
      <c r="AH77" s="1691">
        <v>252</v>
      </c>
      <c r="AI77" s="1691">
        <v>99</v>
      </c>
      <c r="AJ77" s="1691">
        <v>98</v>
      </c>
      <c r="AK77" s="1691">
        <v>238</v>
      </c>
      <c r="AL77" s="1691">
        <v>202</v>
      </c>
      <c r="AM77" s="1692">
        <v>115</v>
      </c>
      <c r="AN77" s="1693">
        <v>178</v>
      </c>
      <c r="AO77" s="1694">
        <v>251</v>
      </c>
      <c r="AP77" s="1694">
        <v>200</v>
      </c>
      <c r="AQ77" s="1694">
        <v>92</v>
      </c>
      <c r="AR77" s="1694">
        <v>87</v>
      </c>
      <c r="AS77" s="1694">
        <v>128</v>
      </c>
      <c r="AT77" s="1694">
        <v>283</v>
      </c>
      <c r="AU77" s="1694">
        <v>77</v>
      </c>
      <c r="AV77" s="1694">
        <v>113</v>
      </c>
      <c r="AW77" s="1694">
        <v>172</v>
      </c>
      <c r="AX77" s="1694">
        <v>246</v>
      </c>
      <c r="AY77" s="1695">
        <v>112</v>
      </c>
      <c r="AZ77" s="1680">
        <v>213</v>
      </c>
      <c r="BA77" s="1680">
        <v>406</v>
      </c>
      <c r="BB77" s="1680">
        <v>152</v>
      </c>
      <c r="BC77" s="1680">
        <v>116</v>
      </c>
      <c r="BD77" s="1680">
        <v>60</v>
      </c>
      <c r="BE77" s="1680">
        <v>122</v>
      </c>
      <c r="BF77" s="1680">
        <v>217</v>
      </c>
      <c r="BG77" s="1680">
        <v>88</v>
      </c>
      <c r="BH77" s="1680">
        <v>138</v>
      </c>
      <c r="BI77" s="1680">
        <v>226</v>
      </c>
      <c r="BJ77" s="1680">
        <v>103</v>
      </c>
      <c r="BK77" s="1731">
        <v>150</v>
      </c>
      <c r="BL77" s="1698">
        <v>250</v>
      </c>
      <c r="BM77" s="1699">
        <v>287</v>
      </c>
      <c r="BN77" s="1699">
        <v>177</v>
      </c>
      <c r="BO77" s="1699">
        <v>87</v>
      </c>
      <c r="BP77" s="1699">
        <v>81</v>
      </c>
      <c r="BQ77" s="1699">
        <v>96</v>
      </c>
      <c r="BR77" s="1699">
        <v>200</v>
      </c>
      <c r="BS77" s="1699">
        <v>61</v>
      </c>
      <c r="BT77" s="1700">
        <v>166</v>
      </c>
      <c r="BU77" s="1700">
        <v>157</v>
      </c>
      <c r="BV77" s="1700">
        <v>166</v>
      </c>
      <c r="BW77" s="1701">
        <v>70</v>
      </c>
      <c r="BX77" s="1702">
        <v>234</v>
      </c>
      <c r="BY77" s="1511">
        <v>196</v>
      </c>
      <c r="BZ77" s="1511">
        <v>222</v>
      </c>
      <c r="CA77" s="1511">
        <v>104</v>
      </c>
      <c r="CB77" s="1511">
        <v>71</v>
      </c>
      <c r="CC77" s="1511">
        <v>101</v>
      </c>
      <c r="CD77" s="1511">
        <v>269</v>
      </c>
      <c r="CE77" s="1511">
        <v>67</v>
      </c>
      <c r="CF77" s="1511">
        <v>95</v>
      </c>
      <c r="CG77" s="1511">
        <v>146</v>
      </c>
      <c r="CH77" s="1511">
        <v>239</v>
      </c>
      <c r="CI77" s="1513">
        <v>112</v>
      </c>
      <c r="CJ77" s="1703">
        <v>252</v>
      </c>
      <c r="CK77" s="1704">
        <v>231</v>
      </c>
      <c r="CL77" s="1704">
        <v>180</v>
      </c>
      <c r="CM77" s="1704">
        <v>128</v>
      </c>
      <c r="CN77" s="1704">
        <v>77</v>
      </c>
      <c r="CO77" s="1704">
        <v>117</v>
      </c>
      <c r="CP77" s="1704">
        <v>176</v>
      </c>
      <c r="CQ77" s="1704">
        <v>98</v>
      </c>
      <c r="CR77" s="1704">
        <v>126</v>
      </c>
      <c r="CS77" s="1704">
        <v>196</v>
      </c>
      <c r="CT77" s="1704">
        <v>187</v>
      </c>
      <c r="CU77" s="1705">
        <v>137</v>
      </c>
      <c r="CV77" s="1703">
        <v>133</v>
      </c>
      <c r="CW77" s="1704">
        <v>234</v>
      </c>
      <c r="CX77" s="1510">
        <v>242</v>
      </c>
      <c r="CY77" s="1510">
        <v>102</v>
      </c>
      <c r="CZ77" s="1510">
        <v>65</v>
      </c>
      <c r="DA77" s="1510">
        <v>124</v>
      </c>
      <c r="DB77" s="1510">
        <v>224</v>
      </c>
      <c r="DC77" s="1510">
        <v>70</v>
      </c>
      <c r="DD77" s="1510">
        <v>93</v>
      </c>
      <c r="DE77" s="1510">
        <v>185</v>
      </c>
      <c r="DF77" s="1510">
        <v>146</v>
      </c>
      <c r="DG77" s="1705">
        <v>117</v>
      </c>
      <c r="DH77" s="1706">
        <v>180</v>
      </c>
      <c r="DI77" s="1707">
        <v>228</v>
      </c>
      <c r="DJ77" s="1707">
        <v>313</v>
      </c>
      <c r="DK77" s="1708">
        <v>108</v>
      </c>
      <c r="DL77" s="1708">
        <v>75</v>
      </c>
      <c r="DM77" s="1708">
        <v>154</v>
      </c>
      <c r="DN77" s="1708">
        <v>248</v>
      </c>
      <c r="DO77" s="1708">
        <v>76</v>
      </c>
      <c r="DP77" s="1708">
        <v>97</v>
      </c>
      <c r="DQ77" s="1708">
        <v>209</v>
      </c>
      <c r="DR77" s="1708">
        <v>114</v>
      </c>
      <c r="DS77" s="1709">
        <v>97</v>
      </c>
      <c r="DT77" s="1683">
        <v>165</v>
      </c>
      <c r="DU77" s="1502">
        <v>265</v>
      </c>
      <c r="DV77" s="1502">
        <v>226</v>
      </c>
      <c r="DW77" s="1487">
        <v>167</v>
      </c>
      <c r="DX77" s="1487">
        <v>67</v>
      </c>
      <c r="DY77" s="1487">
        <v>147</v>
      </c>
      <c r="DZ77" s="1487">
        <v>267</v>
      </c>
      <c r="EA77" s="1487">
        <v>116</v>
      </c>
      <c r="EB77" s="1487">
        <v>166</v>
      </c>
      <c r="EC77" s="1487">
        <v>230</v>
      </c>
      <c r="ED77" s="1487">
        <v>154</v>
      </c>
      <c r="EE77" s="1486">
        <v>150</v>
      </c>
      <c r="EF77" s="1927">
        <v>202</v>
      </c>
      <c r="EG77" s="34">
        <v>365</v>
      </c>
      <c r="EH77" s="34">
        <v>309</v>
      </c>
      <c r="EI77" s="34">
        <v>194</v>
      </c>
      <c r="EJ77" s="34">
        <v>79</v>
      </c>
      <c r="EK77" s="34">
        <v>144</v>
      </c>
      <c r="EL77" s="34">
        <v>268</v>
      </c>
      <c r="EM77" s="2345">
        <v>88</v>
      </c>
      <c r="EN77" s="2345">
        <v>172</v>
      </c>
      <c r="EO77" s="2346">
        <v>309</v>
      </c>
      <c r="EP77" s="2346">
        <v>189</v>
      </c>
      <c r="EQ77" s="2347">
        <v>154</v>
      </c>
      <c r="ER77" s="3111">
        <v>229</v>
      </c>
      <c r="ES77" s="3099"/>
      <c r="ET77" s="3099"/>
      <c r="EU77" s="3099"/>
      <c r="EV77" s="3099"/>
      <c r="EW77" s="3099"/>
      <c r="EX77" s="3099"/>
      <c r="EY77" s="3099"/>
      <c r="EZ77" s="3099"/>
      <c r="FA77" s="3099"/>
      <c r="FB77" s="3099"/>
      <c r="FC77" s="3112"/>
      <c r="FD77" s="2437"/>
      <c r="FE77" s="1710">
        <v>788</v>
      </c>
      <c r="FF77" s="1711">
        <v>282</v>
      </c>
      <c r="FG77" s="1711">
        <v>529</v>
      </c>
      <c r="FH77" s="1712">
        <v>533</v>
      </c>
      <c r="FI77" s="1713">
        <v>918</v>
      </c>
      <c r="FJ77" s="1714">
        <v>361</v>
      </c>
      <c r="FK77" s="1714">
        <v>562</v>
      </c>
      <c r="FL77" s="1715">
        <v>628</v>
      </c>
      <c r="FM77" s="1716">
        <v>670</v>
      </c>
      <c r="FN77" s="1717">
        <v>526.5</v>
      </c>
      <c r="FO77" s="1718">
        <v>449</v>
      </c>
      <c r="FP77" s="1718">
        <v>555</v>
      </c>
      <c r="FQ77" s="1719">
        <v>629</v>
      </c>
      <c r="FR77" s="1720">
        <v>307</v>
      </c>
      <c r="FS77" s="1720">
        <v>473</v>
      </c>
      <c r="FT77" s="1721">
        <v>530</v>
      </c>
      <c r="FU77" s="1722">
        <v>771</v>
      </c>
      <c r="FV77" s="1723">
        <v>298</v>
      </c>
      <c r="FW77" s="1723">
        <v>443</v>
      </c>
      <c r="FX77" s="1724">
        <v>479</v>
      </c>
      <c r="FY77" s="1720">
        <v>714</v>
      </c>
      <c r="FZ77" s="1720">
        <v>264</v>
      </c>
      <c r="GA77" s="1720">
        <v>427</v>
      </c>
      <c r="GB77" s="1720">
        <v>393</v>
      </c>
      <c r="GC77" s="1725">
        <v>652</v>
      </c>
      <c r="GD77" s="1725">
        <v>276</v>
      </c>
      <c r="GE77" s="1725">
        <v>431</v>
      </c>
      <c r="GF77" s="1725">
        <v>497</v>
      </c>
      <c r="GG77" s="1726">
        <v>663</v>
      </c>
      <c r="GH77" s="1726">
        <v>322</v>
      </c>
      <c r="GI77" s="1726">
        <f t="shared" si="17"/>
        <v>400</v>
      </c>
      <c r="GJ77" s="1726">
        <v>520</v>
      </c>
      <c r="GK77" s="1727">
        <v>609</v>
      </c>
      <c r="GL77" s="1727">
        <f t="shared" si="18"/>
        <v>291</v>
      </c>
      <c r="GM77" s="1727">
        <f t="shared" si="19"/>
        <v>387</v>
      </c>
      <c r="GN77" s="1726">
        <f t="shared" si="20"/>
        <v>448</v>
      </c>
      <c r="GO77" s="1541">
        <f t="shared" si="21"/>
        <v>721</v>
      </c>
      <c r="GP77" s="1541">
        <f t="shared" si="22"/>
        <v>337</v>
      </c>
      <c r="GQ77" s="1541">
        <f t="shared" si="23"/>
        <v>421</v>
      </c>
      <c r="GR77" s="1541">
        <f t="shared" si="24"/>
        <v>420</v>
      </c>
      <c r="GS77" s="1728">
        <f t="shared" si="25"/>
        <v>656</v>
      </c>
      <c r="GT77" s="1728">
        <f t="shared" si="26"/>
        <v>381</v>
      </c>
      <c r="GU77" s="1728">
        <f t="shared" si="27"/>
        <v>549</v>
      </c>
      <c r="GV77" s="1728">
        <f t="shared" si="28"/>
        <v>534</v>
      </c>
      <c r="GW77" s="1939">
        <f t="shared" si="29"/>
        <v>876</v>
      </c>
      <c r="GX77" s="1725">
        <f t="shared" si="30"/>
        <v>417</v>
      </c>
      <c r="GY77" s="1725">
        <f t="shared" si="31"/>
        <v>528</v>
      </c>
      <c r="GZ77" s="1725">
        <f t="shared" si="32"/>
        <v>652</v>
      </c>
      <c r="HA77" s="2443">
        <f t="shared" si="33"/>
        <v>229</v>
      </c>
      <c r="HB77" s="2444">
        <f t="shared" si="34"/>
        <v>0</v>
      </c>
      <c r="HC77" s="2444">
        <f t="shared" si="35"/>
        <v>0</v>
      </c>
      <c r="HD77" s="2444">
        <f t="shared" si="36"/>
        <v>0</v>
      </c>
      <c r="HE77" s="1940"/>
      <c r="HF77" s="1729">
        <v>2132</v>
      </c>
      <c r="HG77" s="1730">
        <v>2469</v>
      </c>
      <c r="HH77" s="1730">
        <v>2200.5</v>
      </c>
      <c r="HI77" s="1730">
        <v>1939</v>
      </c>
      <c r="HJ77" s="1730">
        <v>1991</v>
      </c>
      <c r="HK77" s="1730">
        <v>1798</v>
      </c>
      <c r="HL77" s="2421">
        <v>1856</v>
      </c>
      <c r="HM77" s="2423">
        <v>1905</v>
      </c>
      <c r="HN77" s="2423">
        <f t="shared" si="37"/>
        <v>1735</v>
      </c>
      <c r="HO77" s="2423">
        <f t="shared" si="38"/>
        <v>1899</v>
      </c>
      <c r="HP77" s="2423">
        <f t="shared" si="39"/>
        <v>2120</v>
      </c>
      <c r="HQ77" s="2423">
        <f t="shared" si="40"/>
        <v>2473</v>
      </c>
      <c r="HR77" s="2452">
        <f t="shared" si="41"/>
        <v>229</v>
      </c>
      <c r="HS77" s="2453">
        <f t="shared" si="49"/>
        <v>2500</v>
      </c>
      <c r="HT77" s="2455">
        <f t="shared" si="42"/>
        <v>2105.3333333333335</v>
      </c>
      <c r="HU77" s="1737">
        <f t="shared" si="43"/>
        <v>3.0256872723564672E-3</v>
      </c>
      <c r="HV77" s="1737">
        <f t="shared" si="44"/>
        <v>3.246897451644967E-3</v>
      </c>
      <c r="HW77" s="1737">
        <f t="shared" si="50"/>
        <v>3.5713202620797418E-3</v>
      </c>
      <c r="HX77" s="2458">
        <f t="shared" si="51"/>
        <v>3.0403637653721055E-3</v>
      </c>
      <c r="HY77" s="1734"/>
      <c r="HZ77" s="2302">
        <f t="shared" si="45"/>
        <v>0.11637704054765674</v>
      </c>
      <c r="IA77" s="2300">
        <f t="shared" si="46"/>
        <v>0.10865367737405651</v>
      </c>
      <c r="IB77" s="2300">
        <f t="shared" si="47"/>
        <v>0.16650943396226414</v>
      </c>
      <c r="IC77" s="2302">
        <f t="shared" si="48"/>
        <v>1.0917913465426698E-2</v>
      </c>
    </row>
    <row r="78" spans="1:237" s="341" customFormat="1" ht="21.95" customHeight="1">
      <c r="A78" s="370"/>
      <c r="C78" s="557" t="s">
        <v>27</v>
      </c>
      <c r="D78" s="1684">
        <v>78</v>
      </c>
      <c r="E78" s="1685">
        <v>103</v>
      </c>
      <c r="F78" s="1685">
        <v>184</v>
      </c>
      <c r="G78" s="1685">
        <v>112</v>
      </c>
      <c r="H78" s="1685">
        <v>114</v>
      </c>
      <c r="I78" s="1685">
        <v>148</v>
      </c>
      <c r="J78" s="1685">
        <v>197</v>
      </c>
      <c r="K78" s="1685">
        <v>193</v>
      </c>
      <c r="L78" s="1685">
        <v>181</v>
      </c>
      <c r="M78" s="1685">
        <v>180</v>
      </c>
      <c r="N78" s="1685">
        <v>90</v>
      </c>
      <c r="O78" s="1686">
        <v>80</v>
      </c>
      <c r="P78" s="1687">
        <v>155</v>
      </c>
      <c r="Q78" s="1688">
        <v>173</v>
      </c>
      <c r="R78" s="1688">
        <v>175</v>
      </c>
      <c r="S78" s="1688">
        <v>248</v>
      </c>
      <c r="T78" s="1688">
        <v>167</v>
      </c>
      <c r="U78" s="1688">
        <v>202</v>
      </c>
      <c r="V78" s="1688">
        <v>236</v>
      </c>
      <c r="W78" s="1688">
        <v>262</v>
      </c>
      <c r="X78" s="1688">
        <v>246</v>
      </c>
      <c r="Y78" s="1688">
        <v>170</v>
      </c>
      <c r="Z78" s="1688">
        <v>145</v>
      </c>
      <c r="AA78" s="1689">
        <v>145</v>
      </c>
      <c r="AB78" s="1690">
        <v>130</v>
      </c>
      <c r="AC78" s="1691">
        <v>123</v>
      </c>
      <c r="AD78" s="1691">
        <v>218</v>
      </c>
      <c r="AE78" s="1691">
        <v>241</v>
      </c>
      <c r="AF78" s="1691">
        <v>241</v>
      </c>
      <c r="AG78" s="1691">
        <v>241</v>
      </c>
      <c r="AH78" s="1691">
        <v>289</v>
      </c>
      <c r="AI78" s="1691">
        <v>236</v>
      </c>
      <c r="AJ78" s="1691">
        <v>213</v>
      </c>
      <c r="AK78" s="1691">
        <v>154</v>
      </c>
      <c r="AL78" s="1691">
        <v>149</v>
      </c>
      <c r="AM78" s="1692">
        <v>91</v>
      </c>
      <c r="AN78" s="1693">
        <v>175</v>
      </c>
      <c r="AO78" s="1694">
        <v>112</v>
      </c>
      <c r="AP78" s="1694">
        <v>279</v>
      </c>
      <c r="AQ78" s="1694">
        <v>168</v>
      </c>
      <c r="AR78" s="1694">
        <v>152</v>
      </c>
      <c r="AS78" s="1694">
        <v>226</v>
      </c>
      <c r="AT78" s="1694">
        <v>249</v>
      </c>
      <c r="AU78" s="1694">
        <v>261</v>
      </c>
      <c r="AV78" s="1694">
        <v>217</v>
      </c>
      <c r="AW78" s="1694">
        <v>88</v>
      </c>
      <c r="AX78" s="1694">
        <v>87</v>
      </c>
      <c r="AY78" s="1695">
        <v>78</v>
      </c>
      <c r="AZ78" s="1680">
        <v>118</v>
      </c>
      <c r="BA78" s="1680">
        <v>139</v>
      </c>
      <c r="BB78" s="1680">
        <v>125</v>
      </c>
      <c r="BC78" s="1680">
        <v>217</v>
      </c>
      <c r="BD78" s="1680">
        <v>175</v>
      </c>
      <c r="BE78" s="1680">
        <v>150</v>
      </c>
      <c r="BF78" s="1680">
        <v>262</v>
      </c>
      <c r="BG78" s="1680">
        <v>198</v>
      </c>
      <c r="BH78" s="1680">
        <v>219</v>
      </c>
      <c r="BI78" s="1680">
        <v>271</v>
      </c>
      <c r="BJ78" s="1680">
        <v>98</v>
      </c>
      <c r="BK78" s="1731">
        <v>86</v>
      </c>
      <c r="BL78" s="1698">
        <v>133</v>
      </c>
      <c r="BM78" s="1699">
        <v>119</v>
      </c>
      <c r="BN78" s="1699">
        <v>163</v>
      </c>
      <c r="BO78" s="1699">
        <v>213</v>
      </c>
      <c r="BP78" s="1699">
        <v>210</v>
      </c>
      <c r="BQ78" s="1699">
        <v>203</v>
      </c>
      <c r="BR78" s="1699">
        <v>253</v>
      </c>
      <c r="BS78" s="1699">
        <v>221</v>
      </c>
      <c r="BT78" s="1700">
        <v>326</v>
      </c>
      <c r="BU78" s="1700">
        <v>176</v>
      </c>
      <c r="BV78" s="1700">
        <v>131</v>
      </c>
      <c r="BW78" s="1701">
        <v>106</v>
      </c>
      <c r="BX78" s="1702">
        <v>135</v>
      </c>
      <c r="BY78" s="1511">
        <v>152</v>
      </c>
      <c r="BZ78" s="1511">
        <v>185</v>
      </c>
      <c r="CA78" s="1511">
        <v>132</v>
      </c>
      <c r="CB78" s="1511">
        <v>195</v>
      </c>
      <c r="CC78" s="1511">
        <v>177</v>
      </c>
      <c r="CD78" s="1511">
        <v>258</v>
      </c>
      <c r="CE78" s="1511">
        <v>175</v>
      </c>
      <c r="CF78" s="1511">
        <v>275</v>
      </c>
      <c r="CG78" s="1511">
        <v>119</v>
      </c>
      <c r="CH78" s="1511">
        <v>118</v>
      </c>
      <c r="CI78" s="1513">
        <v>86</v>
      </c>
      <c r="CJ78" s="1703">
        <v>153</v>
      </c>
      <c r="CK78" s="1704">
        <v>143</v>
      </c>
      <c r="CL78" s="1704">
        <v>161</v>
      </c>
      <c r="CM78" s="1704">
        <v>201</v>
      </c>
      <c r="CN78" s="1704">
        <v>206</v>
      </c>
      <c r="CO78" s="1704">
        <v>181</v>
      </c>
      <c r="CP78" s="1704">
        <v>278</v>
      </c>
      <c r="CQ78" s="1704">
        <v>198</v>
      </c>
      <c r="CR78" s="1704">
        <v>227</v>
      </c>
      <c r="CS78" s="1704">
        <v>207</v>
      </c>
      <c r="CT78" s="1704">
        <v>126</v>
      </c>
      <c r="CU78" s="1705">
        <v>73</v>
      </c>
      <c r="CV78" s="1703">
        <v>204</v>
      </c>
      <c r="CW78" s="1704">
        <v>104</v>
      </c>
      <c r="CX78" s="1510">
        <v>171</v>
      </c>
      <c r="CY78" s="1510">
        <v>264</v>
      </c>
      <c r="CZ78" s="1510">
        <v>250</v>
      </c>
      <c r="DA78" s="1510">
        <v>188</v>
      </c>
      <c r="DB78" s="1510">
        <v>204</v>
      </c>
      <c r="DC78" s="1510">
        <v>170</v>
      </c>
      <c r="DD78" s="1510">
        <v>298</v>
      </c>
      <c r="DE78" s="1510">
        <v>111</v>
      </c>
      <c r="DF78" s="1510">
        <v>147</v>
      </c>
      <c r="DG78" s="1705">
        <v>77</v>
      </c>
      <c r="DH78" s="1706">
        <v>124</v>
      </c>
      <c r="DI78" s="1707">
        <v>147</v>
      </c>
      <c r="DJ78" s="1707">
        <v>120</v>
      </c>
      <c r="DK78" s="1708">
        <v>273</v>
      </c>
      <c r="DL78" s="1708">
        <v>157</v>
      </c>
      <c r="DM78" s="1708">
        <v>220</v>
      </c>
      <c r="DN78" s="1708">
        <v>209</v>
      </c>
      <c r="DO78" s="1708">
        <v>188</v>
      </c>
      <c r="DP78" s="1708">
        <v>173</v>
      </c>
      <c r="DQ78" s="1708">
        <v>245</v>
      </c>
      <c r="DR78" s="1708">
        <v>107</v>
      </c>
      <c r="DS78" s="1709">
        <v>136</v>
      </c>
      <c r="DT78" s="1683">
        <v>102</v>
      </c>
      <c r="DU78" s="1502">
        <v>109</v>
      </c>
      <c r="DV78" s="1502">
        <v>146</v>
      </c>
      <c r="DW78" s="1487">
        <v>271</v>
      </c>
      <c r="DX78" s="1487">
        <v>156</v>
      </c>
      <c r="DY78" s="1487">
        <v>142</v>
      </c>
      <c r="DZ78" s="1487">
        <v>179</v>
      </c>
      <c r="EA78" s="1487">
        <v>186</v>
      </c>
      <c r="EB78" s="1487">
        <v>144</v>
      </c>
      <c r="EC78" s="1487">
        <v>117</v>
      </c>
      <c r="ED78" s="1487">
        <v>104</v>
      </c>
      <c r="EE78" s="1486">
        <v>119</v>
      </c>
      <c r="EF78" s="1927">
        <v>145</v>
      </c>
      <c r="EG78" s="34">
        <v>134</v>
      </c>
      <c r="EH78" s="34">
        <v>200</v>
      </c>
      <c r="EI78" s="34">
        <v>232</v>
      </c>
      <c r="EJ78" s="34">
        <v>249</v>
      </c>
      <c r="EK78" s="34">
        <v>206</v>
      </c>
      <c r="EL78" s="34">
        <v>241</v>
      </c>
      <c r="EM78" s="2345">
        <v>250</v>
      </c>
      <c r="EN78" s="2345">
        <v>307</v>
      </c>
      <c r="EO78" s="2346">
        <v>141</v>
      </c>
      <c r="EP78" s="2346">
        <v>72</v>
      </c>
      <c r="EQ78" s="2347">
        <v>230</v>
      </c>
      <c r="ER78" s="3109">
        <v>127</v>
      </c>
      <c r="ES78" s="3098"/>
      <c r="ET78" s="3098"/>
      <c r="EU78" s="3098"/>
      <c r="EV78" s="3098"/>
      <c r="EW78" s="3098"/>
      <c r="EX78" s="3098"/>
      <c r="EY78" s="3098"/>
      <c r="EZ78" s="3098"/>
      <c r="FA78" s="3098"/>
      <c r="FB78" s="3098"/>
      <c r="FC78" s="3110"/>
      <c r="FD78" s="2437"/>
      <c r="FE78" s="1710">
        <v>365</v>
      </c>
      <c r="FF78" s="1711">
        <v>374</v>
      </c>
      <c r="FG78" s="1711">
        <v>571</v>
      </c>
      <c r="FH78" s="1712">
        <v>350</v>
      </c>
      <c r="FI78" s="1713">
        <v>503</v>
      </c>
      <c r="FJ78" s="1714">
        <v>617</v>
      </c>
      <c r="FK78" s="1714">
        <v>744</v>
      </c>
      <c r="FL78" s="1715">
        <v>460</v>
      </c>
      <c r="FM78" s="1716">
        <v>471</v>
      </c>
      <c r="FN78" s="1717">
        <v>723</v>
      </c>
      <c r="FO78" s="1718">
        <v>738</v>
      </c>
      <c r="FP78" s="1718">
        <v>394</v>
      </c>
      <c r="FQ78" s="1719">
        <v>566</v>
      </c>
      <c r="FR78" s="1720">
        <v>546</v>
      </c>
      <c r="FS78" s="1720">
        <v>727</v>
      </c>
      <c r="FT78" s="1721">
        <v>253</v>
      </c>
      <c r="FU78" s="1722">
        <v>382</v>
      </c>
      <c r="FV78" s="1723">
        <v>542</v>
      </c>
      <c r="FW78" s="1723">
        <v>679</v>
      </c>
      <c r="FX78" s="1724">
        <v>455</v>
      </c>
      <c r="FY78" s="1720">
        <v>415</v>
      </c>
      <c r="FZ78" s="1720">
        <v>626</v>
      </c>
      <c r="GA78" s="1720">
        <v>800</v>
      </c>
      <c r="GB78" s="1720">
        <v>413</v>
      </c>
      <c r="GC78" s="1725">
        <v>472</v>
      </c>
      <c r="GD78" s="1725">
        <v>504</v>
      </c>
      <c r="GE78" s="1725">
        <v>708</v>
      </c>
      <c r="GF78" s="1725">
        <v>323</v>
      </c>
      <c r="GG78" s="1726">
        <v>457</v>
      </c>
      <c r="GH78" s="1726">
        <v>588</v>
      </c>
      <c r="GI78" s="1726">
        <f t="shared" si="17"/>
        <v>703</v>
      </c>
      <c r="GJ78" s="1726">
        <v>406</v>
      </c>
      <c r="GK78" s="1727">
        <v>479</v>
      </c>
      <c r="GL78" s="1727">
        <f t="shared" si="18"/>
        <v>702</v>
      </c>
      <c r="GM78" s="1727">
        <f t="shared" si="19"/>
        <v>672</v>
      </c>
      <c r="GN78" s="1726">
        <f t="shared" si="20"/>
        <v>335</v>
      </c>
      <c r="GO78" s="1541">
        <f t="shared" si="21"/>
        <v>391</v>
      </c>
      <c r="GP78" s="1541">
        <f t="shared" si="22"/>
        <v>650</v>
      </c>
      <c r="GQ78" s="1541">
        <f t="shared" si="23"/>
        <v>533</v>
      </c>
      <c r="GR78" s="1541">
        <f t="shared" si="24"/>
        <v>488</v>
      </c>
      <c r="GS78" s="1728">
        <f t="shared" si="25"/>
        <v>357</v>
      </c>
      <c r="GT78" s="1728">
        <f t="shared" si="26"/>
        <v>569</v>
      </c>
      <c r="GU78" s="1728">
        <f t="shared" si="27"/>
        <v>509</v>
      </c>
      <c r="GV78" s="1728">
        <f t="shared" si="28"/>
        <v>340</v>
      </c>
      <c r="GW78" s="1939">
        <f t="shared" si="29"/>
        <v>479</v>
      </c>
      <c r="GX78" s="1725">
        <f t="shared" si="30"/>
        <v>687</v>
      </c>
      <c r="GY78" s="1725">
        <f t="shared" si="31"/>
        <v>798</v>
      </c>
      <c r="GZ78" s="1725">
        <f t="shared" si="32"/>
        <v>443</v>
      </c>
      <c r="HA78" s="2443">
        <f t="shared" si="33"/>
        <v>127</v>
      </c>
      <c r="HB78" s="2444">
        <f t="shared" si="34"/>
        <v>0</v>
      </c>
      <c r="HC78" s="2444">
        <f t="shared" si="35"/>
        <v>0</v>
      </c>
      <c r="HD78" s="2444">
        <f t="shared" si="36"/>
        <v>0</v>
      </c>
      <c r="HE78" s="1940"/>
      <c r="HF78" s="1729">
        <v>1660</v>
      </c>
      <c r="HG78" s="1730">
        <v>2324</v>
      </c>
      <c r="HH78" s="1730">
        <v>2326</v>
      </c>
      <c r="HI78" s="1730">
        <v>2092</v>
      </c>
      <c r="HJ78" s="1730">
        <v>2058</v>
      </c>
      <c r="HK78" s="1730">
        <v>2254</v>
      </c>
      <c r="HL78" s="2421">
        <v>2007</v>
      </c>
      <c r="HM78" s="2423">
        <v>2154</v>
      </c>
      <c r="HN78" s="2423">
        <f t="shared" si="37"/>
        <v>2188</v>
      </c>
      <c r="HO78" s="2423">
        <f t="shared" si="38"/>
        <v>2099</v>
      </c>
      <c r="HP78" s="2423">
        <f t="shared" si="39"/>
        <v>1775</v>
      </c>
      <c r="HQ78" s="2423">
        <f t="shared" si="40"/>
        <v>2407</v>
      </c>
      <c r="HR78" s="2452">
        <f t="shared" si="41"/>
        <v>127</v>
      </c>
      <c r="HS78" s="2453">
        <f t="shared" si="49"/>
        <v>2389</v>
      </c>
      <c r="HT78" s="2455">
        <f t="shared" si="42"/>
        <v>2168.6666666666665</v>
      </c>
      <c r="HU78" s="1737">
        <f t="shared" si="43"/>
        <v>3.3443483858221299E-3</v>
      </c>
      <c r="HV78" s="1737">
        <f t="shared" si="44"/>
        <v>2.7185108380518002E-3</v>
      </c>
      <c r="HW78" s="1737">
        <f t="shared" si="50"/>
        <v>3.4760080351095585E-3</v>
      </c>
      <c r="HX78" s="2458">
        <f t="shared" si="51"/>
        <v>3.1318249932727857E-3</v>
      </c>
      <c r="HY78" s="1734"/>
      <c r="HZ78" s="2302">
        <f t="shared" si="45"/>
        <v>-0.1543592186755598</v>
      </c>
      <c r="IA78" s="2300">
        <f t="shared" si="46"/>
        <v>3.3190408130855831E-2</v>
      </c>
      <c r="IB78" s="2300">
        <f t="shared" si="47"/>
        <v>0.35605633802816894</v>
      </c>
      <c r="IC78" s="2302">
        <f t="shared" si="48"/>
        <v>-7.478188616535153E-3</v>
      </c>
    </row>
    <row r="79" spans="1:237" s="341" customFormat="1" ht="21.95" customHeight="1">
      <c r="A79" s="544"/>
      <c r="B79" s="543"/>
      <c r="C79" s="545" t="s">
        <v>30</v>
      </c>
      <c r="D79" s="1684">
        <v>120</v>
      </c>
      <c r="E79" s="1685">
        <v>59</v>
      </c>
      <c r="F79" s="1685">
        <v>128</v>
      </c>
      <c r="G79" s="1685">
        <v>109</v>
      </c>
      <c r="H79" s="1685">
        <v>113</v>
      </c>
      <c r="I79" s="1685">
        <v>72</v>
      </c>
      <c r="J79" s="1685">
        <v>102</v>
      </c>
      <c r="K79" s="1685">
        <v>118</v>
      </c>
      <c r="L79" s="1685">
        <v>110</v>
      </c>
      <c r="M79" s="1685">
        <v>166</v>
      </c>
      <c r="N79" s="1685">
        <v>172</v>
      </c>
      <c r="O79" s="1686">
        <v>155</v>
      </c>
      <c r="P79" s="1687">
        <v>194</v>
      </c>
      <c r="Q79" s="1688">
        <v>225</v>
      </c>
      <c r="R79" s="1688">
        <v>75</v>
      </c>
      <c r="S79" s="1688">
        <v>146</v>
      </c>
      <c r="T79" s="1688">
        <v>108</v>
      </c>
      <c r="U79" s="1688">
        <v>91</v>
      </c>
      <c r="V79" s="1688">
        <v>59</v>
      </c>
      <c r="W79" s="1688">
        <v>146</v>
      </c>
      <c r="X79" s="1688">
        <v>144</v>
      </c>
      <c r="Y79" s="1688">
        <v>246</v>
      </c>
      <c r="Z79" s="1688">
        <v>176</v>
      </c>
      <c r="AA79" s="1689">
        <v>156</v>
      </c>
      <c r="AB79" s="1690">
        <v>242</v>
      </c>
      <c r="AC79" s="1691">
        <v>112</v>
      </c>
      <c r="AD79" s="1691">
        <v>107</v>
      </c>
      <c r="AE79" s="1691">
        <v>162</v>
      </c>
      <c r="AF79" s="1691">
        <v>132</v>
      </c>
      <c r="AG79" s="1691">
        <v>102</v>
      </c>
      <c r="AH79" s="1691">
        <v>113</v>
      </c>
      <c r="AI79" s="1691">
        <v>121</v>
      </c>
      <c r="AJ79" s="1691">
        <v>168</v>
      </c>
      <c r="AK79" s="1691">
        <v>111</v>
      </c>
      <c r="AL79" s="1691">
        <v>109</v>
      </c>
      <c r="AM79" s="1692">
        <v>124</v>
      </c>
      <c r="AN79" s="1693">
        <v>180</v>
      </c>
      <c r="AO79" s="1694">
        <v>118</v>
      </c>
      <c r="AP79" s="1694">
        <v>148</v>
      </c>
      <c r="AQ79" s="1694">
        <v>100</v>
      </c>
      <c r="AR79" s="1694">
        <v>129</v>
      </c>
      <c r="AS79" s="1694">
        <v>93</v>
      </c>
      <c r="AT79" s="1694">
        <v>88</v>
      </c>
      <c r="AU79" s="1694">
        <v>74</v>
      </c>
      <c r="AV79" s="1694">
        <v>110</v>
      </c>
      <c r="AW79" s="1694">
        <v>95</v>
      </c>
      <c r="AX79" s="1694">
        <v>136</v>
      </c>
      <c r="AY79" s="1695">
        <v>177</v>
      </c>
      <c r="AZ79" s="1680">
        <v>162</v>
      </c>
      <c r="BA79" s="1680">
        <v>143</v>
      </c>
      <c r="BB79" s="1680">
        <v>142</v>
      </c>
      <c r="BC79" s="1680">
        <v>190</v>
      </c>
      <c r="BD79" s="1680">
        <v>66</v>
      </c>
      <c r="BE79" s="1680">
        <v>108</v>
      </c>
      <c r="BF79" s="1680">
        <v>147</v>
      </c>
      <c r="BG79" s="1680">
        <v>120</v>
      </c>
      <c r="BH79" s="1680">
        <v>122</v>
      </c>
      <c r="BI79" s="1680">
        <v>233</v>
      </c>
      <c r="BJ79" s="1680">
        <v>327</v>
      </c>
      <c r="BK79" s="1731">
        <v>182</v>
      </c>
      <c r="BL79" s="1698">
        <v>251</v>
      </c>
      <c r="BM79" s="1699">
        <v>150</v>
      </c>
      <c r="BN79" s="1699">
        <v>195</v>
      </c>
      <c r="BO79" s="1699">
        <v>172</v>
      </c>
      <c r="BP79" s="1699">
        <v>182</v>
      </c>
      <c r="BQ79" s="1699">
        <v>137</v>
      </c>
      <c r="BR79" s="1699">
        <v>166</v>
      </c>
      <c r="BS79" s="1699">
        <v>178</v>
      </c>
      <c r="BT79" s="1700">
        <v>154</v>
      </c>
      <c r="BU79" s="1700">
        <v>220</v>
      </c>
      <c r="BV79" s="1700">
        <v>229</v>
      </c>
      <c r="BW79" s="1701">
        <v>199</v>
      </c>
      <c r="BX79" s="1702">
        <v>291</v>
      </c>
      <c r="BY79" s="1511">
        <v>256</v>
      </c>
      <c r="BZ79" s="1511">
        <v>196</v>
      </c>
      <c r="CA79" s="1511">
        <v>178</v>
      </c>
      <c r="CB79" s="1511">
        <v>194</v>
      </c>
      <c r="CC79" s="1511">
        <v>139</v>
      </c>
      <c r="CD79" s="1511">
        <v>129</v>
      </c>
      <c r="CE79" s="1511">
        <v>136</v>
      </c>
      <c r="CF79" s="1511">
        <v>181</v>
      </c>
      <c r="CG79" s="1511">
        <v>182</v>
      </c>
      <c r="CH79" s="1511">
        <v>201</v>
      </c>
      <c r="CI79" s="1513">
        <v>247</v>
      </c>
      <c r="CJ79" s="1703">
        <v>283</v>
      </c>
      <c r="CK79" s="1704">
        <v>291</v>
      </c>
      <c r="CL79" s="1704">
        <v>178</v>
      </c>
      <c r="CM79" s="1704">
        <v>224</v>
      </c>
      <c r="CN79" s="1704">
        <v>155</v>
      </c>
      <c r="CO79" s="1704">
        <v>158</v>
      </c>
      <c r="CP79" s="1704">
        <v>153</v>
      </c>
      <c r="CQ79" s="1704">
        <v>165</v>
      </c>
      <c r="CR79" s="1704">
        <v>173</v>
      </c>
      <c r="CS79" s="1704">
        <v>247</v>
      </c>
      <c r="CT79" s="1704">
        <v>240</v>
      </c>
      <c r="CU79" s="1705">
        <v>293</v>
      </c>
      <c r="CV79" s="1703">
        <v>376</v>
      </c>
      <c r="CW79" s="1704">
        <v>163</v>
      </c>
      <c r="CX79" s="1510">
        <v>162</v>
      </c>
      <c r="CY79" s="1510">
        <v>180</v>
      </c>
      <c r="CZ79" s="1510">
        <v>145</v>
      </c>
      <c r="DA79" s="1510">
        <v>118</v>
      </c>
      <c r="DB79" s="1510">
        <v>159</v>
      </c>
      <c r="DC79" s="1510">
        <v>113</v>
      </c>
      <c r="DD79" s="1510">
        <v>185</v>
      </c>
      <c r="DE79" s="1510">
        <v>181</v>
      </c>
      <c r="DF79" s="1510">
        <v>191</v>
      </c>
      <c r="DG79" s="1705">
        <v>200</v>
      </c>
      <c r="DH79" s="1706">
        <v>228</v>
      </c>
      <c r="DI79" s="1707">
        <v>199</v>
      </c>
      <c r="DJ79" s="1707">
        <v>167</v>
      </c>
      <c r="DK79" s="1708">
        <v>147</v>
      </c>
      <c r="DL79" s="1708">
        <v>136</v>
      </c>
      <c r="DM79" s="1708">
        <v>146</v>
      </c>
      <c r="DN79" s="1708">
        <v>117</v>
      </c>
      <c r="DO79" s="1708">
        <v>130</v>
      </c>
      <c r="DP79" s="1708">
        <v>108</v>
      </c>
      <c r="DQ79" s="1708">
        <v>266</v>
      </c>
      <c r="DR79" s="1708">
        <v>200</v>
      </c>
      <c r="DS79" s="1709">
        <v>214</v>
      </c>
      <c r="DT79" s="1683">
        <v>248</v>
      </c>
      <c r="DU79" s="1502">
        <v>204</v>
      </c>
      <c r="DV79" s="1502">
        <v>211</v>
      </c>
      <c r="DW79" s="1487">
        <v>202</v>
      </c>
      <c r="DX79" s="1487">
        <v>142</v>
      </c>
      <c r="DY79" s="1487">
        <v>160</v>
      </c>
      <c r="DZ79" s="1487">
        <v>134</v>
      </c>
      <c r="EA79" s="1487">
        <v>152</v>
      </c>
      <c r="EB79" s="1487">
        <v>185</v>
      </c>
      <c r="EC79" s="1487">
        <v>234</v>
      </c>
      <c r="ED79" s="1487">
        <v>193</v>
      </c>
      <c r="EE79" s="1486">
        <v>296</v>
      </c>
      <c r="EF79" s="1927">
        <v>246</v>
      </c>
      <c r="EG79" s="34">
        <v>213</v>
      </c>
      <c r="EH79" s="34">
        <v>182</v>
      </c>
      <c r="EI79" s="34">
        <v>198</v>
      </c>
      <c r="EJ79" s="34">
        <v>159</v>
      </c>
      <c r="EK79" s="34">
        <v>138</v>
      </c>
      <c r="EL79" s="34">
        <v>169</v>
      </c>
      <c r="EM79" s="2345">
        <v>173</v>
      </c>
      <c r="EN79" s="2345">
        <v>195</v>
      </c>
      <c r="EO79" s="2346">
        <v>203</v>
      </c>
      <c r="EP79" s="2346">
        <v>223</v>
      </c>
      <c r="EQ79" s="2347">
        <v>279</v>
      </c>
      <c r="ER79" s="3103">
        <v>262</v>
      </c>
      <c r="ES79" s="3095"/>
      <c r="ET79" s="3095"/>
      <c r="EU79" s="3095"/>
      <c r="EV79" s="3095"/>
      <c r="EW79" s="3095"/>
      <c r="EX79" s="3095"/>
      <c r="EY79" s="3095"/>
      <c r="EZ79" s="3095"/>
      <c r="FA79" s="3095"/>
      <c r="FB79" s="3095"/>
      <c r="FC79" s="3104"/>
      <c r="FD79" s="2437"/>
      <c r="FE79" s="1710">
        <v>307</v>
      </c>
      <c r="FF79" s="1711">
        <v>294</v>
      </c>
      <c r="FG79" s="1711">
        <v>330</v>
      </c>
      <c r="FH79" s="1712">
        <v>493</v>
      </c>
      <c r="FI79" s="1713">
        <v>494</v>
      </c>
      <c r="FJ79" s="1714">
        <v>345</v>
      </c>
      <c r="FK79" s="1714">
        <v>349</v>
      </c>
      <c r="FL79" s="1715">
        <v>578</v>
      </c>
      <c r="FM79" s="1716">
        <v>461</v>
      </c>
      <c r="FN79" s="1717">
        <v>396</v>
      </c>
      <c r="FO79" s="1718">
        <v>402</v>
      </c>
      <c r="FP79" s="1718">
        <v>344</v>
      </c>
      <c r="FQ79" s="1719">
        <v>446</v>
      </c>
      <c r="FR79" s="1720">
        <v>322</v>
      </c>
      <c r="FS79" s="1720">
        <v>272</v>
      </c>
      <c r="FT79" s="1721">
        <v>408</v>
      </c>
      <c r="FU79" s="1722">
        <v>447</v>
      </c>
      <c r="FV79" s="1723">
        <v>364</v>
      </c>
      <c r="FW79" s="1723">
        <v>389</v>
      </c>
      <c r="FX79" s="1724">
        <v>742</v>
      </c>
      <c r="FY79" s="1720">
        <v>596</v>
      </c>
      <c r="FZ79" s="1720">
        <v>491</v>
      </c>
      <c r="GA79" s="1720">
        <v>498</v>
      </c>
      <c r="GB79" s="1720">
        <v>648</v>
      </c>
      <c r="GC79" s="1725">
        <v>743</v>
      </c>
      <c r="GD79" s="1725">
        <v>511</v>
      </c>
      <c r="GE79" s="1725">
        <v>446</v>
      </c>
      <c r="GF79" s="1725">
        <v>630</v>
      </c>
      <c r="GG79" s="1726">
        <v>752</v>
      </c>
      <c r="GH79" s="1726">
        <v>537</v>
      </c>
      <c r="GI79" s="1726">
        <f t="shared" si="17"/>
        <v>491</v>
      </c>
      <c r="GJ79" s="1726">
        <v>780</v>
      </c>
      <c r="GK79" s="1727">
        <v>701</v>
      </c>
      <c r="GL79" s="1727">
        <f t="shared" si="18"/>
        <v>443</v>
      </c>
      <c r="GM79" s="1727">
        <f t="shared" si="19"/>
        <v>457</v>
      </c>
      <c r="GN79" s="1726">
        <f t="shared" si="20"/>
        <v>572</v>
      </c>
      <c r="GO79" s="1541">
        <f t="shared" si="21"/>
        <v>594</v>
      </c>
      <c r="GP79" s="1541">
        <f t="shared" si="22"/>
        <v>429</v>
      </c>
      <c r="GQ79" s="1541">
        <f t="shared" si="23"/>
        <v>461</v>
      </c>
      <c r="GR79" s="1541">
        <f t="shared" si="24"/>
        <v>680</v>
      </c>
      <c r="GS79" s="1728">
        <f t="shared" si="25"/>
        <v>663</v>
      </c>
      <c r="GT79" s="1728">
        <f t="shared" si="26"/>
        <v>504</v>
      </c>
      <c r="GU79" s="1728">
        <f t="shared" si="27"/>
        <v>471</v>
      </c>
      <c r="GV79" s="1728">
        <f t="shared" si="28"/>
        <v>723</v>
      </c>
      <c r="GW79" s="1939">
        <f t="shared" si="29"/>
        <v>641</v>
      </c>
      <c r="GX79" s="1725">
        <f t="shared" si="30"/>
        <v>495</v>
      </c>
      <c r="GY79" s="1725">
        <f t="shared" si="31"/>
        <v>537</v>
      </c>
      <c r="GZ79" s="1725">
        <f t="shared" si="32"/>
        <v>705</v>
      </c>
      <c r="HA79" s="2443">
        <f t="shared" si="33"/>
        <v>262</v>
      </c>
      <c r="HB79" s="2444">
        <f t="shared" si="34"/>
        <v>0</v>
      </c>
      <c r="HC79" s="2444">
        <f t="shared" si="35"/>
        <v>0</v>
      </c>
      <c r="HD79" s="2444">
        <f t="shared" si="36"/>
        <v>0</v>
      </c>
      <c r="HE79" s="1940"/>
      <c r="HF79" s="1729">
        <v>1424</v>
      </c>
      <c r="HG79" s="1730">
        <v>1766</v>
      </c>
      <c r="HH79" s="1730">
        <v>1603</v>
      </c>
      <c r="HI79" s="1730">
        <v>1448</v>
      </c>
      <c r="HJ79" s="1730">
        <v>1942</v>
      </c>
      <c r="HK79" s="1730">
        <v>2233</v>
      </c>
      <c r="HL79" s="2421">
        <v>2330</v>
      </c>
      <c r="HM79" s="2423">
        <v>2560</v>
      </c>
      <c r="HN79" s="2423">
        <f t="shared" si="37"/>
        <v>2173</v>
      </c>
      <c r="HO79" s="2423">
        <f t="shared" si="38"/>
        <v>2058</v>
      </c>
      <c r="HP79" s="2423">
        <f t="shared" si="39"/>
        <v>2361</v>
      </c>
      <c r="HQ79" s="2423">
        <f t="shared" si="40"/>
        <v>2378</v>
      </c>
      <c r="HR79" s="2452">
        <f t="shared" si="41"/>
        <v>262</v>
      </c>
      <c r="HS79" s="2453">
        <f t="shared" si="49"/>
        <v>2394</v>
      </c>
      <c r="HT79" s="2455">
        <f t="shared" si="42"/>
        <v>2320.6666666666665</v>
      </c>
      <c r="HU79" s="1737">
        <f t="shared" si="43"/>
        <v>3.2790228575616687E-3</v>
      </c>
      <c r="HV79" s="1737">
        <f t="shared" si="44"/>
        <v>3.6160023034593242E-3</v>
      </c>
      <c r="HW79" s="1737">
        <f t="shared" si="50"/>
        <v>3.4341284202287206E-3</v>
      </c>
      <c r="HX79" s="2458">
        <f t="shared" si="51"/>
        <v>3.3513319402344198E-3</v>
      </c>
      <c r="HY79" s="1734"/>
      <c r="HZ79" s="2302">
        <f t="shared" si="45"/>
        <v>0.14723032069970854</v>
      </c>
      <c r="IA79" s="2300">
        <f t="shared" si="46"/>
        <v>0.12763200518302553</v>
      </c>
      <c r="IB79" s="2300">
        <f t="shared" si="47"/>
        <v>7.2003388394747958E-3</v>
      </c>
      <c r="IC79" s="2302">
        <f t="shared" si="48"/>
        <v>6.728343145500526E-3</v>
      </c>
    </row>
    <row r="80" spans="1:237" s="341" customFormat="1" ht="21.95" customHeight="1">
      <c r="A80" s="370"/>
      <c r="C80" s="467" t="s">
        <v>25</v>
      </c>
      <c r="D80" s="1732">
        <v>90</v>
      </c>
      <c r="E80" s="1525">
        <v>70</v>
      </c>
      <c r="F80" s="1525">
        <v>94</v>
      </c>
      <c r="G80" s="1525">
        <v>80</v>
      </c>
      <c r="H80" s="1525">
        <v>77</v>
      </c>
      <c r="I80" s="1525">
        <v>104</v>
      </c>
      <c r="J80" s="1525">
        <v>112</v>
      </c>
      <c r="K80" s="1525">
        <v>170</v>
      </c>
      <c r="L80" s="1525">
        <v>120</v>
      </c>
      <c r="M80" s="1525">
        <v>184</v>
      </c>
      <c r="N80" s="1525">
        <v>125</v>
      </c>
      <c r="O80" s="1733">
        <v>60</v>
      </c>
      <c r="P80" s="1687">
        <v>96</v>
      </c>
      <c r="Q80" s="1688">
        <v>129</v>
      </c>
      <c r="R80" s="1688">
        <v>105</v>
      </c>
      <c r="S80" s="1688">
        <v>118</v>
      </c>
      <c r="T80" s="1688">
        <v>121</v>
      </c>
      <c r="U80" s="1688">
        <v>112</v>
      </c>
      <c r="V80" s="1688">
        <v>164</v>
      </c>
      <c r="W80" s="1688">
        <v>138</v>
      </c>
      <c r="X80" s="1688">
        <v>125</v>
      </c>
      <c r="Y80" s="1688">
        <v>137</v>
      </c>
      <c r="Z80" s="1688">
        <v>167</v>
      </c>
      <c r="AA80" s="1689">
        <v>102</v>
      </c>
      <c r="AB80" s="1690">
        <v>111</v>
      </c>
      <c r="AC80" s="1691">
        <v>90</v>
      </c>
      <c r="AD80" s="1691">
        <v>127</v>
      </c>
      <c r="AE80" s="1691">
        <v>124</v>
      </c>
      <c r="AF80" s="1691">
        <v>129.5</v>
      </c>
      <c r="AG80" s="1691">
        <v>135</v>
      </c>
      <c r="AH80" s="1691">
        <v>136</v>
      </c>
      <c r="AI80" s="1691">
        <v>128</v>
      </c>
      <c r="AJ80" s="1691">
        <v>105</v>
      </c>
      <c r="AK80" s="1691">
        <v>161</v>
      </c>
      <c r="AL80" s="1691">
        <v>145</v>
      </c>
      <c r="AM80" s="1692">
        <v>92</v>
      </c>
      <c r="AN80" s="1693">
        <v>110</v>
      </c>
      <c r="AO80" s="1694">
        <v>117</v>
      </c>
      <c r="AP80" s="1694">
        <v>126</v>
      </c>
      <c r="AQ80" s="1694">
        <v>133</v>
      </c>
      <c r="AR80" s="1694">
        <v>112</v>
      </c>
      <c r="AS80" s="1694">
        <v>130</v>
      </c>
      <c r="AT80" s="1694">
        <v>106</v>
      </c>
      <c r="AU80" s="1694">
        <v>129</v>
      </c>
      <c r="AV80" s="1694">
        <v>98</v>
      </c>
      <c r="AW80" s="1694">
        <v>102</v>
      </c>
      <c r="AX80" s="1694">
        <v>193</v>
      </c>
      <c r="AY80" s="1695">
        <v>110</v>
      </c>
      <c r="AZ80" s="1680">
        <v>120</v>
      </c>
      <c r="BA80" s="1680">
        <v>131</v>
      </c>
      <c r="BB80" s="1680">
        <v>181</v>
      </c>
      <c r="BC80" s="1680">
        <v>146</v>
      </c>
      <c r="BD80" s="1680">
        <v>119</v>
      </c>
      <c r="BE80" s="1680">
        <v>111</v>
      </c>
      <c r="BF80" s="1680">
        <v>135</v>
      </c>
      <c r="BG80" s="1680">
        <v>117</v>
      </c>
      <c r="BH80" s="1680">
        <v>146</v>
      </c>
      <c r="BI80" s="1680">
        <v>146</v>
      </c>
      <c r="BJ80" s="1680">
        <v>146</v>
      </c>
      <c r="BK80" s="1731">
        <v>94</v>
      </c>
      <c r="BL80" s="1698">
        <v>88</v>
      </c>
      <c r="BM80" s="1699">
        <v>92</v>
      </c>
      <c r="BN80" s="1699">
        <v>110</v>
      </c>
      <c r="BO80" s="1699">
        <v>169</v>
      </c>
      <c r="BP80" s="1699">
        <v>178</v>
      </c>
      <c r="BQ80" s="1699">
        <v>182</v>
      </c>
      <c r="BR80" s="1699">
        <v>203</v>
      </c>
      <c r="BS80" s="1699">
        <v>98</v>
      </c>
      <c r="BT80" s="1700">
        <v>163</v>
      </c>
      <c r="BU80" s="1700">
        <v>160</v>
      </c>
      <c r="BV80" s="1700">
        <v>216</v>
      </c>
      <c r="BW80" s="1701">
        <v>139</v>
      </c>
      <c r="BX80" s="1702">
        <v>147</v>
      </c>
      <c r="BY80" s="1511">
        <v>131</v>
      </c>
      <c r="BZ80" s="1511">
        <v>146</v>
      </c>
      <c r="CA80" s="1511">
        <v>150</v>
      </c>
      <c r="CB80" s="1511">
        <v>161</v>
      </c>
      <c r="CC80" s="1511">
        <v>198</v>
      </c>
      <c r="CD80" s="1511">
        <v>154</v>
      </c>
      <c r="CE80" s="1511">
        <v>173</v>
      </c>
      <c r="CF80" s="1511">
        <v>155</v>
      </c>
      <c r="CG80" s="1511">
        <v>288</v>
      </c>
      <c r="CH80" s="1511">
        <v>181</v>
      </c>
      <c r="CI80" s="1513">
        <v>120</v>
      </c>
      <c r="CJ80" s="1703">
        <v>145</v>
      </c>
      <c r="CK80" s="1704">
        <v>146</v>
      </c>
      <c r="CL80" s="1704">
        <v>144</v>
      </c>
      <c r="CM80" s="1704">
        <v>156</v>
      </c>
      <c r="CN80" s="1704">
        <v>133</v>
      </c>
      <c r="CO80" s="1704">
        <v>125</v>
      </c>
      <c r="CP80" s="1704">
        <v>156</v>
      </c>
      <c r="CQ80" s="1704">
        <v>183</v>
      </c>
      <c r="CR80" s="1704">
        <v>249</v>
      </c>
      <c r="CS80" s="1704">
        <v>141</v>
      </c>
      <c r="CT80" s="1704">
        <v>221</v>
      </c>
      <c r="CU80" s="1705">
        <v>169</v>
      </c>
      <c r="CV80" s="1703">
        <v>176</v>
      </c>
      <c r="CW80" s="1704">
        <v>115</v>
      </c>
      <c r="CX80" s="1510">
        <v>180</v>
      </c>
      <c r="CY80" s="1510">
        <v>180</v>
      </c>
      <c r="CZ80" s="1510">
        <v>192</v>
      </c>
      <c r="DA80" s="1510">
        <v>170</v>
      </c>
      <c r="DB80" s="1510">
        <v>148</v>
      </c>
      <c r="DC80" s="1510">
        <v>190</v>
      </c>
      <c r="DD80" s="1510">
        <v>162</v>
      </c>
      <c r="DE80" s="1510">
        <v>176</v>
      </c>
      <c r="DF80" s="1510">
        <v>180</v>
      </c>
      <c r="DG80" s="1705">
        <v>130</v>
      </c>
      <c r="DH80" s="1706">
        <v>160</v>
      </c>
      <c r="DI80" s="1707">
        <v>120</v>
      </c>
      <c r="DJ80" s="1707">
        <v>153</v>
      </c>
      <c r="DK80" s="1708">
        <v>121</v>
      </c>
      <c r="DL80" s="1708">
        <v>126</v>
      </c>
      <c r="DM80" s="1708">
        <v>187</v>
      </c>
      <c r="DN80" s="1708">
        <v>148</v>
      </c>
      <c r="DO80" s="1708">
        <v>133</v>
      </c>
      <c r="DP80" s="1708">
        <v>121</v>
      </c>
      <c r="DQ80" s="1708">
        <v>231</v>
      </c>
      <c r="DR80" s="1708">
        <v>192</v>
      </c>
      <c r="DS80" s="1709">
        <v>155</v>
      </c>
      <c r="DT80" s="1683">
        <v>279</v>
      </c>
      <c r="DU80" s="1502">
        <v>182</v>
      </c>
      <c r="DV80" s="1502">
        <v>147</v>
      </c>
      <c r="DW80" s="1487">
        <v>152</v>
      </c>
      <c r="DX80" s="1487">
        <v>125</v>
      </c>
      <c r="DY80" s="1487">
        <v>152</v>
      </c>
      <c r="DZ80" s="1487">
        <v>203</v>
      </c>
      <c r="EA80" s="1487">
        <v>198</v>
      </c>
      <c r="EB80" s="1487">
        <v>213</v>
      </c>
      <c r="EC80" s="1487">
        <v>185</v>
      </c>
      <c r="ED80" s="1487">
        <v>205</v>
      </c>
      <c r="EE80" s="1486">
        <v>242</v>
      </c>
      <c r="EF80" s="1927">
        <v>240</v>
      </c>
      <c r="EG80" s="34">
        <v>134</v>
      </c>
      <c r="EH80" s="34">
        <v>197</v>
      </c>
      <c r="EI80" s="34">
        <v>152</v>
      </c>
      <c r="EJ80" s="34">
        <v>183</v>
      </c>
      <c r="EK80" s="34">
        <v>238</v>
      </c>
      <c r="EL80" s="34">
        <v>201</v>
      </c>
      <c r="EM80" s="2345">
        <v>184</v>
      </c>
      <c r="EN80" s="2345">
        <v>193</v>
      </c>
      <c r="EO80" s="2346">
        <v>217</v>
      </c>
      <c r="EP80" s="2346">
        <v>232</v>
      </c>
      <c r="EQ80" s="2347">
        <v>203</v>
      </c>
      <c r="ER80" s="3111">
        <v>191</v>
      </c>
      <c r="ES80" s="3099"/>
      <c r="ET80" s="3099"/>
      <c r="EU80" s="3099"/>
      <c r="EV80" s="3099"/>
      <c r="EW80" s="3099"/>
      <c r="EX80" s="3099"/>
      <c r="EY80" s="3099"/>
      <c r="EZ80" s="3099"/>
      <c r="FA80" s="3099"/>
      <c r="FB80" s="3099"/>
      <c r="FC80" s="3112"/>
      <c r="FD80" s="2437"/>
      <c r="FE80" s="1710">
        <v>254</v>
      </c>
      <c r="FF80" s="1711">
        <v>261</v>
      </c>
      <c r="FG80" s="1711">
        <v>402</v>
      </c>
      <c r="FH80" s="1712">
        <v>369</v>
      </c>
      <c r="FI80" s="1713">
        <v>330</v>
      </c>
      <c r="FJ80" s="1714">
        <v>351</v>
      </c>
      <c r="FK80" s="1714">
        <v>427</v>
      </c>
      <c r="FL80" s="1715">
        <v>406</v>
      </c>
      <c r="FM80" s="1716">
        <v>328</v>
      </c>
      <c r="FN80" s="1717">
        <v>388.5</v>
      </c>
      <c r="FO80" s="1718">
        <v>369</v>
      </c>
      <c r="FP80" s="1718">
        <v>398</v>
      </c>
      <c r="FQ80" s="1719">
        <v>353</v>
      </c>
      <c r="FR80" s="1720">
        <v>375</v>
      </c>
      <c r="FS80" s="1720">
        <v>333</v>
      </c>
      <c r="FT80" s="1721">
        <v>405</v>
      </c>
      <c r="FU80" s="1722">
        <v>432</v>
      </c>
      <c r="FV80" s="1723">
        <v>376</v>
      </c>
      <c r="FW80" s="1723">
        <v>398</v>
      </c>
      <c r="FX80" s="1724">
        <v>386</v>
      </c>
      <c r="FY80" s="1720">
        <v>290</v>
      </c>
      <c r="FZ80" s="1720">
        <v>529</v>
      </c>
      <c r="GA80" s="1720">
        <v>464</v>
      </c>
      <c r="GB80" s="1720">
        <v>515</v>
      </c>
      <c r="GC80" s="1725">
        <v>424</v>
      </c>
      <c r="GD80" s="1725">
        <v>509</v>
      </c>
      <c r="GE80" s="1725">
        <v>482</v>
      </c>
      <c r="GF80" s="1725">
        <v>589</v>
      </c>
      <c r="GG80" s="1726">
        <v>435</v>
      </c>
      <c r="GH80" s="1726">
        <v>414</v>
      </c>
      <c r="GI80" s="1726">
        <f t="shared" si="17"/>
        <v>588</v>
      </c>
      <c r="GJ80" s="1726">
        <v>531</v>
      </c>
      <c r="GK80" s="1727">
        <v>471</v>
      </c>
      <c r="GL80" s="1727">
        <f t="shared" si="18"/>
        <v>542</v>
      </c>
      <c r="GM80" s="1727">
        <f t="shared" si="19"/>
        <v>500</v>
      </c>
      <c r="GN80" s="1726">
        <f t="shared" si="20"/>
        <v>486</v>
      </c>
      <c r="GO80" s="1541">
        <f t="shared" si="21"/>
        <v>433</v>
      </c>
      <c r="GP80" s="1541">
        <f t="shared" si="22"/>
        <v>434</v>
      </c>
      <c r="GQ80" s="1541">
        <f t="shared" si="23"/>
        <v>436</v>
      </c>
      <c r="GR80" s="1541">
        <f t="shared" si="24"/>
        <v>578</v>
      </c>
      <c r="GS80" s="1728">
        <f t="shared" si="25"/>
        <v>608</v>
      </c>
      <c r="GT80" s="1728">
        <f t="shared" si="26"/>
        <v>429</v>
      </c>
      <c r="GU80" s="1728">
        <f t="shared" si="27"/>
        <v>614</v>
      </c>
      <c r="GV80" s="1728">
        <f t="shared" si="28"/>
        <v>632</v>
      </c>
      <c r="GW80" s="1939">
        <f t="shared" si="29"/>
        <v>571</v>
      </c>
      <c r="GX80" s="1725">
        <f t="shared" si="30"/>
        <v>573</v>
      </c>
      <c r="GY80" s="1725">
        <f t="shared" si="31"/>
        <v>578</v>
      </c>
      <c r="GZ80" s="1725">
        <f t="shared" si="32"/>
        <v>652</v>
      </c>
      <c r="HA80" s="2443">
        <f t="shared" si="33"/>
        <v>191</v>
      </c>
      <c r="HB80" s="2444">
        <f t="shared" si="34"/>
        <v>0</v>
      </c>
      <c r="HC80" s="2444">
        <f t="shared" si="35"/>
        <v>0</v>
      </c>
      <c r="HD80" s="2444">
        <f t="shared" si="36"/>
        <v>0</v>
      </c>
      <c r="HE80" s="1940"/>
      <c r="HF80" s="1729">
        <v>1286</v>
      </c>
      <c r="HG80" s="1730">
        <v>1514</v>
      </c>
      <c r="HH80" s="1730">
        <v>1483.5</v>
      </c>
      <c r="HI80" s="1730">
        <v>1466</v>
      </c>
      <c r="HJ80" s="1730">
        <v>1592</v>
      </c>
      <c r="HK80" s="1730">
        <v>1798</v>
      </c>
      <c r="HL80" s="2421">
        <v>2004</v>
      </c>
      <c r="HM80" s="2423">
        <v>1968</v>
      </c>
      <c r="HN80" s="2423">
        <f t="shared" si="37"/>
        <v>1999</v>
      </c>
      <c r="HO80" s="2423">
        <f t="shared" si="38"/>
        <v>1847</v>
      </c>
      <c r="HP80" s="2423">
        <f t="shared" si="39"/>
        <v>2283</v>
      </c>
      <c r="HQ80" s="2423">
        <f t="shared" si="40"/>
        <v>2374</v>
      </c>
      <c r="HR80" s="2452">
        <f t="shared" si="41"/>
        <v>191</v>
      </c>
      <c r="HS80" s="2453">
        <f t="shared" si="49"/>
        <v>2325</v>
      </c>
      <c r="HT80" s="2455">
        <f t="shared" si="42"/>
        <v>2132.6666666666665</v>
      </c>
      <c r="HU80" s="1737">
        <f t="shared" si="43"/>
        <v>2.9428353828553949E-3</v>
      </c>
      <c r="HV80" s="1737">
        <f t="shared" si="44"/>
        <v>3.4965409821252169E-3</v>
      </c>
      <c r="HW80" s="1737">
        <f t="shared" si="50"/>
        <v>3.4283519216244669E-3</v>
      </c>
      <c r="HX80" s="2458">
        <f t="shared" si="51"/>
        <v>3.0798365058345039E-3</v>
      </c>
      <c r="HY80" s="1734"/>
      <c r="HZ80" s="2302">
        <f t="shared" si="45"/>
        <v>0.23605847319978346</v>
      </c>
      <c r="IA80" s="2300">
        <f t="shared" si="46"/>
        <v>0.15466522288395579</v>
      </c>
      <c r="IB80" s="2300">
        <f t="shared" si="47"/>
        <v>3.985983355234346E-2</v>
      </c>
      <c r="IC80" s="2302">
        <f t="shared" si="48"/>
        <v>-2.064026958719456E-2</v>
      </c>
    </row>
    <row r="81" spans="1:237" s="341" customFormat="1" ht="21.95" customHeight="1">
      <c r="A81" s="370"/>
      <c r="C81" s="557" t="s">
        <v>29</v>
      </c>
      <c r="D81" s="1732">
        <v>138</v>
      </c>
      <c r="E81" s="1525">
        <v>149</v>
      </c>
      <c r="F81" s="1525">
        <v>93</v>
      </c>
      <c r="G81" s="1525">
        <v>71</v>
      </c>
      <c r="H81" s="1525">
        <v>66</v>
      </c>
      <c r="I81" s="1525">
        <v>73</v>
      </c>
      <c r="J81" s="1525">
        <v>273</v>
      </c>
      <c r="K81" s="1525">
        <v>222</v>
      </c>
      <c r="L81" s="1525">
        <v>113</v>
      </c>
      <c r="M81" s="1525">
        <v>166</v>
      </c>
      <c r="N81" s="1525">
        <v>134</v>
      </c>
      <c r="O81" s="1733">
        <v>162</v>
      </c>
      <c r="P81" s="1687">
        <v>167</v>
      </c>
      <c r="Q81" s="1688">
        <v>188</v>
      </c>
      <c r="R81" s="1688">
        <v>94</v>
      </c>
      <c r="S81" s="1688">
        <v>113</v>
      </c>
      <c r="T81" s="1688">
        <v>105</v>
      </c>
      <c r="U81" s="1688">
        <v>120</v>
      </c>
      <c r="V81" s="1688">
        <v>255</v>
      </c>
      <c r="W81" s="1688">
        <v>170</v>
      </c>
      <c r="X81" s="1688">
        <v>131</v>
      </c>
      <c r="Y81" s="1688">
        <v>185</v>
      </c>
      <c r="Z81" s="1688">
        <v>164</v>
      </c>
      <c r="AA81" s="1689">
        <v>159</v>
      </c>
      <c r="AB81" s="1690">
        <v>134</v>
      </c>
      <c r="AC81" s="1691">
        <v>96</v>
      </c>
      <c r="AD81" s="1691">
        <v>90</v>
      </c>
      <c r="AE81" s="1691">
        <v>110</v>
      </c>
      <c r="AF81" s="1691">
        <v>119</v>
      </c>
      <c r="AG81" s="1691">
        <v>128</v>
      </c>
      <c r="AH81" s="1691">
        <v>272</v>
      </c>
      <c r="AI81" s="1691">
        <v>165</v>
      </c>
      <c r="AJ81" s="1691">
        <v>119</v>
      </c>
      <c r="AK81" s="1691">
        <v>146</v>
      </c>
      <c r="AL81" s="1691">
        <v>215</v>
      </c>
      <c r="AM81" s="1692">
        <v>170</v>
      </c>
      <c r="AN81" s="1693">
        <v>177</v>
      </c>
      <c r="AO81" s="1694">
        <v>92</v>
      </c>
      <c r="AP81" s="1694">
        <v>146</v>
      </c>
      <c r="AQ81" s="1694">
        <v>95</v>
      </c>
      <c r="AR81" s="1694">
        <v>91</v>
      </c>
      <c r="AS81" s="1694">
        <v>100</v>
      </c>
      <c r="AT81" s="1694">
        <v>236</v>
      </c>
      <c r="AU81" s="1694">
        <v>185</v>
      </c>
      <c r="AV81" s="1694">
        <v>102</v>
      </c>
      <c r="AW81" s="1694">
        <v>65</v>
      </c>
      <c r="AX81" s="1694">
        <v>181</v>
      </c>
      <c r="AY81" s="1695">
        <v>133</v>
      </c>
      <c r="AZ81" s="1680">
        <v>124</v>
      </c>
      <c r="BA81" s="1680">
        <v>128</v>
      </c>
      <c r="BB81" s="1680">
        <v>97</v>
      </c>
      <c r="BC81" s="1680">
        <v>97</v>
      </c>
      <c r="BD81" s="1680">
        <v>73</v>
      </c>
      <c r="BE81" s="1680">
        <v>87</v>
      </c>
      <c r="BF81" s="1680">
        <v>232</v>
      </c>
      <c r="BG81" s="1680">
        <v>210</v>
      </c>
      <c r="BH81" s="1680">
        <v>131</v>
      </c>
      <c r="BI81" s="1680">
        <v>157</v>
      </c>
      <c r="BJ81" s="1680">
        <v>200</v>
      </c>
      <c r="BK81" s="1731">
        <v>130</v>
      </c>
      <c r="BL81" s="1698">
        <v>157</v>
      </c>
      <c r="BM81" s="1699">
        <v>139</v>
      </c>
      <c r="BN81" s="1699">
        <v>112</v>
      </c>
      <c r="BO81" s="1699">
        <v>105</v>
      </c>
      <c r="BP81" s="1699">
        <v>107</v>
      </c>
      <c r="BQ81" s="1699">
        <v>110</v>
      </c>
      <c r="BR81" s="1699">
        <v>321</v>
      </c>
      <c r="BS81" s="1699">
        <v>252</v>
      </c>
      <c r="BT81" s="1700">
        <v>119</v>
      </c>
      <c r="BU81" s="1700">
        <v>185</v>
      </c>
      <c r="BV81" s="1700">
        <v>180</v>
      </c>
      <c r="BW81" s="1701">
        <v>215</v>
      </c>
      <c r="BX81" s="1702">
        <v>188</v>
      </c>
      <c r="BY81" s="1511">
        <v>155</v>
      </c>
      <c r="BZ81" s="1511">
        <v>124</v>
      </c>
      <c r="CA81" s="1511">
        <v>85</v>
      </c>
      <c r="CB81" s="1511">
        <v>98</v>
      </c>
      <c r="CC81" s="1511">
        <v>116</v>
      </c>
      <c r="CD81" s="1511">
        <v>334</v>
      </c>
      <c r="CE81" s="1511">
        <v>184</v>
      </c>
      <c r="CF81" s="1511">
        <v>116</v>
      </c>
      <c r="CG81" s="1511">
        <v>188</v>
      </c>
      <c r="CH81" s="1511">
        <v>217</v>
      </c>
      <c r="CI81" s="1513">
        <v>213</v>
      </c>
      <c r="CJ81" s="1703">
        <v>154</v>
      </c>
      <c r="CK81" s="1704">
        <v>218</v>
      </c>
      <c r="CL81" s="1704">
        <v>150</v>
      </c>
      <c r="CM81" s="1704">
        <v>102</v>
      </c>
      <c r="CN81" s="1704">
        <v>127</v>
      </c>
      <c r="CO81" s="1704">
        <v>148</v>
      </c>
      <c r="CP81" s="1704">
        <v>356</v>
      </c>
      <c r="CQ81" s="1704">
        <v>244</v>
      </c>
      <c r="CR81" s="1704">
        <v>139</v>
      </c>
      <c r="CS81" s="1704">
        <v>182</v>
      </c>
      <c r="CT81" s="1704">
        <v>216</v>
      </c>
      <c r="CU81" s="1705">
        <v>174</v>
      </c>
      <c r="CV81" s="1703">
        <v>141</v>
      </c>
      <c r="CW81" s="1704">
        <v>235</v>
      </c>
      <c r="CX81" s="1510">
        <v>158</v>
      </c>
      <c r="CY81" s="1510">
        <v>101</v>
      </c>
      <c r="CZ81" s="1510">
        <v>126</v>
      </c>
      <c r="DA81" s="1510">
        <v>105</v>
      </c>
      <c r="DB81" s="1510">
        <v>297</v>
      </c>
      <c r="DC81" s="1510">
        <v>231</v>
      </c>
      <c r="DD81" s="1510">
        <v>140</v>
      </c>
      <c r="DE81" s="1510">
        <v>165</v>
      </c>
      <c r="DF81" s="1510">
        <v>213</v>
      </c>
      <c r="DG81" s="1705">
        <v>154</v>
      </c>
      <c r="DH81" s="1706">
        <v>151</v>
      </c>
      <c r="DI81" s="1707">
        <v>183</v>
      </c>
      <c r="DJ81" s="1707">
        <v>129</v>
      </c>
      <c r="DK81" s="1708">
        <v>112</v>
      </c>
      <c r="DL81" s="1708">
        <v>87</v>
      </c>
      <c r="DM81" s="1708">
        <v>103</v>
      </c>
      <c r="DN81" s="1708">
        <v>117</v>
      </c>
      <c r="DO81" s="1708">
        <v>153</v>
      </c>
      <c r="DP81" s="1708">
        <v>131</v>
      </c>
      <c r="DQ81" s="1708">
        <v>189</v>
      </c>
      <c r="DR81" s="1708">
        <v>171</v>
      </c>
      <c r="DS81" s="1709">
        <v>137</v>
      </c>
      <c r="DT81" s="1683">
        <v>168</v>
      </c>
      <c r="DU81" s="1502">
        <v>142</v>
      </c>
      <c r="DV81" s="1502">
        <v>113</v>
      </c>
      <c r="DW81" s="1487">
        <v>157</v>
      </c>
      <c r="DX81" s="1487">
        <v>113</v>
      </c>
      <c r="DY81" s="1487">
        <v>102</v>
      </c>
      <c r="DZ81" s="1487">
        <v>264</v>
      </c>
      <c r="EA81" s="1487">
        <v>228</v>
      </c>
      <c r="EB81" s="1487">
        <v>135</v>
      </c>
      <c r="EC81" s="1487">
        <v>169</v>
      </c>
      <c r="ED81" s="1487">
        <v>191</v>
      </c>
      <c r="EE81" s="1486">
        <v>143</v>
      </c>
      <c r="EF81" s="1927">
        <v>187</v>
      </c>
      <c r="EG81" s="34">
        <v>214</v>
      </c>
      <c r="EH81" s="34">
        <v>150</v>
      </c>
      <c r="EI81" s="34">
        <v>142</v>
      </c>
      <c r="EJ81" s="34">
        <v>131</v>
      </c>
      <c r="EK81" s="34">
        <v>131</v>
      </c>
      <c r="EL81" s="34">
        <v>273</v>
      </c>
      <c r="EM81" s="2345">
        <v>208</v>
      </c>
      <c r="EN81" s="2345">
        <v>147</v>
      </c>
      <c r="EO81" s="2346">
        <v>236</v>
      </c>
      <c r="EP81" s="2346">
        <v>206</v>
      </c>
      <c r="EQ81" s="2347">
        <v>165</v>
      </c>
      <c r="ER81" s="3109">
        <v>195</v>
      </c>
      <c r="ES81" s="3098"/>
      <c r="ET81" s="3098"/>
      <c r="EU81" s="3098"/>
      <c r="EV81" s="3098"/>
      <c r="EW81" s="3098"/>
      <c r="EX81" s="3098"/>
      <c r="EY81" s="3098"/>
      <c r="EZ81" s="3098"/>
      <c r="FA81" s="3098"/>
      <c r="FB81" s="3098"/>
      <c r="FC81" s="3110"/>
      <c r="FD81" s="2437"/>
      <c r="FE81" s="1710">
        <v>380</v>
      </c>
      <c r="FF81" s="1711">
        <v>210</v>
      </c>
      <c r="FG81" s="1711">
        <v>608</v>
      </c>
      <c r="FH81" s="1712">
        <v>462</v>
      </c>
      <c r="FI81" s="1713">
        <v>449</v>
      </c>
      <c r="FJ81" s="1714">
        <v>338</v>
      </c>
      <c r="FK81" s="1714">
        <v>556</v>
      </c>
      <c r="FL81" s="1715">
        <v>508</v>
      </c>
      <c r="FM81" s="1716">
        <v>320</v>
      </c>
      <c r="FN81" s="1717">
        <v>357</v>
      </c>
      <c r="FO81" s="1718">
        <v>556</v>
      </c>
      <c r="FP81" s="1718">
        <v>531</v>
      </c>
      <c r="FQ81" s="1719">
        <v>415</v>
      </c>
      <c r="FR81" s="1720">
        <v>286</v>
      </c>
      <c r="FS81" s="1720">
        <v>523</v>
      </c>
      <c r="FT81" s="1721">
        <v>379</v>
      </c>
      <c r="FU81" s="1722">
        <v>349</v>
      </c>
      <c r="FV81" s="1723">
        <v>257</v>
      </c>
      <c r="FW81" s="1723">
        <v>573</v>
      </c>
      <c r="FX81" s="1724">
        <v>487</v>
      </c>
      <c r="FY81" s="1720">
        <v>408</v>
      </c>
      <c r="FZ81" s="1720">
        <v>322</v>
      </c>
      <c r="GA81" s="1720">
        <v>692</v>
      </c>
      <c r="GB81" s="1720">
        <v>580</v>
      </c>
      <c r="GC81" s="1725">
        <v>467</v>
      </c>
      <c r="GD81" s="1725">
        <v>299</v>
      </c>
      <c r="GE81" s="1725">
        <v>634</v>
      </c>
      <c r="GF81" s="1725">
        <v>618</v>
      </c>
      <c r="GG81" s="1726">
        <v>522</v>
      </c>
      <c r="GH81" s="1726">
        <v>377</v>
      </c>
      <c r="GI81" s="1726">
        <f t="shared" si="17"/>
        <v>739</v>
      </c>
      <c r="GJ81" s="1726">
        <v>572</v>
      </c>
      <c r="GK81" s="1727">
        <v>534</v>
      </c>
      <c r="GL81" s="1727">
        <f t="shared" si="18"/>
        <v>332</v>
      </c>
      <c r="GM81" s="1727">
        <f t="shared" si="19"/>
        <v>668</v>
      </c>
      <c r="GN81" s="1726">
        <f t="shared" si="20"/>
        <v>532</v>
      </c>
      <c r="GO81" s="1541">
        <f t="shared" si="21"/>
        <v>463</v>
      </c>
      <c r="GP81" s="1541">
        <f t="shared" si="22"/>
        <v>302</v>
      </c>
      <c r="GQ81" s="1541">
        <f t="shared" si="23"/>
        <v>407</v>
      </c>
      <c r="GR81" s="1541">
        <f t="shared" si="24"/>
        <v>497</v>
      </c>
      <c r="GS81" s="1728">
        <f t="shared" si="25"/>
        <v>423</v>
      </c>
      <c r="GT81" s="1728">
        <f t="shared" si="26"/>
        <v>372</v>
      </c>
      <c r="GU81" s="1728">
        <f t="shared" si="27"/>
        <v>627</v>
      </c>
      <c r="GV81" s="1728">
        <f t="shared" si="28"/>
        <v>503</v>
      </c>
      <c r="GW81" s="1939">
        <f t="shared" si="29"/>
        <v>551</v>
      </c>
      <c r="GX81" s="1725">
        <f t="shared" si="30"/>
        <v>404</v>
      </c>
      <c r="GY81" s="1725">
        <f t="shared" si="31"/>
        <v>628</v>
      </c>
      <c r="GZ81" s="1725">
        <f t="shared" si="32"/>
        <v>607</v>
      </c>
      <c r="HA81" s="2443">
        <f t="shared" si="33"/>
        <v>195</v>
      </c>
      <c r="HB81" s="2444">
        <f t="shared" si="34"/>
        <v>0</v>
      </c>
      <c r="HC81" s="2444">
        <f t="shared" si="35"/>
        <v>0</v>
      </c>
      <c r="HD81" s="2444">
        <f t="shared" si="36"/>
        <v>0</v>
      </c>
      <c r="HE81" s="1940"/>
      <c r="HF81" s="1729">
        <v>1660</v>
      </c>
      <c r="HG81" s="1730">
        <v>1851</v>
      </c>
      <c r="HH81" s="1730">
        <v>1764</v>
      </c>
      <c r="HI81" s="1730">
        <v>1603</v>
      </c>
      <c r="HJ81" s="1730">
        <v>1666</v>
      </c>
      <c r="HK81" s="1730">
        <v>2002</v>
      </c>
      <c r="HL81" s="2421">
        <v>2018</v>
      </c>
      <c r="HM81" s="2423">
        <v>2210</v>
      </c>
      <c r="HN81" s="2423">
        <f t="shared" si="37"/>
        <v>2066</v>
      </c>
      <c r="HO81" s="2423">
        <f t="shared" si="38"/>
        <v>1663</v>
      </c>
      <c r="HP81" s="2423">
        <f t="shared" si="39"/>
        <v>1925</v>
      </c>
      <c r="HQ81" s="2423">
        <f t="shared" si="40"/>
        <v>2190</v>
      </c>
      <c r="HR81" s="2452">
        <f t="shared" si="41"/>
        <v>195</v>
      </c>
      <c r="HS81" s="2453">
        <f t="shared" si="49"/>
        <v>2198</v>
      </c>
      <c r="HT81" s="2455">
        <f t="shared" si="42"/>
        <v>2042</v>
      </c>
      <c r="HU81" s="1737">
        <f t="shared" si="43"/>
        <v>2.6496671584669853E-3</v>
      </c>
      <c r="HV81" s="1737">
        <f t="shared" si="44"/>
        <v>2.9482441483096988E-3</v>
      </c>
      <c r="HW81" s="1737">
        <f t="shared" si="50"/>
        <v>3.1626329858288047E-3</v>
      </c>
      <c r="HX81" s="2458">
        <f t="shared" si="51"/>
        <v>2.9489025374714243E-3</v>
      </c>
      <c r="HY81" s="1734"/>
      <c r="HZ81" s="2302">
        <f t="shared" si="45"/>
        <v>0.1575466025255563</v>
      </c>
      <c r="IA81" s="2300">
        <f t="shared" si="46"/>
        <v>0.22790138304269392</v>
      </c>
      <c r="IB81" s="2300">
        <f t="shared" si="47"/>
        <v>0.1376623376623376</v>
      </c>
      <c r="IC81" s="2302">
        <f t="shared" si="48"/>
        <v>3.6529680365295913E-3</v>
      </c>
    </row>
    <row r="82" spans="1:237" s="341" customFormat="1" ht="21.95" customHeight="1">
      <c r="A82" s="370"/>
      <c r="C82" s="557" t="s">
        <v>52</v>
      </c>
      <c r="D82" s="1732">
        <v>339</v>
      </c>
      <c r="E82" s="1525">
        <v>210</v>
      </c>
      <c r="F82" s="1525">
        <v>197</v>
      </c>
      <c r="G82" s="1525">
        <v>159</v>
      </c>
      <c r="H82" s="1525">
        <v>91</v>
      </c>
      <c r="I82" s="1525">
        <v>219</v>
      </c>
      <c r="J82" s="1525">
        <v>149</v>
      </c>
      <c r="K82" s="1525">
        <v>85</v>
      </c>
      <c r="L82" s="1525">
        <v>129</v>
      </c>
      <c r="M82" s="1525">
        <v>258</v>
      </c>
      <c r="N82" s="1525">
        <v>319</v>
      </c>
      <c r="O82" s="1733">
        <v>367</v>
      </c>
      <c r="P82" s="1687">
        <v>226</v>
      </c>
      <c r="Q82" s="1688">
        <v>386</v>
      </c>
      <c r="R82" s="1688">
        <v>264</v>
      </c>
      <c r="S82" s="1688">
        <v>123</v>
      </c>
      <c r="T82" s="1688">
        <v>132</v>
      </c>
      <c r="U82" s="1688">
        <v>204</v>
      </c>
      <c r="V82" s="1688">
        <v>173</v>
      </c>
      <c r="W82" s="1688">
        <v>77</v>
      </c>
      <c r="X82" s="1688">
        <v>137</v>
      </c>
      <c r="Y82" s="1688">
        <v>325</v>
      </c>
      <c r="Z82" s="1688">
        <v>450</v>
      </c>
      <c r="AA82" s="1689">
        <v>328</v>
      </c>
      <c r="AB82" s="1690">
        <v>333</v>
      </c>
      <c r="AC82" s="1691">
        <v>256</v>
      </c>
      <c r="AD82" s="1691">
        <v>147</v>
      </c>
      <c r="AE82" s="1691">
        <v>149</v>
      </c>
      <c r="AF82" s="1691">
        <v>162</v>
      </c>
      <c r="AG82" s="1691">
        <v>175</v>
      </c>
      <c r="AH82" s="1691">
        <v>174</v>
      </c>
      <c r="AI82" s="1691">
        <v>70</v>
      </c>
      <c r="AJ82" s="1691">
        <v>125</v>
      </c>
      <c r="AK82" s="1691">
        <v>265</v>
      </c>
      <c r="AL82" s="1691">
        <v>391</v>
      </c>
      <c r="AM82" s="1692">
        <v>315</v>
      </c>
      <c r="AN82" s="1693">
        <v>395</v>
      </c>
      <c r="AO82" s="1694">
        <v>294</v>
      </c>
      <c r="AP82" s="1694">
        <v>272</v>
      </c>
      <c r="AQ82" s="1694">
        <v>88</v>
      </c>
      <c r="AR82" s="1694">
        <v>79</v>
      </c>
      <c r="AS82" s="1694">
        <v>166</v>
      </c>
      <c r="AT82" s="1694">
        <v>142</v>
      </c>
      <c r="AU82" s="1694">
        <v>83</v>
      </c>
      <c r="AV82" s="1694">
        <v>98</v>
      </c>
      <c r="AW82" s="1694">
        <v>145</v>
      </c>
      <c r="AX82" s="1694">
        <v>286</v>
      </c>
      <c r="AY82" s="1695">
        <v>256</v>
      </c>
      <c r="AZ82" s="1680">
        <v>277</v>
      </c>
      <c r="BA82" s="1680">
        <v>260</v>
      </c>
      <c r="BB82" s="1680">
        <v>183</v>
      </c>
      <c r="BC82" s="1680">
        <v>123</v>
      </c>
      <c r="BD82" s="1680">
        <v>86</v>
      </c>
      <c r="BE82" s="1680">
        <v>219</v>
      </c>
      <c r="BF82" s="1680">
        <v>105</v>
      </c>
      <c r="BG82" s="1680">
        <v>112</v>
      </c>
      <c r="BH82" s="1680">
        <v>111</v>
      </c>
      <c r="BI82" s="1680">
        <v>254</v>
      </c>
      <c r="BJ82" s="1680">
        <v>359</v>
      </c>
      <c r="BK82" s="1731">
        <v>276</v>
      </c>
      <c r="BL82" s="1698">
        <v>262</v>
      </c>
      <c r="BM82" s="1699">
        <v>289</v>
      </c>
      <c r="BN82" s="1699">
        <v>213</v>
      </c>
      <c r="BO82" s="1699">
        <v>112</v>
      </c>
      <c r="BP82" s="1699">
        <v>95</v>
      </c>
      <c r="BQ82" s="1699">
        <v>248</v>
      </c>
      <c r="BR82" s="1699">
        <v>156</v>
      </c>
      <c r="BS82" s="1699">
        <v>88</v>
      </c>
      <c r="BT82" s="1700">
        <v>131</v>
      </c>
      <c r="BU82" s="1700">
        <v>245</v>
      </c>
      <c r="BV82" s="1700">
        <v>457</v>
      </c>
      <c r="BW82" s="1701">
        <v>390</v>
      </c>
      <c r="BX82" s="1702">
        <v>285</v>
      </c>
      <c r="BY82" s="1511">
        <v>221</v>
      </c>
      <c r="BZ82" s="1511">
        <v>246</v>
      </c>
      <c r="CA82" s="1511">
        <v>101</v>
      </c>
      <c r="CB82" s="1511">
        <v>77</v>
      </c>
      <c r="CC82" s="1511">
        <v>202</v>
      </c>
      <c r="CD82" s="1511">
        <v>190</v>
      </c>
      <c r="CE82" s="1511">
        <v>55</v>
      </c>
      <c r="CF82" s="1511">
        <v>100</v>
      </c>
      <c r="CG82" s="1511">
        <v>284</v>
      </c>
      <c r="CH82" s="1511">
        <v>378</v>
      </c>
      <c r="CI82" s="1513">
        <v>396</v>
      </c>
      <c r="CJ82" s="1703">
        <v>313</v>
      </c>
      <c r="CK82" s="1704">
        <v>295</v>
      </c>
      <c r="CL82" s="1704">
        <v>198</v>
      </c>
      <c r="CM82" s="1704">
        <v>114</v>
      </c>
      <c r="CN82" s="1704">
        <v>95</v>
      </c>
      <c r="CO82" s="1704">
        <v>180</v>
      </c>
      <c r="CP82" s="1704">
        <v>145</v>
      </c>
      <c r="CQ82" s="1704">
        <v>101</v>
      </c>
      <c r="CR82" s="1704">
        <v>88</v>
      </c>
      <c r="CS82" s="1704">
        <v>305</v>
      </c>
      <c r="CT82" s="1704">
        <v>368</v>
      </c>
      <c r="CU82" s="1705">
        <v>385</v>
      </c>
      <c r="CV82" s="1703">
        <v>271</v>
      </c>
      <c r="CW82" s="1704">
        <v>281</v>
      </c>
      <c r="CX82" s="1510">
        <v>204</v>
      </c>
      <c r="CY82" s="1510">
        <v>122</v>
      </c>
      <c r="CZ82" s="1510">
        <v>83</v>
      </c>
      <c r="DA82" s="1510">
        <v>245</v>
      </c>
      <c r="DB82" s="1510">
        <v>168</v>
      </c>
      <c r="DC82" s="1510">
        <v>86</v>
      </c>
      <c r="DD82" s="1510">
        <v>149</v>
      </c>
      <c r="DE82" s="1510">
        <v>327</v>
      </c>
      <c r="DF82" s="1510">
        <v>370</v>
      </c>
      <c r="DG82" s="1705">
        <v>393</v>
      </c>
      <c r="DH82" s="1706">
        <v>261</v>
      </c>
      <c r="DI82" s="1707">
        <v>243</v>
      </c>
      <c r="DJ82" s="1707">
        <v>222</v>
      </c>
      <c r="DK82" s="1708">
        <v>135</v>
      </c>
      <c r="DL82" s="1708">
        <v>89</v>
      </c>
      <c r="DM82" s="1708">
        <v>230</v>
      </c>
      <c r="DN82" s="1708">
        <v>147</v>
      </c>
      <c r="DO82" s="1708">
        <v>63</v>
      </c>
      <c r="DP82" s="1708">
        <v>94</v>
      </c>
      <c r="DQ82" s="1708">
        <v>338</v>
      </c>
      <c r="DR82" s="1708">
        <v>256</v>
      </c>
      <c r="DS82" s="1709">
        <v>252</v>
      </c>
      <c r="DT82" s="1683">
        <v>197</v>
      </c>
      <c r="DU82" s="1502">
        <v>217</v>
      </c>
      <c r="DV82" s="1502">
        <v>144</v>
      </c>
      <c r="DW82" s="1487">
        <v>145</v>
      </c>
      <c r="DX82" s="1487">
        <v>75</v>
      </c>
      <c r="DY82" s="1487">
        <v>141</v>
      </c>
      <c r="DZ82" s="1487">
        <v>109</v>
      </c>
      <c r="EA82" s="1487">
        <v>77</v>
      </c>
      <c r="EB82" s="1487">
        <v>82</v>
      </c>
      <c r="EC82" s="1487">
        <v>232</v>
      </c>
      <c r="ED82" s="1487">
        <v>376</v>
      </c>
      <c r="EE82" s="1486">
        <v>299</v>
      </c>
      <c r="EF82" s="1927">
        <v>195</v>
      </c>
      <c r="EG82" s="34">
        <v>235</v>
      </c>
      <c r="EH82" s="34">
        <v>183</v>
      </c>
      <c r="EI82" s="34">
        <v>113</v>
      </c>
      <c r="EJ82" s="34">
        <v>75</v>
      </c>
      <c r="EK82" s="34">
        <v>182</v>
      </c>
      <c r="EL82" s="34">
        <v>155</v>
      </c>
      <c r="EM82" s="2345">
        <v>72</v>
      </c>
      <c r="EN82" s="2345">
        <v>97</v>
      </c>
      <c r="EO82" s="2346">
        <v>185</v>
      </c>
      <c r="EP82" s="2346">
        <v>290</v>
      </c>
      <c r="EQ82" s="2347">
        <v>273</v>
      </c>
      <c r="ER82" s="3109">
        <v>248</v>
      </c>
      <c r="ES82" s="3098"/>
      <c r="ET82" s="3098"/>
      <c r="EU82" s="3098"/>
      <c r="EV82" s="3098"/>
      <c r="EW82" s="3098"/>
      <c r="EX82" s="3098"/>
      <c r="EY82" s="3098"/>
      <c r="EZ82" s="3098"/>
      <c r="FA82" s="3098"/>
      <c r="FB82" s="3098"/>
      <c r="FC82" s="3110"/>
      <c r="FD82" s="2437"/>
      <c r="FE82" s="1710">
        <v>746</v>
      </c>
      <c r="FF82" s="1711">
        <v>469</v>
      </c>
      <c r="FG82" s="1711">
        <v>363</v>
      </c>
      <c r="FH82" s="1712">
        <v>944</v>
      </c>
      <c r="FI82" s="1713">
        <v>876</v>
      </c>
      <c r="FJ82" s="1714">
        <v>459</v>
      </c>
      <c r="FK82" s="1714">
        <v>387</v>
      </c>
      <c r="FL82" s="1715">
        <v>1103</v>
      </c>
      <c r="FM82" s="1716">
        <v>736</v>
      </c>
      <c r="FN82" s="1717">
        <v>486</v>
      </c>
      <c r="FO82" s="1718">
        <v>369</v>
      </c>
      <c r="FP82" s="1718">
        <v>971</v>
      </c>
      <c r="FQ82" s="1719">
        <v>961</v>
      </c>
      <c r="FR82" s="1720">
        <v>333</v>
      </c>
      <c r="FS82" s="1720">
        <v>323</v>
      </c>
      <c r="FT82" s="1721">
        <v>687</v>
      </c>
      <c r="FU82" s="1722">
        <v>720</v>
      </c>
      <c r="FV82" s="1723">
        <v>428</v>
      </c>
      <c r="FW82" s="1723">
        <v>328</v>
      </c>
      <c r="FX82" s="1724">
        <v>889</v>
      </c>
      <c r="FY82" s="1720">
        <v>764</v>
      </c>
      <c r="FZ82" s="1720">
        <v>455</v>
      </c>
      <c r="GA82" s="1720">
        <v>375</v>
      </c>
      <c r="GB82" s="1720">
        <v>1092</v>
      </c>
      <c r="GC82" s="1725">
        <v>752</v>
      </c>
      <c r="GD82" s="1725">
        <v>380</v>
      </c>
      <c r="GE82" s="1725">
        <v>345</v>
      </c>
      <c r="GF82" s="1725">
        <v>1058</v>
      </c>
      <c r="GG82" s="1726">
        <v>806</v>
      </c>
      <c r="GH82" s="1726">
        <v>389</v>
      </c>
      <c r="GI82" s="1726">
        <f t="shared" si="17"/>
        <v>334</v>
      </c>
      <c r="GJ82" s="1726">
        <v>1058</v>
      </c>
      <c r="GK82" s="1727">
        <v>756</v>
      </c>
      <c r="GL82" s="1727">
        <f t="shared" si="18"/>
        <v>450</v>
      </c>
      <c r="GM82" s="1727">
        <f t="shared" si="19"/>
        <v>403</v>
      </c>
      <c r="GN82" s="1726">
        <f t="shared" si="20"/>
        <v>1090</v>
      </c>
      <c r="GO82" s="1541">
        <f t="shared" si="21"/>
        <v>726</v>
      </c>
      <c r="GP82" s="1541">
        <f t="shared" si="22"/>
        <v>454</v>
      </c>
      <c r="GQ82" s="1541">
        <f t="shared" si="23"/>
        <v>462</v>
      </c>
      <c r="GR82" s="1541">
        <f t="shared" si="24"/>
        <v>846</v>
      </c>
      <c r="GS82" s="1728">
        <f t="shared" si="25"/>
        <v>558</v>
      </c>
      <c r="GT82" s="1728">
        <f t="shared" si="26"/>
        <v>361</v>
      </c>
      <c r="GU82" s="1728">
        <f t="shared" si="27"/>
        <v>268</v>
      </c>
      <c r="GV82" s="1728">
        <f t="shared" si="28"/>
        <v>907</v>
      </c>
      <c r="GW82" s="1939">
        <f t="shared" si="29"/>
        <v>613</v>
      </c>
      <c r="GX82" s="1725">
        <f t="shared" si="30"/>
        <v>370</v>
      </c>
      <c r="GY82" s="1725">
        <f t="shared" si="31"/>
        <v>324</v>
      </c>
      <c r="GZ82" s="1725">
        <f t="shared" si="32"/>
        <v>748</v>
      </c>
      <c r="HA82" s="2443">
        <f t="shared" si="33"/>
        <v>248</v>
      </c>
      <c r="HB82" s="2444">
        <f t="shared" si="34"/>
        <v>0</v>
      </c>
      <c r="HC82" s="2444">
        <f t="shared" si="35"/>
        <v>0</v>
      </c>
      <c r="HD82" s="2444">
        <f t="shared" si="36"/>
        <v>0</v>
      </c>
      <c r="HE82" s="1940"/>
      <c r="HF82" s="1729">
        <v>2522</v>
      </c>
      <c r="HG82" s="1730">
        <v>2825</v>
      </c>
      <c r="HH82" s="1730">
        <v>2562</v>
      </c>
      <c r="HI82" s="1730">
        <v>2304</v>
      </c>
      <c r="HJ82" s="1730">
        <v>2365</v>
      </c>
      <c r="HK82" s="1730">
        <v>2686</v>
      </c>
      <c r="HL82" s="2421">
        <v>2535</v>
      </c>
      <c r="HM82" s="2423">
        <v>2587</v>
      </c>
      <c r="HN82" s="2423">
        <f t="shared" si="37"/>
        <v>2699</v>
      </c>
      <c r="HO82" s="2423">
        <f t="shared" si="38"/>
        <v>2330</v>
      </c>
      <c r="HP82" s="2423">
        <f t="shared" si="39"/>
        <v>2094</v>
      </c>
      <c r="HQ82" s="2423">
        <f t="shared" si="40"/>
        <v>2055</v>
      </c>
      <c r="HR82" s="2452">
        <f t="shared" si="41"/>
        <v>248</v>
      </c>
      <c r="HS82" s="2453">
        <f t="shared" si="49"/>
        <v>2108</v>
      </c>
      <c r="HT82" s="2455">
        <f t="shared" si="42"/>
        <v>2312.1666666666665</v>
      </c>
      <c r="HU82" s="1737">
        <f t="shared" si="43"/>
        <v>3.71240197187497E-3</v>
      </c>
      <c r="HV82" s="1737">
        <f t="shared" si="44"/>
        <v>3.2070770112002647E-3</v>
      </c>
      <c r="HW82" s="1737">
        <f t="shared" si="50"/>
        <v>2.9676761579352485E-3</v>
      </c>
      <c r="HX82" s="2458">
        <f t="shared" si="51"/>
        <v>3.3390568807003811E-3</v>
      </c>
      <c r="HY82" s="1734"/>
      <c r="HZ82" s="2302">
        <f t="shared" si="45"/>
        <v>-0.10128755364806863</v>
      </c>
      <c r="IA82" s="2300">
        <f t="shared" si="46"/>
        <v>-7.6537911301860495E-3</v>
      </c>
      <c r="IB82" s="2300">
        <f t="shared" si="47"/>
        <v>-1.8624641833810851E-2</v>
      </c>
      <c r="IC82" s="2302">
        <f t="shared" si="48"/>
        <v>2.5790754257907444E-2</v>
      </c>
    </row>
    <row r="83" spans="1:237" s="341" customFormat="1" ht="21.95" customHeight="1" thickBot="1">
      <c r="A83" s="370"/>
      <c r="C83" s="2175" t="s">
        <v>53</v>
      </c>
      <c r="D83" s="2176">
        <v>1352</v>
      </c>
      <c r="E83" s="2177">
        <v>1073</v>
      </c>
      <c r="F83" s="2177">
        <v>1228</v>
      </c>
      <c r="G83" s="2177">
        <v>1130</v>
      </c>
      <c r="H83" s="2177">
        <v>1032</v>
      </c>
      <c r="I83" s="2177">
        <v>1214</v>
      </c>
      <c r="J83" s="2177">
        <v>1621</v>
      </c>
      <c r="K83" s="2177">
        <v>1503</v>
      </c>
      <c r="L83" s="2177">
        <v>1581</v>
      </c>
      <c r="M83" s="2177">
        <v>1686</v>
      </c>
      <c r="N83" s="2177">
        <v>1465</v>
      </c>
      <c r="O83" s="2178">
        <v>1267</v>
      </c>
      <c r="P83" s="2179">
        <v>1457</v>
      </c>
      <c r="Q83" s="2180">
        <v>1912</v>
      </c>
      <c r="R83" s="2180">
        <v>1681</v>
      </c>
      <c r="S83" s="2180">
        <v>1419</v>
      </c>
      <c r="T83" s="2180">
        <v>1507</v>
      </c>
      <c r="U83" s="2180">
        <v>1667</v>
      </c>
      <c r="V83" s="2180">
        <v>1856</v>
      </c>
      <c r="W83" s="2180">
        <v>2105</v>
      </c>
      <c r="X83" s="2180">
        <v>1931</v>
      </c>
      <c r="Y83" s="2180">
        <v>2079</v>
      </c>
      <c r="Z83" s="2180">
        <v>2062</v>
      </c>
      <c r="AA83" s="2181">
        <v>1753</v>
      </c>
      <c r="AB83" s="2182">
        <v>1691</v>
      </c>
      <c r="AC83" s="2183">
        <v>1564</v>
      </c>
      <c r="AD83" s="2183">
        <v>1837</v>
      </c>
      <c r="AE83" s="2183">
        <v>1902</v>
      </c>
      <c r="AF83" s="2183">
        <v>1950.5</v>
      </c>
      <c r="AG83" s="2183">
        <v>1999</v>
      </c>
      <c r="AH83" s="2183">
        <v>2276</v>
      </c>
      <c r="AI83" s="2183">
        <v>2179</v>
      </c>
      <c r="AJ83" s="2183">
        <v>1873</v>
      </c>
      <c r="AK83" s="2183">
        <v>2115</v>
      </c>
      <c r="AL83" s="2183">
        <v>1922</v>
      </c>
      <c r="AM83" s="2184">
        <v>1842</v>
      </c>
      <c r="AN83" s="2185">
        <v>2005</v>
      </c>
      <c r="AO83" s="2186">
        <v>2148</v>
      </c>
      <c r="AP83" s="2186">
        <v>2032</v>
      </c>
      <c r="AQ83" s="2186">
        <v>1797</v>
      </c>
      <c r="AR83" s="2186">
        <v>1836</v>
      </c>
      <c r="AS83" s="2186">
        <v>2056</v>
      </c>
      <c r="AT83" s="2186">
        <v>2157</v>
      </c>
      <c r="AU83" s="2186">
        <v>2080</v>
      </c>
      <c r="AV83" s="2186">
        <v>1869</v>
      </c>
      <c r="AW83" s="2186">
        <v>3234</v>
      </c>
      <c r="AX83" s="2186">
        <v>2064</v>
      </c>
      <c r="AY83" s="2187">
        <v>1947</v>
      </c>
      <c r="AZ83" s="1680">
        <v>2161</v>
      </c>
      <c r="BA83" s="1680">
        <v>1925</v>
      </c>
      <c r="BB83" s="1680">
        <v>2397</v>
      </c>
      <c r="BC83" s="1680">
        <v>2132</v>
      </c>
      <c r="BD83" s="1680">
        <v>1881</v>
      </c>
      <c r="BE83" s="1680">
        <v>1933</v>
      </c>
      <c r="BF83" s="1680">
        <v>1785</v>
      </c>
      <c r="BG83" s="1680">
        <v>1871</v>
      </c>
      <c r="BH83" s="1680">
        <v>1793</v>
      </c>
      <c r="BI83" s="1680">
        <v>1900</v>
      </c>
      <c r="BJ83" s="1680">
        <v>2198</v>
      </c>
      <c r="BK83" s="1731">
        <v>1731</v>
      </c>
      <c r="BL83" s="2188">
        <v>2292</v>
      </c>
      <c r="BM83" s="2189">
        <v>1667</v>
      </c>
      <c r="BN83" s="2189">
        <v>1785</v>
      </c>
      <c r="BO83" s="2189">
        <v>1717</v>
      </c>
      <c r="BP83" s="2189">
        <v>2030</v>
      </c>
      <c r="BQ83" s="2189">
        <v>2417</v>
      </c>
      <c r="BR83" s="2189">
        <v>2406</v>
      </c>
      <c r="BS83" s="2189">
        <v>2181</v>
      </c>
      <c r="BT83" s="2190">
        <v>2263</v>
      </c>
      <c r="BU83" s="2190">
        <v>2409</v>
      </c>
      <c r="BV83" s="2190">
        <v>2762</v>
      </c>
      <c r="BW83" s="2191">
        <v>2408</v>
      </c>
      <c r="BX83" s="2192">
        <v>2705</v>
      </c>
      <c r="BY83" s="2193">
        <v>2224</v>
      </c>
      <c r="BZ83" s="2193">
        <v>3674</v>
      </c>
      <c r="CA83" s="2193">
        <v>2902</v>
      </c>
      <c r="CB83" s="2193">
        <v>2693</v>
      </c>
      <c r="CC83" s="2193">
        <v>3260</v>
      </c>
      <c r="CD83" s="2193">
        <v>2875</v>
      </c>
      <c r="CE83" s="2193">
        <v>2875</v>
      </c>
      <c r="CF83" s="2193">
        <v>2838</v>
      </c>
      <c r="CG83" s="2193">
        <v>3163</v>
      </c>
      <c r="CH83" s="2193">
        <v>3258</v>
      </c>
      <c r="CI83" s="2194">
        <v>3987</v>
      </c>
      <c r="CJ83" s="2195">
        <v>1464</v>
      </c>
      <c r="CK83" s="2196">
        <v>2663</v>
      </c>
      <c r="CL83" s="2196">
        <v>2765</v>
      </c>
      <c r="CM83" s="2196">
        <v>2718</v>
      </c>
      <c r="CN83" s="2196">
        <v>2898</v>
      </c>
      <c r="CO83" s="2196">
        <v>1850</v>
      </c>
      <c r="CP83" s="2196">
        <v>3517</v>
      </c>
      <c r="CQ83" s="2196">
        <v>3243</v>
      </c>
      <c r="CR83" s="2196">
        <v>4230</v>
      </c>
      <c r="CS83" s="2196">
        <v>4080</v>
      </c>
      <c r="CT83" s="2196">
        <v>4657</v>
      </c>
      <c r="CU83" s="2197">
        <v>4249</v>
      </c>
      <c r="CV83" s="2195">
        <v>4365</v>
      </c>
      <c r="CW83" s="2196">
        <v>4265</v>
      </c>
      <c r="CX83" s="2198">
        <v>4529</v>
      </c>
      <c r="CY83" s="2198">
        <v>4893</v>
      </c>
      <c r="CZ83" s="2198">
        <v>4695</v>
      </c>
      <c r="DA83" s="2198">
        <v>4155</v>
      </c>
      <c r="DB83" s="2198">
        <v>4388</v>
      </c>
      <c r="DC83" s="2198">
        <v>2823</v>
      </c>
      <c r="DD83" s="2198">
        <v>3036</v>
      </c>
      <c r="DE83" s="2198">
        <v>2822</v>
      </c>
      <c r="DF83" s="2198">
        <v>3131</v>
      </c>
      <c r="DG83" s="2197">
        <v>2609</v>
      </c>
      <c r="DH83" s="2199">
        <v>2637</v>
      </c>
      <c r="DI83" s="2200">
        <v>2682</v>
      </c>
      <c r="DJ83" s="2200">
        <v>2560</v>
      </c>
      <c r="DK83" s="2201">
        <v>2027</v>
      </c>
      <c r="DL83" s="2201">
        <v>2406</v>
      </c>
      <c r="DM83" s="2201">
        <v>2378</v>
      </c>
      <c r="DN83" s="2201">
        <v>2754</v>
      </c>
      <c r="DO83" s="2201">
        <v>2485</v>
      </c>
      <c r="DP83" s="2201">
        <v>3165</v>
      </c>
      <c r="DQ83" s="2201">
        <v>5694</v>
      </c>
      <c r="DR83" s="2201">
        <v>3499</v>
      </c>
      <c r="DS83" s="2202">
        <v>3813</v>
      </c>
      <c r="DT83" s="2203">
        <v>3249</v>
      </c>
      <c r="DU83" s="2204">
        <v>2963</v>
      </c>
      <c r="DV83" s="2204">
        <v>3245</v>
      </c>
      <c r="DW83" s="2205">
        <v>3320</v>
      </c>
      <c r="DX83" s="2205">
        <v>3212</v>
      </c>
      <c r="DY83" s="2205">
        <v>3871</v>
      </c>
      <c r="DZ83" s="2205">
        <v>4324</v>
      </c>
      <c r="EA83" s="2205">
        <v>3626</v>
      </c>
      <c r="EB83" s="2205">
        <v>3420</v>
      </c>
      <c r="EC83" s="2205">
        <v>3792</v>
      </c>
      <c r="ED83" s="2205">
        <v>4114</v>
      </c>
      <c r="EE83" s="2206">
        <v>4059</v>
      </c>
      <c r="EF83" s="2348">
        <f>53007-SUM(EF52:EF82)</f>
        <v>3570</v>
      </c>
      <c r="EG83" s="2349">
        <f>52567-SUM(EG52:EG82)</f>
        <v>3494</v>
      </c>
      <c r="EH83" s="2349">
        <f>58154-SUM(EH52:EH82)</f>
        <v>3839</v>
      </c>
      <c r="EI83" s="2349">
        <f>47644-SUM(EI52:EI82)</f>
        <v>3851</v>
      </c>
      <c r="EJ83" s="2349">
        <f>53921-SUM(EJ52:EJ82)</f>
        <v>3882</v>
      </c>
      <c r="EK83" s="2349">
        <f>70620-SUM(EK52:EK82)</f>
        <v>4239</v>
      </c>
      <c r="EL83" s="2349">
        <f>72893-SUM(EL52:EL82)</f>
        <v>4301</v>
      </c>
      <c r="EM83" s="2349">
        <v>3635</v>
      </c>
      <c r="EN83" s="2349">
        <v>3911</v>
      </c>
      <c r="EO83" s="2349">
        <v>4054</v>
      </c>
      <c r="EP83" s="2349">
        <f>54720-49952</f>
        <v>4768</v>
      </c>
      <c r="EQ83" s="2350">
        <f>71516-67031</f>
        <v>4485</v>
      </c>
      <c r="ER83" s="3113">
        <f>52976-49111</f>
        <v>3865</v>
      </c>
      <c r="ES83" s="3114"/>
      <c r="ET83" s="3114"/>
      <c r="EU83" s="3114"/>
      <c r="EV83" s="3114"/>
      <c r="EW83" s="3114"/>
      <c r="EX83" s="3114"/>
      <c r="EY83" s="3114"/>
      <c r="EZ83" s="3114"/>
      <c r="FA83" s="3114"/>
      <c r="FB83" s="3114"/>
      <c r="FC83" s="3115"/>
      <c r="FD83" s="2437"/>
      <c r="FE83" s="2207">
        <v>3653</v>
      </c>
      <c r="FF83" s="2208">
        <v>3376</v>
      </c>
      <c r="FG83" s="2208">
        <v>4705</v>
      </c>
      <c r="FH83" s="2209">
        <v>4418</v>
      </c>
      <c r="FI83" s="2210">
        <v>5050</v>
      </c>
      <c r="FJ83" s="2211">
        <v>4593</v>
      </c>
      <c r="FK83" s="2211">
        <v>5892</v>
      </c>
      <c r="FL83" s="2212">
        <v>5894</v>
      </c>
      <c r="FM83" s="2213">
        <v>5092</v>
      </c>
      <c r="FN83" s="1717">
        <v>5851.5</v>
      </c>
      <c r="FO83" s="2214">
        <v>6328</v>
      </c>
      <c r="FP83" s="2214">
        <v>5879</v>
      </c>
      <c r="FQ83" s="1719">
        <v>6185</v>
      </c>
      <c r="FR83" s="1720">
        <v>5689</v>
      </c>
      <c r="FS83" s="1720">
        <v>6106</v>
      </c>
      <c r="FT83" s="1721">
        <v>7245</v>
      </c>
      <c r="FU83" s="1722">
        <v>6483</v>
      </c>
      <c r="FV83" s="1723">
        <v>5946</v>
      </c>
      <c r="FW83" s="1723">
        <v>5449</v>
      </c>
      <c r="FX83" s="1724">
        <v>5829</v>
      </c>
      <c r="FY83" s="1720">
        <v>5744</v>
      </c>
      <c r="FZ83" s="1720">
        <v>6164</v>
      </c>
      <c r="GA83" s="1720">
        <v>6850</v>
      </c>
      <c r="GB83" s="1720">
        <v>7579</v>
      </c>
      <c r="GC83" s="1725">
        <v>8603</v>
      </c>
      <c r="GD83" s="1725">
        <v>8855</v>
      </c>
      <c r="GE83" s="1725">
        <v>8588</v>
      </c>
      <c r="GF83" s="1725">
        <v>10408</v>
      </c>
      <c r="GG83" s="1726">
        <v>6892</v>
      </c>
      <c r="GH83" s="1726">
        <v>7466</v>
      </c>
      <c r="GI83" s="1726">
        <f t="shared" ref="GI83:GI84" si="52">+CP83+CQ83+CR83</f>
        <v>10990</v>
      </c>
      <c r="GJ83" s="1726">
        <v>12986</v>
      </c>
      <c r="GK83" s="1727">
        <v>13159</v>
      </c>
      <c r="GL83" s="1727">
        <f t="shared" ref="GL83:GL84" si="53">+CY83+CZ83+DA83</f>
        <v>13743</v>
      </c>
      <c r="GM83" s="1727">
        <f t="shared" ref="GM83:GM84" si="54">+DB83+DC83+DD83</f>
        <v>10247</v>
      </c>
      <c r="GN83" s="1726">
        <f t="shared" ref="GN83:GN84" si="55">+DE83+DF83+DG83</f>
        <v>8562</v>
      </c>
      <c r="GO83" s="1541">
        <f t="shared" ref="GO83:GO84" si="56">+DH83+DI83+DJ83</f>
        <v>7879</v>
      </c>
      <c r="GP83" s="1541">
        <f t="shared" ref="GP83:GP84" si="57">+DM83+DL83+DK83</f>
        <v>6811</v>
      </c>
      <c r="GQ83" s="1541">
        <f t="shared" ref="GQ83:GQ84" si="58">+DS83+DO83+DN83</f>
        <v>9052</v>
      </c>
      <c r="GR83" s="1541">
        <f t="shared" ref="GR83:GR84" si="59">+DQ83+DR83+DS83</f>
        <v>13006</v>
      </c>
      <c r="GS83" s="1728">
        <f t="shared" ref="GS83:GS84" si="60">+DT83+DU83+DV83</f>
        <v>9457</v>
      </c>
      <c r="GT83" s="1728">
        <f t="shared" ref="GT83:GT84" si="61">+DW83+DX83+DY83</f>
        <v>10403</v>
      </c>
      <c r="GU83" s="1728">
        <f t="shared" ref="GU83:GU84" si="62">+DZ83+EA83+EB83</f>
        <v>11370</v>
      </c>
      <c r="GV83" s="1728">
        <f t="shared" ref="GV83:GV84" si="63">+EC83+ED83+EE83</f>
        <v>11965</v>
      </c>
      <c r="GW83" s="1939">
        <f t="shared" ref="GW83:GW84" si="64">EF83+EG83+EH83</f>
        <v>10903</v>
      </c>
      <c r="GX83" s="1725">
        <f t="shared" ref="GX83:GX84" si="65">EI83+EJ83+EK83</f>
        <v>11972</v>
      </c>
      <c r="GY83" s="1725">
        <f t="shared" ref="GY83:GY84" si="66">EL83+EM83+EN83</f>
        <v>11847</v>
      </c>
      <c r="GZ83" s="1725">
        <f t="shared" ref="GZ83:GZ84" si="67">EO83+EP83+EQ83</f>
        <v>13307</v>
      </c>
      <c r="HA83" s="2443">
        <f t="shared" ref="HA83:HA84" si="68">ER83+ES83+ET83</f>
        <v>3865</v>
      </c>
      <c r="HB83" s="2444">
        <f t="shared" ref="HB83:HB84" si="69">EU83+EV83+EW83</f>
        <v>0</v>
      </c>
      <c r="HC83" s="2444">
        <f t="shared" ref="HC83:HC84" si="70">EX83+EY83+EZ83</f>
        <v>0</v>
      </c>
      <c r="HD83" s="2444">
        <f t="shared" ref="HD83:HD84" si="71">FA83+FB83+FC83</f>
        <v>0</v>
      </c>
      <c r="HE83" s="1940"/>
      <c r="HF83" s="2215">
        <v>16152</v>
      </c>
      <c r="HG83" s="2216">
        <v>21429</v>
      </c>
      <c r="HH83" s="2216">
        <v>23150.5</v>
      </c>
      <c r="HI83" s="2216">
        <v>25225</v>
      </c>
      <c r="HJ83" s="2216">
        <v>23707</v>
      </c>
      <c r="HK83" s="2216">
        <v>26337</v>
      </c>
      <c r="HL83" s="2422">
        <f>36454+28</f>
        <v>36482</v>
      </c>
      <c r="HM83" s="2424">
        <v>38334</v>
      </c>
      <c r="HN83" s="2424">
        <f t="shared" ref="HN83" si="72">SUM(CV83:DG83)</f>
        <v>45711</v>
      </c>
      <c r="HO83" s="2424">
        <f t="shared" ref="HO83" si="73">SUM(DH83:DS83)</f>
        <v>36100</v>
      </c>
      <c r="HP83" s="2424">
        <f>SUM(DT83:EE83)+12</f>
        <v>43207</v>
      </c>
      <c r="HQ83" s="2424">
        <f t="shared" ref="HQ83" si="74">SUM(EF83:EQ83)</f>
        <v>48029</v>
      </c>
      <c r="HR83" s="2452">
        <f t="shared" ref="HR83" si="75">SUM(ER83:ES83)</f>
        <v>3865</v>
      </c>
      <c r="HS83" s="2454">
        <f t="shared" si="49"/>
        <v>48324</v>
      </c>
      <c r="HT83" s="2456">
        <f t="shared" ref="HT83:HT84" si="76">AVERAGE(HM83,HN83,HO83,HP83,HQ83,HS83)</f>
        <v>43284.166666666664</v>
      </c>
      <c r="HU83" s="1737">
        <f t="shared" ref="HU83" si="77">HO83/$HO$84</f>
        <v>5.7518330980552111E-2</v>
      </c>
      <c r="HV83" s="1737">
        <f t="shared" ref="HV83" si="78">HP83/$HP$84</f>
        <v>6.6173914242086837E-2</v>
      </c>
      <c r="HW83" s="1737">
        <f t="shared" ref="HW83" si="79">HQ83/$HS$84</f>
        <v>6.9359862865923133E-2</v>
      </c>
      <c r="HX83" s="2458">
        <f t="shared" ref="HX83" si="80">HT83/$HS$84</f>
        <v>6.2507732084069234E-2</v>
      </c>
      <c r="HY83" s="1734"/>
      <c r="HZ83" s="2303">
        <f t="shared" ref="HZ83:HZ84" si="81">HP83/HO83-1</f>
        <v>0.19686980609418292</v>
      </c>
      <c r="IA83" s="2301">
        <f t="shared" ref="IA83:IA84" si="82">HT83/HO83-1</f>
        <v>0.19900738688827335</v>
      </c>
      <c r="IB83" s="2301">
        <f t="shared" ref="IB83:IB84" si="83">HQ83/HP83-1</f>
        <v>0.11160228666651228</v>
      </c>
      <c r="IC83" s="2302">
        <f t="shared" ref="IC83:IC84" si="84">HS83/HQ83-1</f>
        <v>6.1421224676758701E-3</v>
      </c>
    </row>
    <row r="84" spans="1:237" s="2218" customFormat="1" ht="21.75" thickBot="1">
      <c r="A84" s="2217"/>
      <c r="C84" s="2219" t="s">
        <v>54</v>
      </c>
      <c r="D84" s="2220">
        <v>29447</v>
      </c>
      <c r="E84" s="2221">
        <v>29249</v>
      </c>
      <c r="F84" s="2221">
        <v>32536</v>
      </c>
      <c r="G84" s="2221">
        <v>26929</v>
      </c>
      <c r="H84" s="2221">
        <v>28526</v>
      </c>
      <c r="I84" s="2221">
        <v>41105</v>
      </c>
      <c r="J84" s="2221">
        <v>49933</v>
      </c>
      <c r="K84" s="2221">
        <v>42244</v>
      </c>
      <c r="L84" s="2221">
        <v>31407</v>
      </c>
      <c r="M84" s="2221">
        <v>33891</v>
      </c>
      <c r="N84" s="2221">
        <v>35806</v>
      </c>
      <c r="O84" s="2222">
        <v>36780</v>
      </c>
      <c r="P84" s="2223">
        <v>34991</v>
      </c>
      <c r="Q84" s="2224">
        <v>46490</v>
      </c>
      <c r="R84" s="2224">
        <v>36805</v>
      </c>
      <c r="S84" s="2224">
        <v>31105</v>
      </c>
      <c r="T84" s="2224">
        <v>35598</v>
      </c>
      <c r="U84" s="2224">
        <v>45584</v>
      </c>
      <c r="V84" s="2224">
        <v>50484</v>
      </c>
      <c r="W84" s="2224">
        <v>43576</v>
      </c>
      <c r="X84" s="2224">
        <v>34318</v>
      </c>
      <c r="Y84" s="2224">
        <v>36977</v>
      </c>
      <c r="Z84" s="2224">
        <v>38290</v>
      </c>
      <c r="AA84" s="2225">
        <v>37281</v>
      </c>
      <c r="AB84" s="2226">
        <v>35904</v>
      </c>
      <c r="AC84" s="2227">
        <v>32995</v>
      </c>
      <c r="AD84" s="2227">
        <v>34242</v>
      </c>
      <c r="AE84" s="2227">
        <v>33161</v>
      </c>
      <c r="AF84" s="2227">
        <v>32773</v>
      </c>
      <c r="AG84" s="2227">
        <v>46796</v>
      </c>
      <c r="AH84" s="2227">
        <v>50069</v>
      </c>
      <c r="AI84" s="2227">
        <v>44378</v>
      </c>
      <c r="AJ84" s="2227">
        <v>33494</v>
      </c>
      <c r="AK84" s="2227">
        <v>35959</v>
      </c>
      <c r="AL84" s="2227">
        <v>38401</v>
      </c>
      <c r="AM84" s="2228">
        <v>43693</v>
      </c>
      <c r="AN84" s="2229">
        <v>38603</v>
      </c>
      <c r="AO84" s="2230">
        <v>39843</v>
      </c>
      <c r="AP84" s="2230">
        <v>38029</v>
      </c>
      <c r="AQ84" s="2230">
        <v>31598</v>
      </c>
      <c r="AR84" s="2230">
        <v>37116</v>
      </c>
      <c r="AS84" s="2230">
        <v>46093</v>
      </c>
      <c r="AT84" s="2230">
        <v>49766</v>
      </c>
      <c r="AU84" s="2230">
        <v>42481</v>
      </c>
      <c r="AV84" s="2230">
        <v>33003</v>
      </c>
      <c r="AW84" s="2230">
        <v>38298</v>
      </c>
      <c r="AX84" s="2230">
        <v>38171</v>
      </c>
      <c r="AY84" s="2231">
        <v>41220</v>
      </c>
      <c r="AZ84" s="2232">
        <v>37463</v>
      </c>
      <c r="BA84" s="2232">
        <v>35978</v>
      </c>
      <c r="BB84" s="2232">
        <v>39415</v>
      </c>
      <c r="BC84" s="2232">
        <v>35949</v>
      </c>
      <c r="BD84" s="2232">
        <v>38023</v>
      </c>
      <c r="BE84" s="2232">
        <v>47844</v>
      </c>
      <c r="BF84" s="2232">
        <v>51152</v>
      </c>
      <c r="BG84" s="2232">
        <v>43036</v>
      </c>
      <c r="BH84" s="2232">
        <v>34628</v>
      </c>
      <c r="BI84" s="2232">
        <v>38582</v>
      </c>
      <c r="BJ84" s="2232">
        <v>41073</v>
      </c>
      <c r="BK84" s="2233">
        <v>44235</v>
      </c>
      <c r="BL84" s="2234">
        <v>37773</v>
      </c>
      <c r="BM84" s="2235">
        <v>35654</v>
      </c>
      <c r="BN84" s="2235">
        <v>40663</v>
      </c>
      <c r="BO84" s="2235">
        <v>36524</v>
      </c>
      <c r="BP84" s="2235">
        <v>40720</v>
      </c>
      <c r="BQ84" s="2235">
        <v>54166</v>
      </c>
      <c r="BR84" s="2235">
        <v>56168</v>
      </c>
      <c r="BS84" s="2235">
        <v>46212</v>
      </c>
      <c r="BT84" s="2236">
        <v>39747</v>
      </c>
      <c r="BU84" s="2236">
        <v>44864</v>
      </c>
      <c r="BV84" s="2236">
        <v>46422</v>
      </c>
      <c r="BW84" s="2237">
        <v>54545</v>
      </c>
      <c r="BX84" s="2238">
        <v>46137</v>
      </c>
      <c r="BY84" s="2239">
        <v>43174</v>
      </c>
      <c r="BZ84" s="2239">
        <v>49027</v>
      </c>
      <c r="CA84" s="2239">
        <v>41634</v>
      </c>
      <c r="CB84" s="2239">
        <v>48103</v>
      </c>
      <c r="CC84" s="2239">
        <v>61054</v>
      </c>
      <c r="CD84" s="2239">
        <v>64119</v>
      </c>
      <c r="CE84" s="2239">
        <v>52709</v>
      </c>
      <c r="CF84" s="2239">
        <v>49386</v>
      </c>
      <c r="CG84" s="2239">
        <v>52967</v>
      </c>
      <c r="CH84" s="2239">
        <v>56261</v>
      </c>
      <c r="CI84" s="2240">
        <v>64359</v>
      </c>
      <c r="CJ84" s="2241">
        <v>51688</v>
      </c>
      <c r="CK84" s="2242">
        <v>53622</v>
      </c>
      <c r="CL84" s="2242">
        <v>51748</v>
      </c>
      <c r="CM84" s="2242">
        <v>49570</v>
      </c>
      <c r="CN84" s="2242">
        <v>52174</v>
      </c>
      <c r="CO84" s="2242">
        <v>58795</v>
      </c>
      <c r="CP84" s="2242">
        <v>71099</v>
      </c>
      <c r="CQ84" s="2242">
        <v>57790</v>
      </c>
      <c r="CR84" s="2242">
        <v>55854</v>
      </c>
      <c r="CS84" s="2242">
        <v>59469</v>
      </c>
      <c r="CT84" s="2242">
        <v>63257</v>
      </c>
      <c r="CU84" s="2243">
        <v>77949</v>
      </c>
      <c r="CV84" s="2238">
        <v>58224</v>
      </c>
      <c r="CW84" s="2239">
        <v>53321</v>
      </c>
      <c r="CX84" s="2240">
        <v>59393</v>
      </c>
      <c r="CY84" s="2240">
        <v>53854</v>
      </c>
      <c r="CZ84" s="2240">
        <v>56638</v>
      </c>
      <c r="DA84" s="2240">
        <v>67138</v>
      </c>
      <c r="DB84" s="2240">
        <v>73006</v>
      </c>
      <c r="DC84" s="2240">
        <v>52994</v>
      </c>
      <c r="DD84" s="2240">
        <v>51643</v>
      </c>
      <c r="DE84" s="2240">
        <v>56449</v>
      </c>
      <c r="DF84" s="2240">
        <v>61342</v>
      </c>
      <c r="DG84" s="2244">
        <v>68875</v>
      </c>
      <c r="DH84" s="2245">
        <v>52833</v>
      </c>
      <c r="DI84" s="2246">
        <v>51438</v>
      </c>
      <c r="DJ84" s="2246">
        <v>54420</v>
      </c>
      <c r="DK84" s="2247">
        <v>40983</v>
      </c>
      <c r="DL84" s="2247">
        <v>46162</v>
      </c>
      <c r="DM84" s="2247">
        <v>61277</v>
      </c>
      <c r="DN84" s="2247">
        <v>66352</v>
      </c>
      <c r="DO84" s="2247">
        <v>47805</v>
      </c>
      <c r="DP84" s="2247">
        <v>40169</v>
      </c>
      <c r="DQ84" s="2247">
        <v>53831</v>
      </c>
      <c r="DR84" s="2247">
        <v>48311</v>
      </c>
      <c r="DS84" s="2248">
        <v>64045</v>
      </c>
      <c r="DT84" s="2249">
        <v>50617</v>
      </c>
      <c r="DU84" s="2250">
        <v>47432</v>
      </c>
      <c r="DV84" s="2250">
        <v>53030</v>
      </c>
      <c r="DW84" s="2251">
        <v>50212</v>
      </c>
      <c r="DX84" s="2251">
        <v>47035</v>
      </c>
      <c r="DY84" s="2251">
        <v>65878</v>
      </c>
      <c r="DZ84" s="2251">
        <v>70150</v>
      </c>
      <c r="EA84" s="2251">
        <v>51198</v>
      </c>
      <c r="EB84" s="2251">
        <v>45357</v>
      </c>
      <c r="EC84" s="2251">
        <v>49733</v>
      </c>
      <c r="ED84" s="2251">
        <v>52215</v>
      </c>
      <c r="EE84" s="2250">
        <v>70062</v>
      </c>
      <c r="EF84" s="2252">
        <f>SUM(EF52:EF83)</f>
        <v>53007</v>
      </c>
      <c r="EG84" s="2249">
        <f t="shared" ref="EG84:EQ84" si="85">SUM(EG52:EG83)</f>
        <v>52567</v>
      </c>
      <c r="EH84" s="2249">
        <f t="shared" si="85"/>
        <v>58154</v>
      </c>
      <c r="EI84" s="2249">
        <f t="shared" si="85"/>
        <v>47644</v>
      </c>
      <c r="EJ84" s="2249">
        <f t="shared" si="85"/>
        <v>53921</v>
      </c>
      <c r="EK84" s="2249">
        <f t="shared" si="85"/>
        <v>70620</v>
      </c>
      <c r="EL84" s="2249">
        <f t="shared" si="85"/>
        <v>72893</v>
      </c>
      <c r="EM84" s="2249">
        <f t="shared" si="85"/>
        <v>54375</v>
      </c>
      <c r="EN84" s="2249">
        <f t="shared" si="85"/>
        <v>50018</v>
      </c>
      <c r="EO84" s="2249">
        <f t="shared" si="85"/>
        <v>53057</v>
      </c>
      <c r="EP84" s="2249">
        <f t="shared" si="85"/>
        <v>54720</v>
      </c>
      <c r="EQ84" s="2249">
        <f t="shared" si="85"/>
        <v>71516</v>
      </c>
      <c r="ER84" s="2252">
        <f>SUM(ER52:ER83)</f>
        <v>52976</v>
      </c>
      <c r="ES84" s="2252">
        <f t="shared" ref="ES84:FC84" si="86">SUM(ES52:ES83)</f>
        <v>0</v>
      </c>
      <c r="ET84" s="2252">
        <f t="shared" si="86"/>
        <v>0</v>
      </c>
      <c r="EU84" s="2252">
        <f t="shared" si="86"/>
        <v>0</v>
      </c>
      <c r="EV84" s="2252">
        <f t="shared" si="86"/>
        <v>0</v>
      </c>
      <c r="EW84" s="2252">
        <f t="shared" si="86"/>
        <v>0</v>
      </c>
      <c r="EX84" s="2252">
        <f t="shared" si="86"/>
        <v>0</v>
      </c>
      <c r="EY84" s="2252">
        <f t="shared" si="86"/>
        <v>0</v>
      </c>
      <c r="EZ84" s="2252">
        <f t="shared" si="86"/>
        <v>0</v>
      </c>
      <c r="FA84" s="2252">
        <f t="shared" si="86"/>
        <v>0</v>
      </c>
      <c r="FB84" s="2252">
        <f t="shared" si="86"/>
        <v>0</v>
      </c>
      <c r="FC84" s="2450">
        <f t="shared" si="86"/>
        <v>0</v>
      </c>
      <c r="FD84" s="2253"/>
      <c r="FE84" s="2254">
        <v>91232</v>
      </c>
      <c r="FF84" s="2255">
        <v>96560</v>
      </c>
      <c r="FG84" s="2255">
        <v>123584</v>
      </c>
      <c r="FH84" s="2256">
        <v>106477</v>
      </c>
      <c r="FI84" s="2257">
        <v>118286</v>
      </c>
      <c r="FJ84" s="2258">
        <v>112287</v>
      </c>
      <c r="FK84" s="2258">
        <v>128378</v>
      </c>
      <c r="FL84" s="2259">
        <v>112548</v>
      </c>
      <c r="FM84" s="2260">
        <v>103141</v>
      </c>
      <c r="FN84" s="2261">
        <v>112730</v>
      </c>
      <c r="FO84" s="2261">
        <v>127941</v>
      </c>
      <c r="FP84" s="2261">
        <v>118053</v>
      </c>
      <c r="FQ84" s="2262">
        <v>116475</v>
      </c>
      <c r="FR84" s="2263">
        <v>114807</v>
      </c>
      <c r="FS84" s="2263">
        <v>125250</v>
      </c>
      <c r="FT84" s="2264">
        <v>117689</v>
      </c>
      <c r="FU84" s="2265">
        <v>112856</v>
      </c>
      <c r="FV84" s="2266">
        <v>121816</v>
      </c>
      <c r="FW84" s="2266">
        <v>128816</v>
      </c>
      <c r="FX84" s="2267">
        <v>123890</v>
      </c>
      <c r="FY84" s="2263">
        <v>114090</v>
      </c>
      <c r="FZ84" s="2263">
        <v>131410</v>
      </c>
      <c r="GA84" s="2263">
        <v>142127</v>
      </c>
      <c r="GB84" s="2263">
        <v>145831</v>
      </c>
      <c r="GC84" s="2268">
        <v>138338</v>
      </c>
      <c r="GD84" s="2268">
        <v>150791</v>
      </c>
      <c r="GE84" s="2268">
        <v>166214</v>
      </c>
      <c r="GF84" s="2268">
        <v>173587</v>
      </c>
      <c r="GG84" s="2269">
        <v>157058</v>
      </c>
      <c r="GH84" s="2269">
        <v>160539</v>
      </c>
      <c r="GI84" s="2269">
        <f t="shared" si="52"/>
        <v>184743</v>
      </c>
      <c r="GJ84" s="2269">
        <v>200675</v>
      </c>
      <c r="GK84" s="2270">
        <v>170938</v>
      </c>
      <c r="GL84" s="2270">
        <f t="shared" si="53"/>
        <v>177630</v>
      </c>
      <c r="GM84" s="2270">
        <f t="shared" si="54"/>
        <v>177643</v>
      </c>
      <c r="GN84" s="2269">
        <f t="shared" si="55"/>
        <v>186666</v>
      </c>
      <c r="GO84" s="2271">
        <f t="shared" si="56"/>
        <v>158691</v>
      </c>
      <c r="GP84" s="2271">
        <f t="shared" si="57"/>
        <v>148422</v>
      </c>
      <c r="GQ84" s="2271">
        <f t="shared" si="58"/>
        <v>178202</v>
      </c>
      <c r="GR84" s="2271">
        <f t="shared" si="59"/>
        <v>166187</v>
      </c>
      <c r="GS84" s="2272">
        <f t="shared" si="60"/>
        <v>151079</v>
      </c>
      <c r="GT84" s="2272">
        <f t="shared" si="61"/>
        <v>163125</v>
      </c>
      <c r="GU84" s="2272">
        <f t="shared" si="62"/>
        <v>166705</v>
      </c>
      <c r="GV84" s="2272">
        <f t="shared" si="63"/>
        <v>172010</v>
      </c>
      <c r="GW84" s="2273">
        <f t="shared" si="64"/>
        <v>163728</v>
      </c>
      <c r="GX84" s="2268">
        <f t="shared" si="65"/>
        <v>172185</v>
      </c>
      <c r="GY84" s="2268">
        <f t="shared" si="66"/>
        <v>177286</v>
      </c>
      <c r="GZ84" s="2268">
        <f t="shared" si="67"/>
        <v>179293</v>
      </c>
      <c r="HA84" s="2445">
        <f t="shared" si="68"/>
        <v>52976</v>
      </c>
      <c r="HB84" s="2446">
        <f t="shared" si="69"/>
        <v>0</v>
      </c>
      <c r="HC84" s="2446">
        <f t="shared" si="70"/>
        <v>0</v>
      </c>
      <c r="HD84" s="2446">
        <f t="shared" si="71"/>
        <v>0</v>
      </c>
      <c r="HE84" s="2274"/>
      <c r="HF84" s="2275">
        <f>SUM(HF52:HF83)</f>
        <v>417853</v>
      </c>
      <c r="HG84" s="2275">
        <f>SUM(HG52:HG83)</f>
        <v>471499</v>
      </c>
      <c r="HH84" s="2276">
        <v>461865</v>
      </c>
      <c r="HI84" s="2276">
        <f>SUM(HI52:HI83)</f>
        <v>474221</v>
      </c>
      <c r="HJ84" s="2276">
        <f t="shared" ref="HJ84:HQ84" si="87">SUM(HJ52:HJ83)</f>
        <v>487378</v>
      </c>
      <c r="HK84" s="2276">
        <f t="shared" si="87"/>
        <v>533458</v>
      </c>
      <c r="HL84" s="2276">
        <f t="shared" si="87"/>
        <v>628958</v>
      </c>
      <c r="HM84" s="2276">
        <f t="shared" si="87"/>
        <v>703015</v>
      </c>
      <c r="HN84" s="2276">
        <f t="shared" si="87"/>
        <v>712877</v>
      </c>
      <c r="HO84" s="2276">
        <f t="shared" si="87"/>
        <v>627626</v>
      </c>
      <c r="HP84" s="2276">
        <f t="shared" si="87"/>
        <v>652931</v>
      </c>
      <c r="HQ84" s="2276">
        <f t="shared" si="87"/>
        <v>692492</v>
      </c>
      <c r="HR84" s="3150">
        <f>SUM(HR52:HR83)</f>
        <v>52976</v>
      </c>
      <c r="HS84" s="3151">
        <f t="shared" si="49"/>
        <v>692461</v>
      </c>
      <c r="HT84" s="2457">
        <f t="shared" si="76"/>
        <v>680233.66666666663</v>
      </c>
      <c r="HU84" s="2277"/>
      <c r="HV84" s="2277"/>
      <c r="HW84" s="2277"/>
      <c r="HX84" s="2277"/>
      <c r="HY84" s="2278"/>
      <c r="HZ84" s="2304">
        <f t="shared" si="81"/>
        <v>4.0318597381242993E-2</v>
      </c>
      <c r="IA84" s="2304">
        <f t="shared" si="82"/>
        <v>8.3820088184151986E-2</v>
      </c>
      <c r="IB84" s="2561">
        <f t="shared" si="83"/>
        <v>6.0589863247418219E-2</v>
      </c>
      <c r="IC84" s="2304">
        <f t="shared" si="84"/>
        <v>-4.4765860111040112E-5</v>
      </c>
    </row>
    <row r="85" spans="1:237" s="276" customFormat="1">
      <c r="A85" s="504"/>
      <c r="B85" s="505"/>
      <c r="C85" s="511" t="s">
        <v>579</v>
      </c>
      <c r="D85" s="478"/>
      <c r="E85" s="463"/>
      <c r="F85" s="463"/>
      <c r="G85" s="333"/>
      <c r="H85" s="463"/>
      <c r="I85" s="463"/>
      <c r="J85" s="463"/>
      <c r="K85" s="463"/>
      <c r="L85" s="463"/>
      <c r="M85" s="333"/>
      <c r="N85" s="463"/>
      <c r="O85" s="463"/>
      <c r="P85" s="463"/>
      <c r="Q85" s="463"/>
      <c r="R85" s="463"/>
      <c r="S85" s="333"/>
      <c r="T85" s="463"/>
      <c r="U85" s="463"/>
      <c r="V85" s="463"/>
      <c r="W85" s="463"/>
      <c r="X85" s="463"/>
      <c r="Y85" s="463"/>
      <c r="Z85" s="463"/>
      <c r="AA85" s="463"/>
      <c r="AB85" s="463">
        <v>0</v>
      </c>
      <c r="AC85" s="463">
        <v>0</v>
      </c>
      <c r="AD85" s="463">
        <v>0</v>
      </c>
      <c r="AE85" s="463">
        <v>0</v>
      </c>
      <c r="AF85" s="463">
        <v>0</v>
      </c>
      <c r="AG85" s="463">
        <v>0</v>
      </c>
      <c r="AH85" s="463">
        <v>0</v>
      </c>
      <c r="AI85" s="463">
        <v>0</v>
      </c>
      <c r="AJ85" s="463">
        <v>0</v>
      </c>
      <c r="AK85" s="463">
        <v>0</v>
      </c>
      <c r="AL85" s="463">
        <v>0</v>
      </c>
      <c r="AM85" s="463">
        <v>0</v>
      </c>
      <c r="AN85" s="463"/>
      <c r="AO85" s="463"/>
      <c r="AP85" s="463"/>
      <c r="AQ85" s="463"/>
      <c r="AR85" s="463"/>
      <c r="AS85" s="463"/>
      <c r="AT85" s="463"/>
      <c r="AU85" s="463"/>
      <c r="AV85" s="463"/>
      <c r="AW85" s="463"/>
      <c r="AX85" s="463">
        <v>0</v>
      </c>
      <c r="AY85" s="463">
        <v>0</v>
      </c>
      <c r="AZ85" s="463">
        <v>0</v>
      </c>
      <c r="BA85" s="463">
        <v>0</v>
      </c>
      <c r="BB85" s="463">
        <v>0</v>
      </c>
      <c r="BC85" s="463"/>
      <c r="BD85" s="463">
        <v>0</v>
      </c>
      <c r="BE85" s="463">
        <v>0</v>
      </c>
      <c r="BF85" s="463"/>
      <c r="BG85" s="463">
        <v>0</v>
      </c>
      <c r="BH85" s="463"/>
      <c r="BI85" s="463">
        <v>0</v>
      </c>
      <c r="BJ85" s="463">
        <v>0</v>
      </c>
      <c r="BK85" s="463">
        <v>0</v>
      </c>
      <c r="BL85" s="463">
        <v>0</v>
      </c>
      <c r="BM85" s="463"/>
      <c r="BN85" s="463"/>
      <c r="BO85" s="463"/>
      <c r="BP85" s="463"/>
      <c r="BQ85" s="463"/>
      <c r="BR85" s="463"/>
      <c r="BS85" s="463"/>
      <c r="BT85" s="463">
        <v>0</v>
      </c>
      <c r="BU85" s="463"/>
      <c r="BV85" s="463"/>
      <c r="BW85" s="463"/>
      <c r="BX85" s="463"/>
      <c r="BY85" s="463"/>
      <c r="BZ85" s="463"/>
      <c r="CA85" s="463"/>
      <c r="CB85" s="463"/>
      <c r="CC85" s="463">
        <v>5607</v>
      </c>
      <c r="CD85" s="463"/>
      <c r="CE85" s="463"/>
      <c r="CF85" s="463"/>
      <c r="CG85" s="463"/>
      <c r="CH85" s="463"/>
      <c r="CI85" s="463"/>
      <c r="CJ85" s="463"/>
      <c r="CK85" s="463"/>
      <c r="CL85" s="463"/>
      <c r="CM85" s="463"/>
      <c r="CN85" s="463"/>
      <c r="CO85" s="463"/>
      <c r="CP85" s="463"/>
      <c r="CQ85" s="463"/>
      <c r="CR85" s="463"/>
      <c r="CS85" s="463"/>
      <c r="CT85" s="463"/>
      <c r="CU85" s="463"/>
      <c r="CV85" s="463"/>
      <c r="CW85" s="463"/>
      <c r="CX85" s="463"/>
      <c r="CY85" s="463"/>
      <c r="CZ85" s="463"/>
      <c r="DA85" s="463"/>
      <c r="DB85" s="463"/>
      <c r="DC85" s="463"/>
      <c r="DD85" s="463"/>
      <c r="DE85" s="463"/>
      <c r="DF85" s="463"/>
      <c r="DG85" s="463"/>
      <c r="DH85" s="1518">
        <v>0</v>
      </c>
      <c r="DI85" s="1518">
        <v>0</v>
      </c>
      <c r="DJ85" s="1518">
        <v>0</v>
      </c>
      <c r="DK85" s="1518">
        <v>0</v>
      </c>
      <c r="DL85" s="1518">
        <v>0</v>
      </c>
      <c r="DM85" s="1518">
        <v>0</v>
      </c>
      <c r="DN85" s="1518">
        <v>0</v>
      </c>
      <c r="DO85" s="1518">
        <v>0</v>
      </c>
      <c r="DP85" s="1518">
        <v>0</v>
      </c>
      <c r="DQ85" s="1518">
        <v>0</v>
      </c>
      <c r="DR85" s="1518">
        <v>0</v>
      </c>
      <c r="DS85" s="1518">
        <v>0</v>
      </c>
      <c r="DT85" s="1518">
        <v>0</v>
      </c>
      <c r="DU85" s="1518">
        <v>0</v>
      </c>
      <c r="DV85" s="1518">
        <v>0</v>
      </c>
      <c r="DW85" s="1518">
        <v>0</v>
      </c>
      <c r="DX85" s="1518">
        <v>0</v>
      </c>
      <c r="DY85" s="1518">
        <v>0</v>
      </c>
      <c r="DZ85" s="1518"/>
      <c r="EA85" s="1518"/>
      <c r="EB85" s="1518"/>
      <c r="EC85" s="1518"/>
      <c r="ED85" s="1518"/>
      <c r="EE85" s="1518"/>
      <c r="EF85" s="2172">
        <f>EF84/DT84-1</f>
        <v>4.7217338048481716E-2</v>
      </c>
      <c r="EG85" s="2173">
        <f t="shared" ref="EG85:EQ85" si="88">EG84/DU84-1</f>
        <v>0.10826024624725927</v>
      </c>
      <c r="EH85" s="2173">
        <f t="shared" si="88"/>
        <v>9.662455214029797E-2</v>
      </c>
      <c r="EI85" s="2173">
        <f t="shared" si="88"/>
        <v>-5.1143153031147914E-2</v>
      </c>
      <c r="EJ85" s="2173">
        <f t="shared" si="88"/>
        <v>0.14640161581800792</v>
      </c>
      <c r="EK85" s="2173">
        <f t="shared" si="88"/>
        <v>7.1981541637572422E-2</v>
      </c>
      <c r="EL85" s="2173">
        <f t="shared" si="88"/>
        <v>3.9101924447612291E-2</v>
      </c>
      <c r="EM85" s="2173">
        <f t="shared" si="88"/>
        <v>6.2053205203328243E-2</v>
      </c>
      <c r="EN85" s="2173">
        <f t="shared" si="88"/>
        <v>0.10276252838591615</v>
      </c>
      <c r="EO85" s="2173">
        <f t="shared" si="88"/>
        <v>6.6836909094565078E-2</v>
      </c>
      <c r="EP85" s="2333">
        <f t="shared" si="88"/>
        <v>4.797471990807245E-2</v>
      </c>
      <c r="EQ85" s="2173">
        <f t="shared" si="88"/>
        <v>2.0753047300962058E-2</v>
      </c>
      <c r="ER85" s="2172">
        <f t="shared" ref="ER85:FC85" si="89">ER84/EF84-1</f>
        <v>-5.8482841888807258E-4</v>
      </c>
      <c r="ES85" s="2173">
        <f t="shared" si="89"/>
        <v>-1</v>
      </c>
      <c r="ET85" s="2173">
        <f t="shared" si="89"/>
        <v>-1</v>
      </c>
      <c r="EU85" s="2173">
        <f t="shared" si="89"/>
        <v>-1</v>
      </c>
      <c r="EV85" s="2173">
        <f t="shared" si="89"/>
        <v>-1</v>
      </c>
      <c r="EW85" s="2173">
        <f t="shared" si="89"/>
        <v>-1</v>
      </c>
      <c r="EX85" s="2173">
        <f t="shared" si="89"/>
        <v>-1</v>
      </c>
      <c r="EY85" s="2173">
        <f t="shared" si="89"/>
        <v>-1</v>
      </c>
      <c r="EZ85" s="2173">
        <f t="shared" si="89"/>
        <v>-1</v>
      </c>
      <c r="FA85" s="2173">
        <f t="shared" si="89"/>
        <v>-1</v>
      </c>
      <c r="FB85" s="2333">
        <f t="shared" si="89"/>
        <v>-1</v>
      </c>
      <c r="FC85" s="2451">
        <f t="shared" si="89"/>
        <v>-1</v>
      </c>
      <c r="FD85" s="2438"/>
      <c r="FE85" s="463">
        <v>0</v>
      </c>
      <c r="FF85" s="463">
        <v>0</v>
      </c>
      <c r="FG85" s="463">
        <v>0</v>
      </c>
      <c r="FH85" s="463">
        <v>0</v>
      </c>
      <c r="FI85" s="463">
        <v>0</v>
      </c>
      <c r="FJ85" s="463">
        <v>0</v>
      </c>
      <c r="FK85" s="463">
        <v>0</v>
      </c>
      <c r="FL85" s="463">
        <v>0</v>
      </c>
      <c r="FM85" s="463">
        <v>0</v>
      </c>
      <c r="FN85" s="463">
        <v>0</v>
      </c>
      <c r="FO85" s="463">
        <v>0</v>
      </c>
      <c r="FP85" s="463">
        <v>0</v>
      </c>
      <c r="FQ85" s="463">
        <v>0</v>
      </c>
      <c r="FR85" s="463">
        <v>0</v>
      </c>
      <c r="FS85" s="463">
        <v>0</v>
      </c>
      <c r="FT85" s="463">
        <v>0</v>
      </c>
      <c r="FU85" s="463">
        <v>0</v>
      </c>
      <c r="FV85" s="463">
        <v>0</v>
      </c>
      <c r="FW85" s="463">
        <v>0</v>
      </c>
      <c r="FX85" s="463">
        <v>0</v>
      </c>
      <c r="FY85" s="463">
        <v>0</v>
      </c>
      <c r="FZ85" s="463">
        <v>0</v>
      </c>
      <c r="GA85" s="463"/>
      <c r="GB85" s="463"/>
      <c r="GC85" s="463"/>
      <c r="GD85" s="463"/>
      <c r="GE85" s="463"/>
      <c r="GF85" s="463"/>
      <c r="GG85" s="463"/>
      <c r="GH85" s="463"/>
      <c r="GI85" s="463"/>
      <c r="GJ85" s="463"/>
      <c r="GK85" s="463"/>
      <c r="GL85" s="463"/>
      <c r="GM85" s="463"/>
      <c r="GN85" s="463"/>
      <c r="GO85" s="1518">
        <v>0</v>
      </c>
      <c r="GP85" s="1518"/>
      <c r="GQ85" s="1518"/>
      <c r="GR85" s="1518"/>
      <c r="GS85" s="1559">
        <v>0</v>
      </c>
      <c r="GT85" s="1559"/>
      <c r="GU85" s="1518">
        <v>0</v>
      </c>
      <c r="GV85" s="463"/>
      <c r="GW85" s="463"/>
      <c r="GX85" s="463"/>
      <c r="GY85" s="463"/>
      <c r="GZ85" s="463"/>
      <c r="HA85" s="463"/>
      <c r="HB85" s="463"/>
      <c r="HC85" s="463"/>
      <c r="HD85" s="463"/>
      <c r="HE85" s="850"/>
      <c r="HF85" s="850"/>
      <c r="HG85" s="1747">
        <f t="shared" ref="HG85:HQ85" si="90">HG84/HF84-1</f>
        <v>0.12838486261915083</v>
      </c>
      <c r="HH85" s="1747">
        <f t="shared" si="90"/>
        <v>-2.0432705053457179E-2</v>
      </c>
      <c r="HI85" s="1747">
        <f t="shared" si="90"/>
        <v>2.6752406006083973E-2</v>
      </c>
      <c r="HJ85" s="1747">
        <f t="shared" si="90"/>
        <v>2.7744448263573362E-2</v>
      </c>
      <c r="HK85" s="1747">
        <f t="shared" si="90"/>
        <v>9.4546737850292883E-2</v>
      </c>
      <c r="HL85" s="1747">
        <f t="shared" si="90"/>
        <v>0.17902065392214572</v>
      </c>
      <c r="HM85" s="1747">
        <f t="shared" si="90"/>
        <v>0.11774554103771639</v>
      </c>
      <c r="HN85" s="1747">
        <f t="shared" si="90"/>
        <v>1.4028150181717214E-2</v>
      </c>
      <c r="HO85" s="1747">
        <f t="shared" si="90"/>
        <v>-0.11958724997439951</v>
      </c>
      <c r="HP85" s="1747">
        <f t="shared" si="90"/>
        <v>4.0318597381242993E-2</v>
      </c>
      <c r="HQ85" s="1747">
        <f t="shared" si="90"/>
        <v>6.0589863247418219E-2</v>
      </c>
      <c r="HR85" s="1747"/>
      <c r="HS85" s="3152">
        <f>HS84/HQ84-1</f>
        <v>-4.4765860111040112E-5</v>
      </c>
      <c r="HT85" s="2290"/>
      <c r="HU85" s="1735"/>
      <c r="HV85" s="1735"/>
      <c r="HW85" s="1735"/>
      <c r="HX85" s="1735"/>
    </row>
    <row r="86" spans="1:237" s="276" customFormat="1" ht="9.75" customHeight="1">
      <c r="A86" s="275"/>
      <c r="B86" s="275"/>
      <c r="C86" s="275"/>
      <c r="D86" s="275"/>
      <c r="E86" s="275"/>
      <c r="F86" s="275"/>
      <c r="G86" s="275"/>
      <c r="H86" s="275"/>
      <c r="I86" s="275"/>
      <c r="J86" s="275"/>
      <c r="K86" s="275"/>
      <c r="L86" s="275"/>
      <c r="M86" s="275"/>
      <c r="N86" s="275"/>
      <c r="O86" s="275"/>
      <c r="P86" s="275"/>
      <c r="Q86" s="275"/>
      <c r="R86" s="275"/>
      <c r="S86" s="275"/>
      <c r="T86" s="275"/>
      <c r="U86" s="275"/>
      <c r="V86" s="275"/>
      <c r="W86" s="275"/>
      <c r="X86" s="275"/>
      <c r="Y86" s="275"/>
      <c r="Z86" s="275"/>
      <c r="AA86" s="275"/>
      <c r="AB86" s="275"/>
      <c r="AC86" s="275"/>
      <c r="AD86" s="275"/>
      <c r="AE86" s="275"/>
      <c r="AF86" s="275"/>
      <c r="AG86" s="275"/>
      <c r="AH86" s="275"/>
      <c r="AI86" s="275"/>
      <c r="AJ86" s="275"/>
      <c r="AK86" s="275"/>
      <c r="AL86" s="275"/>
      <c r="AM86" s="275"/>
      <c r="AN86" s="275"/>
      <c r="AO86" s="275"/>
      <c r="AP86" s="275"/>
      <c r="AQ86" s="275"/>
      <c r="AR86" s="275"/>
      <c r="AS86" s="275"/>
      <c r="AT86" s="275"/>
      <c r="AU86" s="275"/>
      <c r="AV86" s="275"/>
      <c r="AW86" s="275"/>
      <c r="AX86" s="275"/>
      <c r="AY86" s="275"/>
      <c r="AZ86" s="275"/>
      <c r="BA86" s="275"/>
      <c r="BB86" s="275"/>
      <c r="BC86" s="275"/>
      <c r="BD86" s="275"/>
      <c r="BE86" s="275"/>
      <c r="BF86" s="275"/>
      <c r="BG86" s="275"/>
      <c r="BH86" s="275"/>
      <c r="BI86" s="275"/>
      <c r="BJ86" s="275"/>
      <c r="BK86" s="275"/>
      <c r="BL86" s="275"/>
      <c r="BM86" s="275"/>
      <c r="BN86" s="275"/>
      <c r="BO86" s="275"/>
      <c r="BP86" s="275"/>
      <c r="BQ86" s="275"/>
      <c r="BR86" s="275"/>
      <c r="BS86" s="275"/>
      <c r="BT86" s="275"/>
      <c r="BU86" s="275"/>
      <c r="BV86" s="275"/>
      <c r="BW86" s="275"/>
      <c r="BX86" s="275"/>
      <c r="BY86" s="275"/>
      <c r="BZ86" s="275"/>
      <c r="CA86" s="275"/>
      <c r="CB86" s="275"/>
      <c r="CC86" s="275"/>
      <c r="CD86" s="275"/>
      <c r="CE86" s="275"/>
      <c r="CF86" s="275"/>
      <c r="CG86" s="275"/>
      <c r="CH86" s="275"/>
      <c r="CI86" s="275"/>
      <c r="CJ86" s="275"/>
      <c r="CK86" s="275"/>
      <c r="CL86" s="275"/>
      <c r="CM86" s="275"/>
      <c r="CN86" s="275"/>
      <c r="CO86" s="275"/>
      <c r="CP86" s="275"/>
      <c r="CQ86" s="275"/>
      <c r="CR86" s="275"/>
      <c r="CS86" s="275"/>
      <c r="CT86" s="275"/>
      <c r="CU86" s="275"/>
      <c r="CV86" s="275"/>
      <c r="CW86" s="275"/>
      <c r="CX86" s="275"/>
      <c r="CY86" s="275"/>
      <c r="CZ86" s="275"/>
      <c r="DA86" s="275"/>
      <c r="DB86" s="275"/>
      <c r="DC86" s="275"/>
      <c r="DD86" s="275"/>
      <c r="DE86" s="275"/>
      <c r="DF86" s="275"/>
      <c r="DG86" s="275"/>
      <c r="DH86" s="1519"/>
      <c r="DI86" s="1519"/>
      <c r="DJ86" s="1519"/>
      <c r="DK86" s="1519"/>
      <c r="DL86" s="1519"/>
      <c r="DM86" s="1519"/>
      <c r="DN86" s="1519"/>
      <c r="DO86" s="1519"/>
      <c r="DP86" s="1519"/>
      <c r="DQ86" s="1519"/>
      <c r="DR86" s="1519"/>
      <c r="DS86" s="1519"/>
      <c r="DT86" s="1519"/>
      <c r="DU86" s="1519"/>
      <c r="DV86" s="1519"/>
      <c r="DW86" s="1519"/>
      <c r="DX86" s="1519"/>
      <c r="DY86" s="1519"/>
      <c r="DZ86" s="1519"/>
      <c r="EA86" s="1519"/>
      <c r="EB86" s="1519"/>
      <c r="EC86" s="1519"/>
      <c r="ED86" s="1519"/>
      <c r="EE86" s="1519"/>
      <c r="EF86" s="1928"/>
      <c r="EG86" s="1929"/>
      <c r="EH86" s="1929"/>
      <c r="EI86" s="1929"/>
      <c r="EJ86" s="1929"/>
      <c r="EK86" s="1929"/>
      <c r="EL86" s="1929"/>
      <c r="EM86" s="1929"/>
      <c r="EN86" s="1929"/>
      <c r="EO86" s="1929"/>
      <c r="EP86" s="1929"/>
      <c r="EQ86" s="1929"/>
      <c r="ER86" s="1928"/>
      <c r="ES86" s="1929"/>
      <c r="ET86" s="1929"/>
      <c r="EU86" s="1929"/>
      <c r="EV86" s="1929"/>
      <c r="EW86" s="1929"/>
      <c r="EX86" s="1929"/>
      <c r="EY86" s="1929"/>
      <c r="EZ86" s="1929"/>
      <c r="FA86" s="1929"/>
      <c r="FB86" s="1929"/>
      <c r="FC86" s="1930"/>
      <c r="FD86" s="2439"/>
      <c r="FE86" s="275"/>
      <c r="FF86" s="275"/>
      <c r="FG86" s="275"/>
      <c r="FH86" s="275"/>
      <c r="FI86" s="275"/>
      <c r="FJ86" s="275"/>
      <c r="FK86" s="275"/>
      <c r="FL86" s="275"/>
      <c r="FM86" s="275"/>
      <c r="FN86" s="275"/>
      <c r="FO86" s="275"/>
      <c r="FP86" s="275"/>
      <c r="FQ86" s="275"/>
      <c r="FR86" s="275"/>
      <c r="FS86" s="275"/>
      <c r="FT86" s="275"/>
      <c r="FU86" s="275"/>
      <c r="FV86" s="275"/>
      <c r="FW86" s="275"/>
      <c r="FX86" s="275"/>
      <c r="FY86" s="275"/>
      <c r="FZ86" s="275"/>
      <c r="GA86" s="275"/>
      <c r="GB86" s="275"/>
      <c r="GC86" s="275"/>
      <c r="GD86" s="275"/>
      <c r="GE86" s="275"/>
      <c r="GF86" s="275"/>
      <c r="GG86" s="275"/>
      <c r="GH86" s="275"/>
      <c r="GI86" s="275"/>
      <c r="GJ86" s="275"/>
      <c r="GK86" s="275"/>
      <c r="GL86" s="275"/>
      <c r="GM86" s="275"/>
      <c r="GN86" s="275"/>
      <c r="GO86" s="1560"/>
      <c r="GP86" s="1560"/>
      <c r="GQ86" s="1560"/>
      <c r="GR86" s="1560"/>
      <c r="GS86" s="1561"/>
      <c r="GT86" s="1561"/>
      <c r="GU86" s="1519"/>
      <c r="GV86" s="275"/>
      <c r="GW86" s="275"/>
      <c r="GX86" s="275"/>
      <c r="GY86" s="275"/>
      <c r="GZ86" s="275"/>
      <c r="HA86" s="275"/>
      <c r="HB86" s="275"/>
      <c r="HC86" s="275"/>
      <c r="HD86" s="275"/>
      <c r="HE86" s="828"/>
      <c r="HF86" s="828"/>
      <c r="HG86" s="828"/>
      <c r="HH86" s="828"/>
      <c r="HI86" s="828"/>
      <c r="HJ86" s="828"/>
      <c r="HK86" s="828"/>
      <c r="HL86" s="828"/>
      <c r="HM86" s="828"/>
      <c r="HN86" s="828"/>
      <c r="HO86" s="1576"/>
      <c r="HP86" s="1576"/>
      <c r="HQ86" s="1576"/>
      <c r="HR86" s="1576"/>
      <c r="HS86" s="3153"/>
      <c r="HT86" s="1576"/>
      <c r="HU86" s="1735"/>
      <c r="HV86" s="1735"/>
      <c r="HW86" s="1735"/>
      <c r="HX86" s="1735"/>
    </row>
    <row r="87" spans="1:237">
      <c r="C87" s="466"/>
      <c r="D87" s="466"/>
      <c r="E87" s="466"/>
      <c r="F87" s="466"/>
      <c r="G87" s="466"/>
      <c r="H87" s="466"/>
      <c r="I87" s="466"/>
      <c r="J87" s="466"/>
      <c r="K87" s="466"/>
      <c r="L87" s="466"/>
      <c r="M87" s="466"/>
      <c r="N87" s="466"/>
      <c r="O87" s="466"/>
      <c r="P87" s="510"/>
      <c r="Q87" s="510"/>
      <c r="R87" s="510"/>
      <c r="S87" s="510"/>
      <c r="T87" s="510"/>
      <c r="U87" s="510"/>
      <c r="V87" s="510"/>
      <c r="W87" s="510"/>
      <c r="X87" s="510"/>
      <c r="Y87" s="510"/>
      <c r="Z87" s="510"/>
      <c r="AA87" s="510"/>
      <c r="AB87" s="510"/>
      <c r="AC87" s="510"/>
      <c r="AD87" s="510"/>
      <c r="AE87" s="510"/>
      <c r="AF87" s="510"/>
      <c r="AG87" s="510"/>
      <c r="AH87" s="510"/>
      <c r="AI87" s="510"/>
      <c r="AJ87" s="510"/>
      <c r="AK87" s="510"/>
      <c r="AL87" s="510"/>
      <c r="AM87" s="510"/>
      <c r="AN87" s="510"/>
      <c r="AO87" s="510"/>
      <c r="AP87" s="510"/>
      <c r="AQ87" s="510"/>
      <c r="AR87" s="510"/>
      <c r="AS87" s="510"/>
      <c r="AT87" s="510"/>
      <c r="AU87" s="510"/>
      <c r="AV87" s="510"/>
      <c r="AW87" s="510"/>
      <c r="AX87" s="510"/>
      <c r="AY87" s="510"/>
      <c r="AZ87" s="466"/>
      <c r="BA87" s="466"/>
      <c r="BB87" s="466"/>
      <c r="BC87" s="466"/>
      <c r="BD87" s="466"/>
      <c r="BE87" s="466"/>
      <c r="BF87" s="466"/>
      <c r="BG87" s="466"/>
      <c r="BH87" s="466"/>
      <c r="BI87" s="466"/>
      <c r="BJ87" s="466"/>
      <c r="BK87" s="466"/>
      <c r="BL87" s="466"/>
      <c r="BM87" s="466"/>
      <c r="BN87" s="466"/>
      <c r="BO87" s="466"/>
      <c r="BP87" s="466"/>
      <c r="BQ87" s="466"/>
      <c r="BR87" s="466"/>
      <c r="BS87" s="466"/>
      <c r="BT87" s="466"/>
      <c r="BU87" s="466"/>
      <c r="BV87" s="466"/>
      <c r="BW87" s="466"/>
      <c r="BX87" s="466"/>
      <c r="BY87" s="466"/>
      <c r="BZ87" s="466"/>
      <c r="CA87" s="466"/>
      <c r="CB87" s="466"/>
      <c r="CC87" s="466"/>
      <c r="CD87" s="466"/>
      <c r="CE87" s="466"/>
      <c r="CF87" s="466"/>
      <c r="CG87" s="466"/>
      <c r="CH87" s="466"/>
      <c r="CI87" s="466"/>
      <c r="CJ87" s="466"/>
      <c r="CK87" s="466"/>
      <c r="CL87" s="466"/>
      <c r="CM87" s="466"/>
      <c r="CN87" s="466"/>
      <c r="CO87" s="466"/>
      <c r="CP87" s="466"/>
      <c r="CQ87" s="466"/>
      <c r="CR87" s="466"/>
      <c r="CS87" s="466"/>
      <c r="CT87" s="466"/>
      <c r="CU87" s="466"/>
      <c r="CV87" s="466"/>
      <c r="CW87" s="466"/>
      <c r="CX87" s="466"/>
      <c r="CY87" s="466"/>
      <c r="CZ87" s="466"/>
      <c r="DA87" s="466"/>
      <c r="DB87" s="466"/>
      <c r="DC87" s="466"/>
      <c r="DD87" s="466"/>
      <c r="DE87" s="466"/>
      <c r="DF87" s="466"/>
      <c r="DG87" s="466"/>
      <c r="DH87" s="1520"/>
      <c r="DI87" s="1520"/>
      <c r="DJ87" s="1520"/>
      <c r="DK87" s="1520"/>
      <c r="DL87" s="1520"/>
      <c r="DM87" s="1520"/>
      <c r="DN87" s="1520"/>
      <c r="DO87" s="1520"/>
      <c r="DP87" s="1520"/>
      <c r="DQ87" s="1520"/>
      <c r="DR87" s="1520"/>
      <c r="DS87" s="1520"/>
      <c r="DT87" s="1520"/>
      <c r="DU87" s="1520"/>
      <c r="DV87" s="1520"/>
      <c r="DW87" s="1520"/>
      <c r="DX87" s="1520"/>
      <c r="DY87" s="1520"/>
      <c r="DZ87" s="1520"/>
      <c r="EA87" s="1520"/>
      <c r="EB87" s="1520"/>
      <c r="EC87" s="1520"/>
      <c r="ED87" s="1520"/>
      <c r="EE87" s="1520"/>
      <c r="EF87" s="1931"/>
      <c r="EG87" s="1520"/>
      <c r="EH87" s="1520"/>
      <c r="EI87" s="1520"/>
      <c r="EJ87" s="1520"/>
      <c r="EK87" s="1520"/>
      <c r="EL87" s="1520"/>
      <c r="EM87" s="1520"/>
      <c r="EN87" s="1520"/>
      <c r="EO87" s="1520"/>
      <c r="EP87" s="1520"/>
      <c r="EQ87" s="1520"/>
      <c r="ER87" s="1931"/>
      <c r="ES87" s="1520"/>
      <c r="ET87" s="1520"/>
      <c r="EU87" s="1520"/>
      <c r="EV87" s="1520"/>
      <c r="EW87" s="1520"/>
      <c r="EX87" s="1520"/>
      <c r="EY87" s="1520"/>
      <c r="EZ87" s="1520"/>
      <c r="FA87" s="1520"/>
      <c r="FB87" s="1520"/>
      <c r="FC87" s="1932"/>
      <c r="FD87" s="2434"/>
      <c r="FF87" s="466"/>
      <c r="FG87" s="466"/>
      <c r="FH87" s="466"/>
      <c r="FI87" s="466"/>
      <c r="FJ87" s="466"/>
      <c r="FK87" s="466"/>
      <c r="FL87" s="466"/>
      <c r="FM87" s="466"/>
      <c r="FN87" s="466"/>
      <c r="FO87" s="466"/>
      <c r="FP87" s="466"/>
      <c r="FQ87" s="466"/>
      <c r="FR87" s="466"/>
      <c r="FS87" s="466"/>
      <c r="FT87" s="466"/>
      <c r="FU87" s="466"/>
      <c r="FV87" s="466"/>
      <c r="FW87" s="466"/>
      <c r="FX87" s="466"/>
      <c r="FY87" s="466"/>
      <c r="HE87" s="844"/>
      <c r="HF87" s="844">
        <f>SUM(HF52:HF83)</f>
        <v>417853</v>
      </c>
      <c r="HG87" s="844">
        <f>SUM(HG52:HG83)</f>
        <v>471499</v>
      </c>
      <c r="HH87" s="844">
        <f>SUM(HH52:HH83)</f>
        <v>469070.5</v>
      </c>
      <c r="HI87" s="844">
        <f t="shared" ref="HI87:HS87" si="91">SUM(HI52:HI83)</f>
        <v>474221</v>
      </c>
      <c r="HJ87" s="844">
        <f t="shared" si="91"/>
        <v>487378</v>
      </c>
      <c r="HK87" s="844">
        <f t="shared" si="91"/>
        <v>533458</v>
      </c>
      <c r="HL87" s="844">
        <f t="shared" si="91"/>
        <v>628958</v>
      </c>
      <c r="HM87" s="844">
        <f t="shared" si="91"/>
        <v>703015</v>
      </c>
      <c r="HN87" s="844">
        <f t="shared" si="91"/>
        <v>712877</v>
      </c>
      <c r="HO87" s="844">
        <f t="shared" si="91"/>
        <v>627626</v>
      </c>
      <c r="HP87" s="844">
        <f t="shared" si="91"/>
        <v>652931</v>
      </c>
      <c r="HQ87" s="844">
        <f t="shared" ref="HQ87" si="92">SUM(HQ52:HQ83)</f>
        <v>692492</v>
      </c>
      <c r="HR87" s="844"/>
      <c r="HS87" s="3154">
        <f t="shared" si="91"/>
        <v>692461</v>
      </c>
      <c r="HT87" s="2291"/>
    </row>
    <row r="88" spans="1:237" ht="19.5" thickBot="1">
      <c r="C88" s="466"/>
      <c r="D88" s="466"/>
      <c r="E88" s="466"/>
      <c r="F88" s="466"/>
      <c r="G88" s="466"/>
      <c r="H88" s="466"/>
      <c r="I88" s="466"/>
      <c r="J88" s="466"/>
      <c r="K88" s="466"/>
      <c r="L88" s="466"/>
      <c r="M88" s="466"/>
      <c r="N88" s="466"/>
      <c r="O88" s="466"/>
      <c r="P88" s="466"/>
      <c r="Q88" s="466"/>
      <c r="R88" s="466"/>
      <c r="S88" s="466"/>
      <c r="T88" s="466"/>
      <c r="U88" s="466"/>
      <c r="V88" s="466"/>
      <c r="W88" s="466"/>
      <c r="X88" s="466"/>
      <c r="Y88" s="466"/>
      <c r="Z88" s="466"/>
      <c r="AA88" s="466"/>
      <c r="AB88" s="466"/>
      <c r="AC88" s="466"/>
      <c r="AD88" s="466"/>
      <c r="AE88" s="466"/>
      <c r="AF88" s="466"/>
      <c r="AG88" s="466"/>
      <c r="AH88" s="466"/>
      <c r="AI88" s="466"/>
      <c r="AJ88" s="466"/>
      <c r="AK88" s="466"/>
      <c r="AL88" s="466"/>
      <c r="AM88" s="466"/>
      <c r="AN88" s="466"/>
      <c r="AO88" s="466"/>
      <c r="AP88" s="466"/>
      <c r="AQ88" s="466"/>
      <c r="AR88" s="466"/>
      <c r="AS88" s="466"/>
      <c r="AT88" s="466"/>
      <c r="AU88" s="466"/>
      <c r="AV88" s="466"/>
      <c r="AW88" s="466"/>
      <c r="AX88" s="466"/>
      <c r="AY88" s="466"/>
      <c r="AZ88" s="466"/>
      <c r="BA88" s="466"/>
      <c r="BB88" s="466"/>
      <c r="BC88" s="466"/>
      <c r="BD88" s="466"/>
      <c r="BE88" s="466"/>
      <c r="BF88" s="466"/>
      <c r="BG88" s="466"/>
      <c r="BH88" s="466"/>
      <c r="BI88" s="466"/>
      <c r="BJ88" s="466"/>
      <c r="BK88" s="466"/>
      <c r="BL88" s="466"/>
      <c r="BM88" s="466"/>
      <c r="BN88" s="466"/>
      <c r="BO88" s="466"/>
      <c r="BP88" s="466"/>
      <c r="BQ88" s="466"/>
      <c r="BR88" s="466"/>
      <c r="BS88" s="466"/>
      <c r="BT88" s="466"/>
      <c r="BU88" s="466"/>
      <c r="BV88" s="466"/>
      <c r="BW88" s="466"/>
      <c r="BX88" s="466"/>
      <c r="BY88" s="466"/>
      <c r="BZ88" s="466"/>
      <c r="CA88" s="466"/>
      <c r="CB88" s="466"/>
      <c r="CC88" s="466"/>
      <c r="CD88" s="466"/>
      <c r="CE88" s="383"/>
      <c r="CF88" s="383"/>
      <c r="CG88" s="383"/>
      <c r="CH88" s="383"/>
      <c r="CI88" s="466"/>
      <c r="CJ88" s="466"/>
      <c r="CK88" s="466"/>
      <c r="CL88" s="466"/>
      <c r="CM88" s="466"/>
      <c r="CN88" s="466"/>
      <c r="CO88" s="466"/>
      <c r="CP88" s="466"/>
      <c r="CQ88" s="466"/>
      <c r="CR88" s="466"/>
      <c r="CS88" s="466"/>
      <c r="CT88" s="466"/>
      <c r="CU88" s="466"/>
      <c r="CV88" s="466"/>
      <c r="CW88" s="466"/>
      <c r="CX88" s="466"/>
      <c r="CY88" s="466"/>
      <c r="CZ88" s="466"/>
      <c r="DA88" s="466"/>
      <c r="DB88" s="466"/>
      <c r="DC88" s="466"/>
      <c r="DD88" s="466"/>
      <c r="DE88" s="466"/>
      <c r="DF88" s="466"/>
      <c r="DG88" s="466"/>
      <c r="EF88" s="1933"/>
      <c r="ER88" s="1933"/>
      <c r="FC88" s="1934"/>
      <c r="FE88" s="466"/>
      <c r="FF88" s="466"/>
      <c r="FG88" s="466"/>
      <c r="FH88" s="466"/>
      <c r="FI88" s="466"/>
      <c r="FJ88" s="466"/>
      <c r="FK88" s="466"/>
      <c r="FL88" s="466"/>
      <c r="FM88" s="466"/>
      <c r="FN88" s="466"/>
      <c r="FO88" s="466"/>
      <c r="FP88" s="466"/>
      <c r="FQ88" s="466"/>
      <c r="FR88" s="466"/>
      <c r="FS88" s="466"/>
      <c r="FT88" s="466"/>
      <c r="FU88" s="466"/>
      <c r="FV88" s="466"/>
      <c r="FW88" s="466"/>
      <c r="FX88" s="466"/>
      <c r="FY88" s="466"/>
      <c r="FZ88" s="466"/>
      <c r="GA88" s="466"/>
      <c r="GB88" s="466"/>
      <c r="GC88" s="466"/>
      <c r="GD88" s="466"/>
      <c r="GE88" s="466"/>
      <c r="GF88" s="466"/>
      <c r="GG88" s="466"/>
      <c r="GH88" s="466"/>
      <c r="GI88" s="466"/>
      <c r="GJ88" s="466"/>
      <c r="GK88" s="466"/>
      <c r="GL88" s="466"/>
      <c r="GM88" s="466"/>
      <c r="GN88" s="466"/>
      <c r="GV88" s="466"/>
      <c r="GW88" s="466"/>
      <c r="GX88" s="466"/>
      <c r="GY88" s="466"/>
      <c r="GZ88" s="466"/>
      <c r="HA88" s="466"/>
      <c r="HB88" s="466"/>
      <c r="HC88" s="466"/>
      <c r="HD88" s="466"/>
      <c r="HE88" s="844"/>
      <c r="HF88" s="844"/>
      <c r="HG88" s="844"/>
      <c r="HH88" s="844"/>
      <c r="HI88" s="844"/>
      <c r="HJ88" s="844"/>
      <c r="HK88" s="844"/>
      <c r="HL88" s="844"/>
      <c r="HM88" s="844"/>
      <c r="HN88" s="844"/>
      <c r="HP88" s="466"/>
      <c r="HQ88" s="466"/>
      <c r="HR88" s="466"/>
      <c r="HS88" s="3155"/>
      <c r="HT88" s="2292"/>
    </row>
    <row r="89" spans="1:237" s="552" customFormat="1" ht="38.25" thickBot="1">
      <c r="A89" s="544"/>
      <c r="B89" s="543"/>
      <c r="C89" s="981" t="s">
        <v>605</v>
      </c>
      <c r="D89" s="3116">
        <f t="shared" ref="D89:BO89" si="93">D52+D53+D54+D55+D56+D57+D58+D59+D60+D61+D62+D64+D65+D66+D67++D71+D76+D79</f>
        <v>24856</v>
      </c>
      <c r="E89" s="3117">
        <f t="shared" si="93"/>
        <v>25198</v>
      </c>
      <c r="F89" s="3117">
        <f t="shared" si="93"/>
        <v>28215</v>
      </c>
      <c r="G89" s="3117">
        <f t="shared" si="93"/>
        <v>23263</v>
      </c>
      <c r="H89" s="3117">
        <f t="shared" si="93"/>
        <v>25127</v>
      </c>
      <c r="I89" s="3117">
        <f t="shared" si="93"/>
        <v>36816</v>
      </c>
      <c r="J89" s="3117">
        <f t="shared" si="93"/>
        <v>43843</v>
      </c>
      <c r="K89" s="3117">
        <f t="shared" si="93"/>
        <v>36114</v>
      </c>
      <c r="L89" s="3117">
        <f t="shared" si="93"/>
        <v>26217</v>
      </c>
      <c r="M89" s="3117">
        <f t="shared" si="93"/>
        <v>27834</v>
      </c>
      <c r="N89" s="3117">
        <f t="shared" si="93"/>
        <v>30221</v>
      </c>
      <c r="O89" s="3118">
        <f t="shared" si="93"/>
        <v>31560</v>
      </c>
      <c r="P89" s="1742">
        <f t="shared" si="93"/>
        <v>29735</v>
      </c>
      <c r="Q89" s="1743">
        <f t="shared" si="93"/>
        <v>39149</v>
      </c>
      <c r="R89" s="1743">
        <f t="shared" si="93"/>
        <v>30965</v>
      </c>
      <c r="S89" s="1743">
        <f t="shared" si="93"/>
        <v>26018</v>
      </c>
      <c r="T89" s="1743">
        <f t="shared" si="93"/>
        <v>30294</v>
      </c>
      <c r="U89" s="1743">
        <f t="shared" si="93"/>
        <v>39810</v>
      </c>
      <c r="V89" s="1743">
        <f t="shared" si="93"/>
        <v>42775</v>
      </c>
      <c r="W89" s="1743">
        <f t="shared" si="93"/>
        <v>35670</v>
      </c>
      <c r="X89" s="1743">
        <f t="shared" si="93"/>
        <v>27547</v>
      </c>
      <c r="Y89" s="1743">
        <f t="shared" si="93"/>
        <v>29270</v>
      </c>
      <c r="Z89" s="1743">
        <f t="shared" si="93"/>
        <v>30405</v>
      </c>
      <c r="AA89" s="1744">
        <f t="shared" si="93"/>
        <v>29711</v>
      </c>
      <c r="AB89" s="3119">
        <f t="shared" si="93"/>
        <v>29094</v>
      </c>
      <c r="AC89" s="3120">
        <f t="shared" si="93"/>
        <v>26615</v>
      </c>
      <c r="AD89" s="3120">
        <f t="shared" si="93"/>
        <v>27529</v>
      </c>
      <c r="AE89" s="3120">
        <f t="shared" si="93"/>
        <v>25903</v>
      </c>
      <c r="AF89" s="3120">
        <f t="shared" si="93"/>
        <v>32552</v>
      </c>
      <c r="AG89" s="3120">
        <f t="shared" si="93"/>
        <v>39201</v>
      </c>
      <c r="AH89" s="3120">
        <f t="shared" si="93"/>
        <v>40713</v>
      </c>
      <c r="AI89" s="3120">
        <f t="shared" si="93"/>
        <v>35174</v>
      </c>
      <c r="AJ89" s="3120">
        <f t="shared" si="93"/>
        <v>25935</v>
      </c>
      <c r="AK89" s="3120">
        <f t="shared" si="93"/>
        <v>27629</v>
      </c>
      <c r="AL89" s="3120">
        <f t="shared" si="93"/>
        <v>29808</v>
      </c>
      <c r="AM89" s="3120">
        <f t="shared" si="93"/>
        <v>34641</v>
      </c>
      <c r="AN89" s="3121">
        <f t="shared" si="93"/>
        <v>30378</v>
      </c>
      <c r="AO89" s="3121">
        <f t="shared" si="93"/>
        <v>30814</v>
      </c>
      <c r="AP89" s="3121">
        <f t="shared" si="93"/>
        <v>30361</v>
      </c>
      <c r="AQ89" s="3121">
        <f t="shared" si="93"/>
        <v>25110</v>
      </c>
      <c r="AR89" s="3121">
        <f t="shared" si="93"/>
        <v>30963</v>
      </c>
      <c r="AS89" s="3121">
        <f t="shared" si="93"/>
        <v>39150</v>
      </c>
      <c r="AT89" s="3121">
        <f t="shared" si="93"/>
        <v>41484</v>
      </c>
      <c r="AU89" s="3121">
        <f t="shared" si="93"/>
        <v>34369</v>
      </c>
      <c r="AV89" s="3121">
        <f t="shared" si="93"/>
        <v>26340</v>
      </c>
      <c r="AW89" s="3121">
        <f t="shared" si="93"/>
        <v>29814</v>
      </c>
      <c r="AX89" s="3121">
        <f t="shared" si="93"/>
        <v>30034</v>
      </c>
      <c r="AY89" s="3122">
        <f t="shared" si="93"/>
        <v>33688</v>
      </c>
      <c r="AZ89" s="3123">
        <f t="shared" si="93"/>
        <v>30742</v>
      </c>
      <c r="BA89" s="3124">
        <f t="shared" si="93"/>
        <v>29186</v>
      </c>
      <c r="BB89" s="3124">
        <f t="shared" si="93"/>
        <v>31956</v>
      </c>
      <c r="BC89" s="3124">
        <f t="shared" si="93"/>
        <v>28808</v>
      </c>
      <c r="BD89" s="3124">
        <f t="shared" si="93"/>
        <v>31551</v>
      </c>
      <c r="BE89" s="3124">
        <f t="shared" si="93"/>
        <v>41006</v>
      </c>
      <c r="BF89" s="3124">
        <f t="shared" si="93"/>
        <v>43187</v>
      </c>
      <c r="BG89" s="3124">
        <f t="shared" si="93"/>
        <v>34724</v>
      </c>
      <c r="BH89" s="3124">
        <f t="shared" si="93"/>
        <v>26925</v>
      </c>
      <c r="BI89" s="3124">
        <f t="shared" si="93"/>
        <v>30049</v>
      </c>
      <c r="BJ89" s="3124">
        <f t="shared" si="93"/>
        <v>32318</v>
      </c>
      <c r="BK89" s="3125">
        <f t="shared" si="93"/>
        <v>35734</v>
      </c>
      <c r="BL89" s="3126">
        <f t="shared" si="93"/>
        <v>31227</v>
      </c>
      <c r="BM89" s="3127">
        <f t="shared" si="93"/>
        <v>29152</v>
      </c>
      <c r="BN89" s="3127">
        <f t="shared" si="93"/>
        <v>34035</v>
      </c>
      <c r="BO89" s="3127">
        <f t="shared" si="93"/>
        <v>29816</v>
      </c>
      <c r="BP89" s="3127">
        <f t="shared" ref="BP89:EA89" si="94">BP52+BP53+BP54+BP55+BP56+BP57+BP58+BP59+BP60+BP61+BP62+BP64+BP65+BP66+BP67++BP71+BP76+BP79</f>
        <v>33889</v>
      </c>
      <c r="BQ89" s="3127">
        <f t="shared" si="94"/>
        <v>45701</v>
      </c>
      <c r="BR89" s="3127">
        <f t="shared" si="94"/>
        <v>46628</v>
      </c>
      <c r="BS89" s="3127">
        <f t="shared" si="94"/>
        <v>37508</v>
      </c>
      <c r="BT89" s="3128">
        <f t="shared" si="94"/>
        <v>31325</v>
      </c>
      <c r="BU89" s="3128">
        <f t="shared" si="94"/>
        <v>35537</v>
      </c>
      <c r="BV89" s="3128">
        <f t="shared" si="94"/>
        <v>34860</v>
      </c>
      <c r="BW89" s="3129">
        <f t="shared" si="94"/>
        <v>42669</v>
      </c>
      <c r="BX89" s="3130">
        <f t="shared" si="94"/>
        <v>36506</v>
      </c>
      <c r="BY89" s="3131">
        <f t="shared" si="94"/>
        <v>33204</v>
      </c>
      <c r="BZ89" s="3131">
        <f t="shared" si="94"/>
        <v>37435</v>
      </c>
      <c r="CA89" s="3131">
        <f t="shared" si="94"/>
        <v>30708</v>
      </c>
      <c r="CB89" s="3131">
        <f t="shared" si="94"/>
        <v>36767</v>
      </c>
      <c r="CC89" s="3131">
        <f t="shared" si="94"/>
        <v>47823</v>
      </c>
      <c r="CD89" s="3131">
        <f t="shared" si="94"/>
        <v>48484</v>
      </c>
      <c r="CE89" s="3131">
        <f t="shared" si="94"/>
        <v>38026</v>
      </c>
      <c r="CF89" s="3131">
        <f t="shared" si="94"/>
        <v>34372</v>
      </c>
      <c r="CG89" s="3131">
        <f t="shared" si="94"/>
        <v>34186</v>
      </c>
      <c r="CH89" s="3131">
        <f t="shared" si="94"/>
        <v>36293</v>
      </c>
      <c r="CI89" s="3132">
        <f t="shared" si="94"/>
        <v>46527</v>
      </c>
      <c r="CJ89" s="3133">
        <f t="shared" si="94"/>
        <v>41103</v>
      </c>
      <c r="CK89" s="3134">
        <f t="shared" si="94"/>
        <v>40967</v>
      </c>
      <c r="CL89" s="3134">
        <f t="shared" si="94"/>
        <v>39182</v>
      </c>
      <c r="CM89" s="3134">
        <f t="shared" si="94"/>
        <v>36250</v>
      </c>
      <c r="CN89" s="3134">
        <f t="shared" si="94"/>
        <v>39140</v>
      </c>
      <c r="CO89" s="3134">
        <f t="shared" si="94"/>
        <v>44754</v>
      </c>
      <c r="CP89" s="3134">
        <f t="shared" si="94"/>
        <v>53744</v>
      </c>
      <c r="CQ89" s="3134">
        <f t="shared" si="94"/>
        <v>39984</v>
      </c>
      <c r="CR89" s="3134">
        <f t="shared" si="94"/>
        <v>35786</v>
      </c>
      <c r="CS89" s="3134">
        <f t="shared" si="94"/>
        <v>38999</v>
      </c>
      <c r="CT89" s="3134">
        <f t="shared" si="94"/>
        <v>40588</v>
      </c>
      <c r="CU89" s="3135">
        <f t="shared" si="94"/>
        <v>54128</v>
      </c>
      <c r="CV89" s="3136">
        <f t="shared" si="94"/>
        <v>44808</v>
      </c>
      <c r="CW89" s="3137">
        <f t="shared" si="94"/>
        <v>40507</v>
      </c>
      <c r="CX89" s="3138">
        <f t="shared" si="94"/>
        <v>43095</v>
      </c>
      <c r="CY89" s="3138">
        <f t="shared" si="94"/>
        <v>35710</v>
      </c>
      <c r="CZ89" s="3138">
        <f t="shared" si="94"/>
        <v>39850</v>
      </c>
      <c r="DA89" s="3138">
        <f t="shared" si="94"/>
        <v>51411</v>
      </c>
      <c r="DB89" s="3138">
        <f t="shared" si="94"/>
        <v>57118</v>
      </c>
      <c r="DC89" s="3138">
        <f t="shared" si="94"/>
        <v>39877</v>
      </c>
      <c r="DD89" s="3139">
        <f t="shared" si="94"/>
        <v>34563</v>
      </c>
      <c r="DE89" s="3139">
        <f t="shared" si="94"/>
        <v>38736</v>
      </c>
      <c r="DF89" s="3140">
        <f t="shared" si="94"/>
        <v>39053</v>
      </c>
      <c r="DG89" s="3140">
        <f t="shared" si="94"/>
        <v>52398</v>
      </c>
      <c r="DH89" s="3141">
        <f t="shared" si="94"/>
        <v>41488</v>
      </c>
      <c r="DI89" s="3142">
        <f t="shared" si="94"/>
        <v>40077</v>
      </c>
      <c r="DJ89" s="3142">
        <f t="shared" si="94"/>
        <v>44069</v>
      </c>
      <c r="DK89" s="3142">
        <f t="shared" si="94"/>
        <v>33248</v>
      </c>
      <c r="DL89" s="3142">
        <f t="shared" si="94"/>
        <v>38399</v>
      </c>
      <c r="DM89" s="3142">
        <f t="shared" si="94"/>
        <v>53267</v>
      </c>
      <c r="DN89" s="3142">
        <f t="shared" si="94"/>
        <v>56549</v>
      </c>
      <c r="DO89" s="3142">
        <f t="shared" si="94"/>
        <v>39687</v>
      </c>
      <c r="DP89" s="3142">
        <f t="shared" si="94"/>
        <v>32257</v>
      </c>
      <c r="DQ89" s="3142">
        <f t="shared" si="94"/>
        <v>41480</v>
      </c>
      <c r="DR89" s="3142">
        <f t="shared" si="94"/>
        <v>38590</v>
      </c>
      <c r="DS89" s="3143">
        <f t="shared" si="94"/>
        <v>54139</v>
      </c>
      <c r="DT89" s="3144">
        <f t="shared" si="94"/>
        <v>40668</v>
      </c>
      <c r="DU89" s="3145">
        <f t="shared" si="94"/>
        <v>38015</v>
      </c>
      <c r="DV89" s="3145">
        <f t="shared" si="94"/>
        <v>42983</v>
      </c>
      <c r="DW89" s="3145">
        <f t="shared" si="94"/>
        <v>40813</v>
      </c>
      <c r="DX89" s="3145">
        <f t="shared" si="94"/>
        <v>38753</v>
      </c>
      <c r="DY89" s="3145">
        <f t="shared" si="94"/>
        <v>56182</v>
      </c>
      <c r="DZ89" s="3145">
        <f t="shared" si="94"/>
        <v>58517</v>
      </c>
      <c r="EA89" s="3145">
        <f t="shared" si="94"/>
        <v>41677</v>
      </c>
      <c r="EB89" s="3145">
        <f t="shared" ref="EB89:EP89" si="95">EB52+EB53+EB54+EB55+EB56+EB57+EB58+EB59+EB60+EB61+EB62+EB64+EB65+EB66+EB67++EB71+EB76+EB79</f>
        <v>36660</v>
      </c>
      <c r="EC89" s="3145">
        <f t="shared" si="95"/>
        <v>40411</v>
      </c>
      <c r="ED89" s="3145">
        <f t="shared" si="95"/>
        <v>42176</v>
      </c>
      <c r="EE89" s="3146">
        <f t="shared" si="95"/>
        <v>60086</v>
      </c>
      <c r="EF89" s="1935">
        <f t="shared" si="95"/>
        <v>44116</v>
      </c>
      <c r="EG89" s="1935">
        <f t="shared" si="95"/>
        <v>43819</v>
      </c>
      <c r="EH89" s="1935">
        <f t="shared" si="95"/>
        <v>48935</v>
      </c>
      <c r="EI89" s="1935">
        <f t="shared" si="95"/>
        <v>38999</v>
      </c>
      <c r="EJ89" s="1935">
        <f t="shared" si="95"/>
        <v>45343</v>
      </c>
      <c r="EK89" s="1935">
        <f t="shared" si="95"/>
        <v>60840</v>
      </c>
      <c r="EL89" s="1935">
        <f t="shared" si="95"/>
        <v>61312</v>
      </c>
      <c r="EM89" s="1935">
        <f t="shared" si="95"/>
        <v>44995</v>
      </c>
      <c r="EN89" s="1935">
        <f t="shared" si="95"/>
        <v>40536</v>
      </c>
      <c r="EO89" s="1935">
        <f t="shared" si="95"/>
        <v>42991</v>
      </c>
      <c r="EP89" s="1935">
        <f t="shared" si="95"/>
        <v>43868</v>
      </c>
      <c r="EQ89" s="1935">
        <f>EQ52+EQ53+EQ54+EQ55+EQ56+EQ57+EQ58+EQ59+EQ60+EQ61+EQ62+EQ64+EQ65+EQ66+EQ67++EQ71+EQ76+EQ79</f>
        <v>60833</v>
      </c>
      <c r="ER89" s="3147">
        <f t="shared" ref="ER89:HC89" si="96">ER52+ER53+ER54+ER55+ER56+ER57+ER58+ER59+ER60+ER61+ER62+ER64+ER65+ER66+ER67++ER71+ER76+ER79</f>
        <v>44054</v>
      </c>
      <c r="ES89" s="3148">
        <f t="shared" si="96"/>
        <v>0</v>
      </c>
      <c r="ET89" s="3148">
        <f t="shared" si="96"/>
        <v>0</v>
      </c>
      <c r="EU89" s="3148">
        <f t="shared" si="96"/>
        <v>0</v>
      </c>
      <c r="EV89" s="3148">
        <f t="shared" si="96"/>
        <v>0</v>
      </c>
      <c r="EW89" s="3148">
        <f t="shared" si="96"/>
        <v>0</v>
      </c>
      <c r="EX89" s="3148">
        <f t="shared" si="96"/>
        <v>0</v>
      </c>
      <c r="EY89" s="3148">
        <f t="shared" si="96"/>
        <v>0</v>
      </c>
      <c r="EZ89" s="3148">
        <f t="shared" si="96"/>
        <v>0</v>
      </c>
      <c r="FA89" s="3148">
        <f t="shared" si="96"/>
        <v>0</v>
      </c>
      <c r="FB89" s="3148">
        <f t="shared" si="96"/>
        <v>0</v>
      </c>
      <c r="FC89" s="3149">
        <f t="shared" si="96"/>
        <v>0</v>
      </c>
      <c r="FD89" s="2440"/>
      <c r="FE89" s="1745">
        <f t="shared" si="96"/>
        <v>78269</v>
      </c>
      <c r="FF89" s="1745">
        <f t="shared" si="96"/>
        <v>85206</v>
      </c>
      <c r="FG89" s="1745">
        <f t="shared" si="96"/>
        <v>106174</v>
      </c>
      <c r="FH89" s="1745">
        <f t="shared" si="96"/>
        <v>89615</v>
      </c>
      <c r="FI89" s="1745">
        <f t="shared" si="96"/>
        <v>99849</v>
      </c>
      <c r="FJ89" s="1745">
        <f t="shared" si="96"/>
        <v>96122</v>
      </c>
      <c r="FK89" s="1745">
        <f t="shared" si="96"/>
        <v>105992</v>
      </c>
      <c r="FL89" s="1745">
        <f t="shared" si="96"/>
        <v>89386</v>
      </c>
      <c r="FM89" s="1745">
        <f t="shared" si="96"/>
        <v>83238</v>
      </c>
      <c r="FN89" s="1745">
        <f t="shared" si="96"/>
        <v>97656</v>
      </c>
      <c r="FO89" s="1745">
        <f t="shared" si="96"/>
        <v>101822</v>
      </c>
      <c r="FP89" s="1745">
        <f t="shared" si="96"/>
        <v>92078</v>
      </c>
      <c r="FQ89" s="1745">
        <f t="shared" si="96"/>
        <v>91553</v>
      </c>
      <c r="FR89" s="1745">
        <f t="shared" si="96"/>
        <v>95223</v>
      </c>
      <c r="FS89" s="1745">
        <f t="shared" si="96"/>
        <v>102193</v>
      </c>
      <c r="FT89" s="1745">
        <f t="shared" si="96"/>
        <v>93536</v>
      </c>
      <c r="FU89" s="1745">
        <f t="shared" si="96"/>
        <v>91884</v>
      </c>
      <c r="FV89" s="1745">
        <f t="shared" si="96"/>
        <v>101365</v>
      </c>
      <c r="FW89" s="1745">
        <f t="shared" si="96"/>
        <v>104836</v>
      </c>
      <c r="FX89" s="1745">
        <f t="shared" si="96"/>
        <v>98101</v>
      </c>
      <c r="FY89" s="1745">
        <f t="shared" si="96"/>
        <v>94414</v>
      </c>
      <c r="FZ89" s="1745">
        <f t="shared" si="96"/>
        <v>109406</v>
      </c>
      <c r="GA89" s="1745">
        <f t="shared" si="96"/>
        <v>115461</v>
      </c>
      <c r="GB89" s="1745">
        <f t="shared" si="96"/>
        <v>113066</v>
      </c>
      <c r="GC89" s="1745">
        <f t="shared" si="96"/>
        <v>107145</v>
      </c>
      <c r="GD89" s="1745">
        <f t="shared" si="96"/>
        <v>115298</v>
      </c>
      <c r="GE89" s="1745">
        <f t="shared" si="96"/>
        <v>120882</v>
      </c>
      <c r="GF89" s="1745">
        <f t="shared" si="96"/>
        <v>117006</v>
      </c>
      <c r="GG89" s="1745">
        <f t="shared" si="96"/>
        <v>121252</v>
      </c>
      <c r="GH89" s="1745">
        <f t="shared" si="96"/>
        <v>120144</v>
      </c>
      <c r="GI89" s="1745">
        <f t="shared" si="96"/>
        <v>129514</v>
      </c>
      <c r="GJ89" s="1745">
        <f t="shared" si="96"/>
        <v>133715</v>
      </c>
      <c r="GK89" s="1745">
        <f t="shared" si="96"/>
        <v>128410</v>
      </c>
      <c r="GL89" s="1745">
        <f t="shared" si="96"/>
        <v>126971</v>
      </c>
      <c r="GM89" s="1745">
        <f t="shared" si="96"/>
        <v>131558</v>
      </c>
      <c r="GN89" s="1745">
        <f t="shared" si="96"/>
        <v>130187</v>
      </c>
      <c r="GO89" s="1745">
        <f t="shared" si="96"/>
        <v>125634</v>
      </c>
      <c r="GP89" s="1745">
        <f t="shared" si="96"/>
        <v>124914</v>
      </c>
      <c r="GQ89" s="1745">
        <f t="shared" si="96"/>
        <v>150375</v>
      </c>
      <c r="GR89" s="1745">
        <f t="shared" si="96"/>
        <v>134209</v>
      </c>
      <c r="GS89" s="1745">
        <f t="shared" si="96"/>
        <v>121666</v>
      </c>
      <c r="GT89" s="1745">
        <f t="shared" si="96"/>
        <v>135748</v>
      </c>
      <c r="GU89" s="1745">
        <f t="shared" si="96"/>
        <v>136854</v>
      </c>
      <c r="GV89" s="1745">
        <f t="shared" si="96"/>
        <v>142673</v>
      </c>
      <c r="GW89" s="1745">
        <f t="shared" si="96"/>
        <v>136870</v>
      </c>
      <c r="GX89" s="1745">
        <f t="shared" si="96"/>
        <v>145182</v>
      </c>
      <c r="GY89" s="1745">
        <f t="shared" si="96"/>
        <v>146843</v>
      </c>
      <c r="GZ89" s="1745">
        <f t="shared" si="96"/>
        <v>147692</v>
      </c>
      <c r="HA89" s="1745">
        <f t="shared" si="96"/>
        <v>44054</v>
      </c>
      <c r="HB89" s="1745">
        <f t="shared" si="96"/>
        <v>0</v>
      </c>
      <c r="HC89" s="1745">
        <f t="shared" si="96"/>
        <v>0</v>
      </c>
      <c r="HD89" s="1745">
        <f t="shared" ref="HD89:HT89" si="97">HD52+HD53+HD54+HD55+HD56+HD57+HD58+HD59+HD60+HD61+HD62+HD64+HD65+HD66+HD67++HD71+HD76+HD79</f>
        <v>0</v>
      </c>
      <c r="HE89" s="1745"/>
      <c r="HF89" s="1745">
        <f t="shared" si="97"/>
        <v>359264</v>
      </c>
      <c r="HG89" s="1745">
        <f t="shared" si="97"/>
        <v>391349</v>
      </c>
      <c r="HH89" s="1745">
        <f t="shared" si="97"/>
        <v>374794</v>
      </c>
      <c r="HI89" s="1745">
        <f t="shared" si="97"/>
        <v>382505</v>
      </c>
      <c r="HJ89" s="1745">
        <f t="shared" si="97"/>
        <v>396186</v>
      </c>
      <c r="HK89" s="1745">
        <f t="shared" si="97"/>
        <v>432347</v>
      </c>
      <c r="HL89" s="1745">
        <f t="shared" si="97"/>
        <v>460331</v>
      </c>
      <c r="HM89" s="1745">
        <f t="shared" si="97"/>
        <v>504625</v>
      </c>
      <c r="HN89" s="1745">
        <f t="shared" si="97"/>
        <v>517126</v>
      </c>
      <c r="HO89" s="1745">
        <f t="shared" si="97"/>
        <v>513250</v>
      </c>
      <c r="HP89" s="1745">
        <f t="shared" si="97"/>
        <v>536941</v>
      </c>
      <c r="HQ89" s="1745">
        <f t="shared" si="97"/>
        <v>576587</v>
      </c>
      <c r="HR89" s="1745">
        <f t="shared" si="97"/>
        <v>44054</v>
      </c>
      <c r="HS89" s="3156">
        <f t="shared" si="97"/>
        <v>576525</v>
      </c>
      <c r="HT89" s="2293">
        <f t="shared" si="97"/>
        <v>537509</v>
      </c>
      <c r="HU89" s="1739"/>
      <c r="HV89" s="1739"/>
      <c r="HW89" s="1739"/>
      <c r="HX89" s="1739"/>
    </row>
    <row r="90" spans="1:237" s="530" customFormat="1" ht="19.5" thickBot="1">
      <c r="A90" s="551"/>
      <c r="B90" s="551"/>
      <c r="C90" s="553" t="s">
        <v>606</v>
      </c>
      <c r="D90" s="554"/>
      <c r="E90" s="555"/>
      <c r="F90" s="555"/>
      <c r="G90" s="556"/>
      <c r="H90" s="555"/>
      <c r="I90" s="555"/>
      <c r="J90" s="555"/>
      <c r="K90" s="555"/>
      <c r="L90" s="555"/>
      <c r="M90" s="556"/>
      <c r="N90" s="555"/>
      <c r="O90" s="555"/>
      <c r="P90" s="1741">
        <f>P89/D89-1</f>
        <v>0.19629063405214042</v>
      </c>
      <c r="Q90" s="1741">
        <f t="shared" ref="Q90:CB90" si="98">Q89/E89-1</f>
        <v>0.55365505198825304</v>
      </c>
      <c r="R90" s="1741">
        <f t="shared" si="98"/>
        <v>9.7465886939571256E-2</v>
      </c>
      <c r="S90" s="1741">
        <f t="shared" si="98"/>
        <v>0.11842840562266255</v>
      </c>
      <c r="T90" s="1741">
        <f t="shared" si="98"/>
        <v>0.2056353723086719</v>
      </c>
      <c r="U90" s="1741">
        <f t="shared" si="98"/>
        <v>8.1323337679269914E-2</v>
      </c>
      <c r="V90" s="1741">
        <f t="shared" si="98"/>
        <v>-2.4359646921971567E-2</v>
      </c>
      <c r="W90" s="1741">
        <f t="shared" si="98"/>
        <v>-1.2294401063299598E-2</v>
      </c>
      <c r="X90" s="1741">
        <f t="shared" si="98"/>
        <v>5.0730442079566673E-2</v>
      </c>
      <c r="Y90" s="1741">
        <f t="shared" si="98"/>
        <v>5.1591578644822889E-2</v>
      </c>
      <c r="Z90" s="1741">
        <f t="shared" si="98"/>
        <v>6.0884815194732766E-3</v>
      </c>
      <c r="AA90" s="1741">
        <f t="shared" si="98"/>
        <v>-5.8586818757921377E-2</v>
      </c>
      <c r="AB90" s="1741">
        <f t="shared" si="98"/>
        <v>-2.1557087607196879E-2</v>
      </c>
      <c r="AC90" s="1741">
        <f t="shared" si="98"/>
        <v>-0.32016143451940027</v>
      </c>
      <c r="AD90" s="1741">
        <f t="shared" si="98"/>
        <v>-0.11096399160342318</v>
      </c>
      <c r="AE90" s="1741">
        <f t="shared" si="98"/>
        <v>-4.4200169113690624E-3</v>
      </c>
      <c r="AF90" s="1741">
        <f t="shared" si="98"/>
        <v>7.4536211791113693E-2</v>
      </c>
      <c r="AG90" s="1741">
        <f t="shared" si="98"/>
        <v>-1.5297663903541814E-2</v>
      </c>
      <c r="AH90" s="1741">
        <f t="shared" si="98"/>
        <v>-4.8205727644652252E-2</v>
      </c>
      <c r="AI90" s="1741">
        <f t="shared" si="98"/>
        <v>-1.390524250070091E-2</v>
      </c>
      <c r="AJ90" s="1741">
        <f t="shared" si="98"/>
        <v>-5.8518168947616855E-2</v>
      </c>
      <c r="AK90" s="1741">
        <f t="shared" si="98"/>
        <v>-5.6064229586607395E-2</v>
      </c>
      <c r="AL90" s="1741">
        <f t="shared" si="98"/>
        <v>-1.9634928465712909E-2</v>
      </c>
      <c r="AM90" s="1741">
        <f t="shared" si="98"/>
        <v>0.16593180976742627</v>
      </c>
      <c r="AN90" s="1741">
        <f t="shared" si="98"/>
        <v>4.4132810888843022E-2</v>
      </c>
      <c r="AO90" s="1741">
        <f t="shared" si="98"/>
        <v>0.15776817584069125</v>
      </c>
      <c r="AP90" s="1741">
        <f t="shared" si="98"/>
        <v>0.1028733335755021</v>
      </c>
      <c r="AQ90" s="1741">
        <f t="shared" si="98"/>
        <v>-3.0614214569741005E-2</v>
      </c>
      <c r="AR90" s="1741">
        <f t="shared" si="98"/>
        <v>-4.8814204964364727E-2</v>
      </c>
      <c r="AS90" s="1741">
        <f t="shared" si="98"/>
        <v>-1.3009872197138339E-3</v>
      </c>
      <c r="AT90" s="1741">
        <f t="shared" si="98"/>
        <v>1.8937440129688232E-2</v>
      </c>
      <c r="AU90" s="1741">
        <f t="shared" si="98"/>
        <v>-2.2886222778188414E-2</v>
      </c>
      <c r="AV90" s="1741">
        <f t="shared" si="98"/>
        <v>1.5615962984383946E-2</v>
      </c>
      <c r="AW90" s="1741">
        <f t="shared" si="98"/>
        <v>7.9083571609540604E-2</v>
      </c>
      <c r="AX90" s="1741">
        <f t="shared" si="98"/>
        <v>7.5818572195383016E-3</v>
      </c>
      <c r="AY90" s="1741">
        <f t="shared" si="98"/>
        <v>-2.7510753153777268E-2</v>
      </c>
      <c r="AZ90" s="1741">
        <f t="shared" si="98"/>
        <v>1.1982355652116583E-2</v>
      </c>
      <c r="BA90" s="1741">
        <f t="shared" si="98"/>
        <v>-5.283312779905236E-2</v>
      </c>
      <c r="BB90" s="1741">
        <f t="shared" si="98"/>
        <v>5.2534501498633146E-2</v>
      </c>
      <c r="BC90" s="1741">
        <f t="shared" si="98"/>
        <v>0.14727200318598177</v>
      </c>
      <c r="BD90" s="1741">
        <f t="shared" si="98"/>
        <v>1.8990407906210649E-2</v>
      </c>
      <c r="BE90" s="1741">
        <f t="shared" si="98"/>
        <v>4.7407407407407343E-2</v>
      </c>
      <c r="BF90" s="1741">
        <f t="shared" si="98"/>
        <v>4.1051971844566548E-2</v>
      </c>
      <c r="BG90" s="1741">
        <f t="shared" si="98"/>
        <v>1.0329075620471917E-2</v>
      </c>
      <c r="BH90" s="1741">
        <f t="shared" si="98"/>
        <v>2.2209567198177682E-2</v>
      </c>
      <c r="BI90" s="1741">
        <f t="shared" si="98"/>
        <v>7.882202991883025E-3</v>
      </c>
      <c r="BJ90" s="1741">
        <f t="shared" si="98"/>
        <v>7.6047146567223889E-2</v>
      </c>
      <c r="BK90" s="1741">
        <f t="shared" si="98"/>
        <v>6.0733792448349533E-2</v>
      </c>
      <c r="BL90" s="1741">
        <f t="shared" si="98"/>
        <v>1.5776462169019512E-2</v>
      </c>
      <c r="BM90" s="1741">
        <f t="shared" si="98"/>
        <v>-1.164942095525201E-3</v>
      </c>
      <c r="BN90" s="1741">
        <f t="shared" si="98"/>
        <v>6.5058205031918837E-2</v>
      </c>
      <c r="BO90" s="1741">
        <f t="shared" si="98"/>
        <v>3.4990280477645186E-2</v>
      </c>
      <c r="BP90" s="1741">
        <f t="shared" si="98"/>
        <v>7.4102247155399148E-2</v>
      </c>
      <c r="BQ90" s="1741">
        <f t="shared" si="98"/>
        <v>0.11449543969175235</v>
      </c>
      <c r="BR90" s="1741">
        <f t="shared" si="98"/>
        <v>7.9676754578924314E-2</v>
      </c>
      <c r="BS90" s="1741">
        <f t="shared" si="98"/>
        <v>8.0175095035134092E-2</v>
      </c>
      <c r="BT90" s="1741">
        <f t="shared" si="98"/>
        <v>0.16341689879294341</v>
      </c>
      <c r="BU90" s="1741">
        <f t="shared" si="98"/>
        <v>0.18263502945189525</v>
      </c>
      <c r="BV90" s="1741">
        <f t="shared" si="98"/>
        <v>7.8655857416919384E-2</v>
      </c>
      <c r="BW90" s="1741">
        <f t="shared" si="98"/>
        <v>0.19407287177478039</v>
      </c>
      <c r="BX90" s="1741">
        <f t="shared" si="98"/>
        <v>0.169052422583021</v>
      </c>
      <c r="BY90" s="1741">
        <f t="shared" si="98"/>
        <v>0.13899560922063658</v>
      </c>
      <c r="BZ90" s="1741">
        <f t="shared" si="98"/>
        <v>9.9897164683414141E-2</v>
      </c>
      <c r="CA90" s="1741">
        <f t="shared" si="98"/>
        <v>2.9916823182184027E-2</v>
      </c>
      <c r="CB90" s="1741">
        <f t="shared" si="98"/>
        <v>8.4924311723568069E-2</v>
      </c>
      <c r="CC90" s="1741">
        <f t="shared" ref="CC90:EE90" si="99">CC89/BQ89-1</f>
        <v>4.6432244371020337E-2</v>
      </c>
      <c r="CD90" s="1741">
        <f t="shared" si="99"/>
        <v>3.9804409367761862E-2</v>
      </c>
      <c r="CE90" s="1741">
        <f t="shared" si="99"/>
        <v>1.3810387117414891E-2</v>
      </c>
      <c r="CF90" s="1741">
        <f t="shared" si="99"/>
        <v>9.7270550678371981E-2</v>
      </c>
      <c r="CG90" s="1741">
        <f t="shared" si="99"/>
        <v>-3.8016714973126642E-2</v>
      </c>
      <c r="CH90" s="1741">
        <f t="shared" si="99"/>
        <v>4.1107286288009082E-2</v>
      </c>
      <c r="CI90" s="1741">
        <f t="shared" si="99"/>
        <v>9.0416930324122902E-2</v>
      </c>
      <c r="CJ90" s="1741">
        <f t="shared" si="99"/>
        <v>0.12592450556072965</v>
      </c>
      <c r="CK90" s="1741">
        <f t="shared" si="99"/>
        <v>0.23379713287555726</v>
      </c>
      <c r="CL90" s="1741">
        <f t="shared" si="99"/>
        <v>4.6667557098971635E-2</v>
      </c>
      <c r="CM90" s="1741">
        <f t="shared" si="99"/>
        <v>0.18047414354565583</v>
      </c>
      <c r="CN90" s="1741">
        <f t="shared" si="99"/>
        <v>6.4541572605869346E-2</v>
      </c>
      <c r="CO90" s="1741">
        <f t="shared" si="99"/>
        <v>-6.4174142149175051E-2</v>
      </c>
      <c r="CP90" s="1741">
        <f t="shared" si="99"/>
        <v>0.10848939856447481</v>
      </c>
      <c r="CQ90" s="1741">
        <f t="shared" si="99"/>
        <v>5.1491085047073115E-2</v>
      </c>
      <c r="CR90" s="1741">
        <f t="shared" si="99"/>
        <v>4.1138135691842104E-2</v>
      </c>
      <c r="CS90" s="1741">
        <f t="shared" si="99"/>
        <v>0.14078862692330185</v>
      </c>
      <c r="CT90" s="1741">
        <f t="shared" si="99"/>
        <v>0.11834238007329234</v>
      </c>
      <c r="CU90" s="1741">
        <f t="shared" si="99"/>
        <v>0.16336750703892355</v>
      </c>
      <c r="CV90" s="1741">
        <f t="shared" si="99"/>
        <v>9.0139405882782242E-2</v>
      </c>
      <c r="CW90" s="1741">
        <f t="shared" si="99"/>
        <v>-1.1228549808382393E-2</v>
      </c>
      <c r="CX90" s="1741">
        <f t="shared" si="99"/>
        <v>9.9867285998672894E-2</v>
      </c>
      <c r="CY90" s="1741">
        <f t="shared" si="99"/>
        <v>-1.4896551724137952E-2</v>
      </c>
      <c r="CZ90" s="1741">
        <f t="shared" si="99"/>
        <v>1.8140010219724001E-2</v>
      </c>
      <c r="DA90" s="1741">
        <f t="shared" si="99"/>
        <v>0.14874648076149621</v>
      </c>
      <c r="DB90" s="1741">
        <f t="shared" si="99"/>
        <v>6.2779100922893738E-2</v>
      </c>
      <c r="DC90" s="1741">
        <f t="shared" si="99"/>
        <v>-2.6760704281713066E-3</v>
      </c>
      <c r="DD90" s="1741">
        <f t="shared" si="99"/>
        <v>-3.4175375845302614E-2</v>
      </c>
      <c r="DE90" s="1741">
        <f t="shared" si="99"/>
        <v>-6.7437626605810763E-3</v>
      </c>
      <c r="DF90" s="1741">
        <f t="shared" si="99"/>
        <v>-3.7819059820636602E-2</v>
      </c>
      <c r="DG90" s="1741">
        <f t="shared" si="99"/>
        <v>-3.1961276973100805E-2</v>
      </c>
      <c r="DH90" s="1741">
        <f t="shared" si="99"/>
        <v>-7.4093911801464074E-2</v>
      </c>
      <c r="DI90" s="1741">
        <f t="shared" si="99"/>
        <v>-1.0615449181622938E-2</v>
      </c>
      <c r="DJ90" s="1741">
        <f t="shared" si="99"/>
        <v>2.2601229841048953E-2</v>
      </c>
      <c r="DK90" s="1741">
        <f t="shared" si="99"/>
        <v>-6.894427331279751E-2</v>
      </c>
      <c r="DL90" s="1741">
        <f t="shared" si="99"/>
        <v>-3.641154328732743E-2</v>
      </c>
      <c r="DM90" s="1741">
        <f t="shared" si="99"/>
        <v>3.6101223473575583E-2</v>
      </c>
      <c r="DN90" s="1741">
        <f t="shared" si="99"/>
        <v>-9.961833397527875E-3</v>
      </c>
      <c r="DO90" s="1741">
        <f t="shared" si="99"/>
        <v>-4.7646513027559401E-3</v>
      </c>
      <c r="DP90" s="1741">
        <f t="shared" si="99"/>
        <v>-6.6718745479269703E-2</v>
      </c>
      <c r="DQ90" s="1741">
        <f t="shared" si="99"/>
        <v>7.0838496489054048E-2</v>
      </c>
      <c r="DR90" s="1741">
        <f t="shared" si="99"/>
        <v>-1.1855683302179121E-2</v>
      </c>
      <c r="DS90" s="1741">
        <f t="shared" si="99"/>
        <v>3.3226459025153643E-2</v>
      </c>
      <c r="DT90" s="1741">
        <f t="shared" si="99"/>
        <v>-1.9764751253374513E-2</v>
      </c>
      <c r="DU90" s="1741">
        <f t="shared" si="99"/>
        <v>-5.1450956907952206E-2</v>
      </c>
      <c r="DV90" s="1741">
        <f t="shared" si="99"/>
        <v>-2.4643173205654789E-2</v>
      </c>
      <c r="DW90" s="1741">
        <f t="shared" si="99"/>
        <v>0.22753248315688168</v>
      </c>
      <c r="DX90" s="1741">
        <f t="shared" si="99"/>
        <v>9.218990077866529E-3</v>
      </c>
      <c r="DY90" s="1741">
        <f t="shared" si="99"/>
        <v>5.4724313364747479E-2</v>
      </c>
      <c r="DZ90" s="1741">
        <f t="shared" si="99"/>
        <v>3.4801676422217875E-2</v>
      </c>
      <c r="EA90" s="1741">
        <f t="shared" si="99"/>
        <v>5.0142363998286532E-2</v>
      </c>
      <c r="EB90" s="1741">
        <f t="shared" si="99"/>
        <v>0.13649750441764574</v>
      </c>
      <c r="EC90" s="1741">
        <f t="shared" si="99"/>
        <v>-2.5771456123433012E-2</v>
      </c>
      <c r="ED90" s="1741">
        <f t="shared" si="99"/>
        <v>9.2925628401140159E-2</v>
      </c>
      <c r="EE90" s="1741">
        <f t="shared" si="99"/>
        <v>0.10984687563493978</v>
      </c>
      <c r="EF90" s="1936">
        <f t="shared" ref="EF90:EQ90" si="100">EF89/DT89-1</f>
        <v>8.4784105439166035E-2</v>
      </c>
      <c r="EG90" s="1741">
        <f t="shared" si="100"/>
        <v>0.15267657503616983</v>
      </c>
      <c r="EH90" s="1741">
        <f t="shared" si="100"/>
        <v>0.13847334992904181</v>
      </c>
      <c r="EI90" s="1741">
        <f t="shared" si="100"/>
        <v>-4.4446622399725633E-2</v>
      </c>
      <c r="EJ90" s="1741">
        <f t="shared" si="100"/>
        <v>0.17005135086315892</v>
      </c>
      <c r="EK90" s="1741">
        <f t="shared" si="100"/>
        <v>8.2909116798974836E-2</v>
      </c>
      <c r="EL90" s="1741">
        <f t="shared" si="100"/>
        <v>4.776389767076239E-2</v>
      </c>
      <c r="EM90" s="1741">
        <f t="shared" si="100"/>
        <v>7.9612256160472183E-2</v>
      </c>
      <c r="EN90" s="1741">
        <f t="shared" si="100"/>
        <v>0.10572831423895246</v>
      </c>
      <c r="EO90" s="1741">
        <f t="shared" si="100"/>
        <v>6.3844002870505623E-2</v>
      </c>
      <c r="EP90" s="1741">
        <f t="shared" si="100"/>
        <v>4.0117602427921062E-2</v>
      </c>
      <c r="EQ90" s="1741">
        <f t="shared" si="100"/>
        <v>1.2432180541224191E-2</v>
      </c>
      <c r="ER90" s="1936">
        <f>ER89/EF89-1</f>
        <v>-1.4053858010698583E-3</v>
      </c>
      <c r="ES90" s="1741">
        <f t="shared" ref="ES90:FC90" si="101">ES89/EG89-1</f>
        <v>-1</v>
      </c>
      <c r="ET90" s="1741">
        <f t="shared" si="101"/>
        <v>-1</v>
      </c>
      <c r="EU90" s="1741">
        <f t="shared" si="101"/>
        <v>-1</v>
      </c>
      <c r="EV90" s="1741">
        <f t="shared" si="101"/>
        <v>-1</v>
      </c>
      <c r="EW90" s="1741">
        <f t="shared" si="101"/>
        <v>-1</v>
      </c>
      <c r="EX90" s="1741">
        <f t="shared" si="101"/>
        <v>-1</v>
      </c>
      <c r="EY90" s="1741">
        <f t="shared" si="101"/>
        <v>-1</v>
      </c>
      <c r="EZ90" s="1741">
        <f t="shared" si="101"/>
        <v>-1</v>
      </c>
      <c r="FA90" s="1741">
        <f t="shared" si="101"/>
        <v>-1</v>
      </c>
      <c r="FB90" s="1741">
        <f t="shared" si="101"/>
        <v>-1</v>
      </c>
      <c r="FC90" s="1937">
        <f t="shared" si="101"/>
        <v>-1</v>
      </c>
      <c r="FD90" s="2441"/>
      <c r="FE90" s="555">
        <v>0</v>
      </c>
      <c r="FF90" s="555">
        <v>0</v>
      </c>
      <c r="FG90" s="555">
        <v>0</v>
      </c>
      <c r="FH90" s="555">
        <v>0</v>
      </c>
      <c r="FI90" s="1741">
        <f>FI89/FE89-1</f>
        <v>0.27571580063626722</v>
      </c>
      <c r="FJ90" s="1741">
        <f t="shared" ref="FJ90:GV90" si="102">FJ89/FF89-1</f>
        <v>0.12811304368236986</v>
      </c>
      <c r="FK90" s="1741">
        <f t="shared" si="102"/>
        <v>-1.7141673102643029E-3</v>
      </c>
      <c r="FL90" s="1741">
        <f t="shared" si="102"/>
        <v>-2.5553757741449967E-3</v>
      </c>
      <c r="FM90" s="1741">
        <f t="shared" si="102"/>
        <v>-0.16636120542018451</v>
      </c>
      <c r="FN90" s="1741">
        <f t="shared" si="102"/>
        <v>1.5958885582905147E-2</v>
      </c>
      <c r="FO90" s="1741">
        <f t="shared" si="102"/>
        <v>-3.9342591893727796E-2</v>
      </c>
      <c r="FP90" s="1741">
        <f t="shared" si="102"/>
        <v>3.0116573065133156E-2</v>
      </c>
      <c r="FQ90" s="1741">
        <f t="shared" si="102"/>
        <v>9.9894279055239288E-2</v>
      </c>
      <c r="FR90" s="1741">
        <f t="shared" si="102"/>
        <v>-2.4913983779798476E-2</v>
      </c>
      <c r="FS90" s="1741">
        <f t="shared" si="102"/>
        <v>3.64361336449881E-3</v>
      </c>
      <c r="FT90" s="1741">
        <f t="shared" si="102"/>
        <v>1.5834401268489673E-2</v>
      </c>
      <c r="FU90" s="1741">
        <f t="shared" si="102"/>
        <v>3.6153921772088538E-3</v>
      </c>
      <c r="FV90" s="1741">
        <f t="shared" si="102"/>
        <v>6.4501223443915956E-2</v>
      </c>
      <c r="FW90" s="1741">
        <f t="shared" si="102"/>
        <v>2.5862828178055297E-2</v>
      </c>
      <c r="FX90" s="1741">
        <f t="shared" si="102"/>
        <v>4.8804738282586468E-2</v>
      </c>
      <c r="FY90" s="1741">
        <f t="shared" si="102"/>
        <v>2.7534717687519139E-2</v>
      </c>
      <c r="FZ90" s="1741">
        <f t="shared" si="102"/>
        <v>7.9327183939229551E-2</v>
      </c>
      <c r="GA90" s="1741">
        <f t="shared" si="102"/>
        <v>0.10134877332214121</v>
      </c>
      <c r="GB90" s="1741">
        <f t="shared" si="102"/>
        <v>0.15254686496569869</v>
      </c>
      <c r="GC90" s="1741">
        <f t="shared" si="102"/>
        <v>0.13484229033829731</v>
      </c>
      <c r="GD90" s="1741">
        <f t="shared" si="102"/>
        <v>5.3854450395773634E-2</v>
      </c>
      <c r="GE90" s="1741">
        <f t="shared" si="102"/>
        <v>4.6950918491958316E-2</v>
      </c>
      <c r="GF90" s="1741">
        <f t="shared" si="102"/>
        <v>3.4846903578440891E-2</v>
      </c>
      <c r="GG90" s="1741">
        <f t="shared" si="102"/>
        <v>0.13166270007933178</v>
      </c>
      <c r="GH90" s="1741">
        <f t="shared" si="102"/>
        <v>4.2030217349823928E-2</v>
      </c>
      <c r="GI90" s="1741">
        <f t="shared" si="102"/>
        <v>7.1408480997998014E-2</v>
      </c>
      <c r="GJ90" s="1741">
        <f t="shared" si="102"/>
        <v>0.14280464249696601</v>
      </c>
      <c r="GK90" s="1741">
        <f t="shared" si="102"/>
        <v>5.9034077788407524E-2</v>
      </c>
      <c r="GL90" s="1741">
        <f t="shared" si="102"/>
        <v>5.682347849247571E-2</v>
      </c>
      <c r="GM90" s="1741">
        <f t="shared" si="102"/>
        <v>1.5782077613230916E-2</v>
      </c>
      <c r="GN90" s="1741">
        <f t="shared" si="102"/>
        <v>-2.6384474441910055E-2</v>
      </c>
      <c r="GO90" s="1741">
        <f t="shared" si="102"/>
        <v>-2.1618254030060013E-2</v>
      </c>
      <c r="GP90" s="1741">
        <f t="shared" si="102"/>
        <v>-1.6200549731828495E-2</v>
      </c>
      <c r="GQ90" s="1741">
        <f t="shared" si="102"/>
        <v>0.14303197068973383</v>
      </c>
      <c r="GR90" s="1741">
        <f t="shared" si="102"/>
        <v>3.0894021676511452E-2</v>
      </c>
      <c r="GS90" s="1741">
        <f t="shared" si="102"/>
        <v>-3.158380693124474E-2</v>
      </c>
      <c r="GT90" s="1741">
        <f t="shared" si="102"/>
        <v>8.6731671389916221E-2</v>
      </c>
      <c r="GU90" s="1741">
        <f t="shared" si="102"/>
        <v>-8.9915211970074793E-2</v>
      </c>
      <c r="GV90" s="1741">
        <f t="shared" si="102"/>
        <v>6.3065815258291247E-2</v>
      </c>
      <c r="GW90" s="1741"/>
      <c r="GX90" s="1741"/>
      <c r="GY90" s="1741"/>
      <c r="GZ90" s="1741"/>
      <c r="HA90" s="1741"/>
      <c r="HB90" s="1741"/>
      <c r="HC90" s="1741"/>
      <c r="HD90" s="1741"/>
      <c r="HE90" s="851"/>
      <c r="HF90" s="851"/>
      <c r="HG90" s="851">
        <f t="shared" ref="HG90:HQ90" si="103">HG89/HF89-1</f>
        <v>8.9307584394762607E-2</v>
      </c>
      <c r="HH90" s="851">
        <f t="shared" si="103"/>
        <v>-4.2302395048920527E-2</v>
      </c>
      <c r="HI90" s="851">
        <f t="shared" si="103"/>
        <v>2.0573968633435857E-2</v>
      </c>
      <c r="HJ90" s="851">
        <f t="shared" si="103"/>
        <v>3.5766852720879427E-2</v>
      </c>
      <c r="HK90" s="851">
        <f t="shared" si="103"/>
        <v>9.1272786014649609E-2</v>
      </c>
      <c r="HL90" s="851">
        <f t="shared" si="103"/>
        <v>6.472578738837087E-2</v>
      </c>
      <c r="HM90" s="1746">
        <f t="shared" si="103"/>
        <v>9.6222066295774233E-2</v>
      </c>
      <c r="HN90" s="1746">
        <f t="shared" si="103"/>
        <v>2.4772851127074613E-2</v>
      </c>
      <c r="HO90" s="1746">
        <f t="shared" si="103"/>
        <v>-7.4952719453286187E-3</v>
      </c>
      <c r="HP90" s="1746">
        <f t="shared" si="103"/>
        <v>4.6158792011690153E-2</v>
      </c>
      <c r="HQ90" s="1746">
        <f t="shared" si="103"/>
        <v>7.3836790261872398E-2</v>
      </c>
      <c r="HR90" s="1746"/>
      <c r="HS90" s="3157">
        <f>HS89/HQ89-1</f>
        <v>-1.0752930607171862E-4</v>
      </c>
      <c r="HT90" s="2294"/>
      <c r="HU90" s="1740"/>
      <c r="HV90" s="1740"/>
      <c r="HW90" s="1740"/>
      <c r="HX90" s="1740"/>
    </row>
    <row r="91" spans="1:237">
      <c r="C91" s="467"/>
      <c r="D91" s="466"/>
      <c r="E91" s="3851"/>
      <c r="F91" s="3851"/>
      <c r="G91" s="3851"/>
      <c r="H91" s="3851"/>
      <c r="I91" s="3851"/>
      <c r="J91" s="3851"/>
      <c r="K91" s="515"/>
      <c r="L91" s="466"/>
      <c r="M91" s="516"/>
      <c r="N91" s="513"/>
      <c r="O91" s="513"/>
      <c r="P91" s="467"/>
      <c r="Q91" s="510"/>
      <c r="R91" s="510"/>
      <c r="S91" s="510"/>
      <c r="T91" s="510"/>
      <c r="U91" s="510"/>
      <c r="V91" s="510"/>
      <c r="W91" s="510"/>
      <c r="X91" s="510"/>
      <c r="Y91" s="510"/>
      <c r="Z91" s="510"/>
      <c r="AA91" s="510"/>
      <c r="AB91" s="512"/>
      <c r="AC91" s="510"/>
      <c r="AD91" s="510"/>
      <c r="AE91" s="510"/>
      <c r="AF91" s="510"/>
      <c r="AG91" s="510"/>
      <c r="AH91" s="510"/>
      <c r="AI91" s="510"/>
      <c r="AJ91" s="513"/>
      <c r="AK91" s="510"/>
      <c r="AL91" s="510"/>
      <c r="AM91" s="510"/>
      <c r="AN91" s="510"/>
      <c r="AO91" s="510"/>
      <c r="AP91" s="510"/>
      <c r="AQ91" s="510"/>
      <c r="AR91" s="510"/>
      <c r="AS91" s="510"/>
      <c r="AT91" s="510"/>
      <c r="AU91" s="510"/>
      <c r="AV91" s="510"/>
      <c r="AW91" s="510"/>
      <c r="AX91" s="510"/>
      <c r="AY91" s="510"/>
      <c r="AZ91" s="466"/>
      <c r="BA91" s="466"/>
      <c r="BB91" s="466"/>
      <c r="BC91" s="466"/>
      <c r="BD91" s="466"/>
      <c r="BE91" s="466"/>
      <c r="BF91" s="466"/>
      <c r="BG91" s="466"/>
      <c r="BH91" s="466"/>
      <c r="BI91" s="466"/>
      <c r="BJ91" s="466"/>
      <c r="BK91" s="466"/>
      <c r="BL91" s="466"/>
      <c r="BM91" s="517"/>
      <c r="BN91" s="514"/>
      <c r="BO91" s="518"/>
      <c r="BP91" s="518"/>
      <c r="BQ91" s="518"/>
      <c r="BR91" s="466"/>
      <c r="BS91" s="466"/>
      <c r="BT91" s="466"/>
      <c r="BU91" s="466"/>
      <c r="BV91" s="466"/>
      <c r="BW91" s="466"/>
      <c r="BX91" s="466"/>
      <c r="BY91" s="466"/>
      <c r="BZ91" s="466"/>
      <c r="CA91" s="466"/>
      <c r="CB91" s="466"/>
      <c r="CC91" s="466"/>
      <c r="CD91" s="466"/>
      <c r="CE91" s="466"/>
      <c r="CF91" s="466"/>
      <c r="CG91" s="466"/>
      <c r="CH91" s="466"/>
      <c r="CI91" s="466"/>
      <c r="CJ91" s="466"/>
      <c r="CK91" s="466"/>
      <c r="CL91" s="466"/>
      <c r="CM91" s="466"/>
      <c r="CN91" s="466"/>
      <c r="CO91" s="466"/>
      <c r="CP91" s="466"/>
      <c r="CQ91" s="466"/>
      <c r="CR91" s="466"/>
      <c r="CS91" s="466"/>
      <c r="CT91" s="466"/>
      <c r="CU91" s="466"/>
      <c r="CV91" s="466"/>
      <c r="CW91" s="466"/>
      <c r="CX91" s="466"/>
      <c r="CY91" s="466"/>
      <c r="CZ91" s="466"/>
      <c r="DA91" s="466"/>
      <c r="DB91" s="466"/>
      <c r="DC91" s="466"/>
      <c r="DD91" s="466"/>
      <c r="DE91" s="466"/>
      <c r="DF91" s="466"/>
      <c r="DG91" s="466"/>
      <c r="DH91"/>
      <c r="DI91"/>
      <c r="DJ91"/>
      <c r="DK91"/>
      <c r="DL91"/>
      <c r="DM91"/>
      <c r="DN91"/>
      <c r="DO91"/>
      <c r="DP91"/>
      <c r="DQ91"/>
      <c r="DR91"/>
      <c r="DS91"/>
      <c r="DT91"/>
      <c r="DU91"/>
      <c r="DV91"/>
      <c r="DW91"/>
      <c r="DX91"/>
      <c r="DY91"/>
      <c r="DZ91"/>
      <c r="EA91"/>
      <c r="EB91"/>
      <c r="EC91"/>
      <c r="ED91"/>
      <c r="EE91"/>
      <c r="EF91" s="53"/>
      <c r="EG91" s="36"/>
      <c r="EH91" s="36"/>
      <c r="EI91" s="36"/>
      <c r="EJ91" s="36"/>
      <c r="EK91" s="36"/>
      <c r="EL91" s="36"/>
      <c r="EM91" s="36"/>
      <c r="EN91" s="36"/>
      <c r="EO91" s="36"/>
      <c r="EP91" s="36"/>
      <c r="EQ91" s="54"/>
      <c r="ER91" s="53"/>
      <c r="ES91" s="36"/>
      <c r="ET91" s="36"/>
      <c r="EU91" s="36"/>
      <c r="EV91" s="36"/>
      <c r="EW91" s="36"/>
      <c r="EX91" s="36"/>
      <c r="EY91" s="36"/>
      <c r="EZ91" s="36"/>
      <c r="FA91" s="36"/>
      <c r="FB91" s="36"/>
      <c r="FC91" s="36"/>
      <c r="FE91" s="466"/>
      <c r="FF91" s="466"/>
      <c r="FG91" s="466"/>
      <c r="FH91" s="466"/>
      <c r="FI91" s="466"/>
      <c r="FJ91" s="466"/>
      <c r="FK91" s="466"/>
      <c r="FL91" s="466"/>
      <c r="FM91" s="466"/>
      <c r="FN91" s="466"/>
      <c r="FO91" s="466"/>
      <c r="FP91" s="466"/>
      <c r="FQ91" s="466"/>
      <c r="FR91" s="466"/>
      <c r="FS91" s="466"/>
      <c r="FT91" s="466"/>
      <c r="FU91" s="466"/>
      <c r="FV91" s="466"/>
      <c r="FW91" s="466"/>
      <c r="FX91" s="466"/>
      <c r="FY91" s="466"/>
      <c r="FZ91" s="466"/>
      <c r="GA91" s="466"/>
      <c r="GB91" s="466"/>
      <c r="GC91" s="466"/>
      <c r="GD91" s="466"/>
      <c r="GE91" s="466"/>
      <c r="GF91" s="466"/>
      <c r="GG91" s="466"/>
      <c r="GH91" s="466"/>
      <c r="GI91" s="466"/>
      <c r="GJ91" s="466"/>
      <c r="GK91" s="466"/>
      <c r="GL91" s="466"/>
      <c r="GM91" s="466"/>
      <c r="GN91" s="466"/>
      <c r="GO91" s="1528"/>
      <c r="GP91" s="1528"/>
      <c r="GQ91" s="1528"/>
      <c r="GR91" s="1528"/>
      <c r="GS91" s="1529"/>
      <c r="GT91" s="1529"/>
      <c r="GU91" s="1475"/>
      <c r="GV91" s="466"/>
      <c r="GW91" s="466"/>
      <c r="GX91" s="466"/>
      <c r="GY91" s="466"/>
      <c r="GZ91" s="466"/>
      <c r="HA91" s="466"/>
      <c r="HB91" s="466"/>
      <c r="HC91" s="466"/>
      <c r="HD91" s="466"/>
      <c r="HF91" s="844"/>
      <c r="HG91" s="844"/>
      <c r="HH91" s="844"/>
      <c r="HI91" s="844"/>
      <c r="HJ91" s="844"/>
      <c r="HK91" s="844"/>
      <c r="HL91" s="844"/>
      <c r="HM91" s="852"/>
      <c r="HN91" s="852"/>
      <c r="HO91" s="852"/>
      <c r="HP91" s="852"/>
      <c r="HQ91" s="852"/>
      <c r="HR91" s="852"/>
      <c r="HS91" s="852"/>
      <c r="HT91" s="2295"/>
      <c r="HU91" s="1938"/>
    </row>
    <row r="92" spans="1:237" ht="16.5" customHeight="1">
      <c r="C92" s="467"/>
      <c r="D92" s="466"/>
      <c r="E92" s="3861"/>
      <c r="F92" s="3861"/>
      <c r="G92" s="519"/>
      <c r="H92" s="519"/>
      <c r="I92" s="519"/>
      <c r="J92" s="519"/>
      <c r="K92" s="519"/>
      <c r="L92" s="466"/>
      <c r="M92" s="516"/>
      <c r="N92" s="513"/>
      <c r="O92" s="513"/>
      <c r="P92" s="467"/>
      <c r="Q92" s="510"/>
      <c r="R92" s="510"/>
      <c r="S92" s="510"/>
      <c r="T92" s="510"/>
      <c r="U92" s="510"/>
      <c r="V92" s="510"/>
      <c r="W92" s="510"/>
      <c r="X92" s="510"/>
      <c r="Y92" s="510"/>
      <c r="Z92" s="510"/>
      <c r="AA92" s="510"/>
      <c r="AB92" s="512"/>
      <c r="AC92" s="510"/>
      <c r="AD92" s="510"/>
      <c r="AE92" s="510"/>
      <c r="AF92" s="510"/>
      <c r="AG92" s="510"/>
      <c r="AH92" s="510"/>
      <c r="AI92" s="510"/>
      <c r="AJ92" s="513"/>
      <c r="AK92" s="510"/>
      <c r="AL92" s="510"/>
      <c r="AM92" s="510"/>
      <c r="AN92" s="510"/>
      <c r="AO92" s="510"/>
      <c r="AP92" s="510"/>
      <c r="AQ92" s="510"/>
      <c r="AR92" s="510"/>
      <c r="AS92" s="510"/>
      <c r="AT92" s="510"/>
      <c r="AU92" s="510"/>
      <c r="AV92" s="510"/>
      <c r="AW92" s="510"/>
      <c r="AX92" s="510"/>
      <c r="AY92" s="510"/>
      <c r="AZ92" s="466"/>
      <c r="BA92" s="466"/>
      <c r="BB92" s="466"/>
      <c r="BC92" s="466"/>
      <c r="BD92" s="466"/>
      <c r="BE92" s="466"/>
      <c r="BF92" s="466"/>
      <c r="BG92" s="466"/>
      <c r="BH92" s="466"/>
      <c r="BI92" s="466"/>
      <c r="BJ92" s="466"/>
      <c r="BK92" s="466"/>
      <c r="BL92" s="520"/>
      <c r="BM92" s="521"/>
      <c r="BN92" s="522"/>
      <c r="BO92" s="518"/>
      <c r="BP92" s="518"/>
      <c r="BQ92" s="518"/>
      <c r="BR92" s="466"/>
      <c r="BS92" s="466"/>
      <c r="BT92" s="466"/>
      <c r="BU92" s="466"/>
      <c r="BV92" s="466"/>
      <c r="BW92" s="466"/>
      <c r="BX92" s="466"/>
      <c r="BY92" s="466"/>
      <c r="BZ92" s="466"/>
      <c r="CA92" s="466"/>
      <c r="CB92" s="466"/>
      <c r="CC92" s="466"/>
      <c r="CD92" s="466"/>
      <c r="CE92" s="466"/>
      <c r="CF92" s="466"/>
      <c r="CG92" s="466"/>
      <c r="CH92" s="466"/>
      <c r="CI92" s="466"/>
      <c r="CJ92" s="466"/>
      <c r="CK92" s="466"/>
      <c r="CL92" s="466"/>
      <c r="CM92" s="466"/>
      <c r="CN92" s="466"/>
      <c r="CO92" s="466"/>
      <c r="CP92" s="466"/>
      <c r="CQ92" s="466"/>
      <c r="CR92" s="466"/>
      <c r="CS92" s="466"/>
      <c r="CT92" s="466"/>
      <c r="CU92" s="466"/>
      <c r="CV92" s="466"/>
      <c r="CW92" s="466"/>
      <c r="CX92" s="466"/>
      <c r="CY92" s="466"/>
      <c r="CZ92" s="466"/>
      <c r="DA92" s="466"/>
      <c r="DB92" s="466"/>
      <c r="DC92" s="466"/>
      <c r="DD92" s="466"/>
      <c r="DE92" s="466"/>
      <c r="DF92" s="466"/>
      <c r="DG92" s="466"/>
      <c r="DH92"/>
      <c r="DI92"/>
      <c r="DJ92"/>
      <c r="DK92"/>
      <c r="DL92"/>
      <c r="DM92"/>
      <c r="DN92"/>
      <c r="DO92"/>
      <c r="DP92"/>
      <c r="DQ92"/>
      <c r="DR92"/>
      <c r="DS92"/>
      <c r="DT92"/>
      <c r="DU92"/>
      <c r="DV92"/>
      <c r="DW92"/>
      <c r="DX92"/>
      <c r="DY92"/>
      <c r="DZ92"/>
      <c r="EA92"/>
      <c r="EB92"/>
      <c r="EC92"/>
      <c r="ED92"/>
      <c r="EE92"/>
      <c r="EF92" s="53"/>
      <c r="EG92" s="36"/>
      <c r="EH92" s="36"/>
      <c r="EI92" s="36"/>
      <c r="EJ92" s="36"/>
      <c r="EK92" s="36"/>
      <c r="EL92" s="36"/>
      <c r="EM92" s="36"/>
      <c r="EN92" s="36"/>
      <c r="EO92" s="36"/>
      <c r="EP92" s="36"/>
      <c r="EQ92" s="54"/>
      <c r="ER92" s="53"/>
      <c r="ES92" s="36"/>
      <c r="ET92" s="36"/>
      <c r="EU92" s="36"/>
      <c r="EV92" s="36"/>
      <c r="EW92" s="36"/>
      <c r="EX92" s="36"/>
      <c r="EY92" s="36"/>
      <c r="EZ92" s="36"/>
      <c r="FA92" s="36"/>
      <c r="FB92" s="36"/>
      <c r="FC92" s="36"/>
      <c r="FE92" s="466"/>
      <c r="FF92" s="466"/>
      <c r="FG92" s="466"/>
      <c r="FH92" s="466"/>
      <c r="FI92" s="466"/>
      <c r="FJ92" s="466"/>
      <c r="FK92" s="466"/>
      <c r="FL92" s="466"/>
      <c r="FM92" s="466"/>
      <c r="FN92" s="466"/>
      <c r="FO92" s="466"/>
      <c r="FP92" s="466"/>
      <c r="FQ92" s="466"/>
      <c r="FR92" s="466"/>
      <c r="FS92" s="466"/>
      <c r="FT92" s="466"/>
      <c r="FU92" s="466"/>
      <c r="FV92" s="466"/>
      <c r="FW92" s="466"/>
      <c r="FX92" s="466"/>
      <c r="FY92" s="466"/>
      <c r="FZ92" s="466"/>
      <c r="GA92" s="466"/>
      <c r="GB92" s="466"/>
      <c r="GC92" s="466"/>
      <c r="GD92" s="466"/>
      <c r="GE92" s="466"/>
      <c r="GF92" s="466"/>
      <c r="GG92" s="466"/>
      <c r="GH92" s="466"/>
      <c r="GI92" s="466"/>
      <c r="GJ92" s="466"/>
      <c r="GK92" s="466"/>
      <c r="GL92" s="466"/>
      <c r="GM92" s="466"/>
      <c r="GN92" s="466"/>
      <c r="GO92" s="1530"/>
      <c r="GP92" s="1530"/>
      <c r="GQ92" s="1530"/>
      <c r="GR92" s="1530"/>
      <c r="GS92" s="1531"/>
      <c r="GT92" s="1531"/>
      <c r="GU92" s="1476"/>
      <c r="GV92" s="466"/>
      <c r="GW92" s="466"/>
      <c r="GX92" s="466"/>
      <c r="GY92" s="466"/>
      <c r="GZ92" s="466"/>
      <c r="HA92" s="466"/>
      <c r="HB92" s="466"/>
      <c r="HC92" s="466"/>
      <c r="HD92" s="466"/>
      <c r="HE92" s="844"/>
      <c r="HF92" s="844"/>
      <c r="HG92" s="844"/>
      <c r="HH92" s="844"/>
      <c r="HI92" s="844"/>
      <c r="HJ92" s="844"/>
      <c r="HK92" s="844"/>
      <c r="HL92" s="844"/>
      <c r="HM92" s="561"/>
      <c r="HN92" s="561"/>
      <c r="HO92" s="561"/>
      <c r="HP92" s="561"/>
      <c r="HQ92" s="561"/>
      <c r="HR92" s="561"/>
      <c r="HS92" s="561"/>
      <c r="HT92" s="2296"/>
    </row>
    <row r="93" spans="1:237">
      <c r="C93" s="466"/>
      <c r="D93" s="466"/>
      <c r="E93" s="3850"/>
      <c r="F93" s="516"/>
      <c r="G93" s="513"/>
      <c r="H93" s="525"/>
      <c r="I93" s="525"/>
      <c r="J93" s="523"/>
      <c r="K93" s="519"/>
      <c r="L93" s="466"/>
      <c r="M93" s="516"/>
      <c r="N93" s="513"/>
      <c r="O93" s="513"/>
      <c r="P93" s="510"/>
      <c r="Q93" s="510"/>
      <c r="R93" s="510"/>
      <c r="S93" s="510"/>
      <c r="T93" s="510"/>
      <c r="U93" s="510"/>
      <c r="V93" s="510"/>
      <c r="W93" s="510"/>
      <c r="X93" s="510"/>
      <c r="Y93" s="510"/>
      <c r="Z93" s="510"/>
      <c r="AA93" s="510"/>
      <c r="AB93" s="510"/>
      <c r="AC93" s="510"/>
      <c r="AD93" s="510"/>
      <c r="AE93" s="510"/>
      <c r="AF93" s="510"/>
      <c r="AG93" s="510"/>
      <c r="AH93" s="510"/>
      <c r="AI93" s="510"/>
      <c r="AJ93" s="510"/>
      <c r="AK93" s="510"/>
      <c r="AL93" s="510"/>
      <c r="AM93" s="510"/>
      <c r="AN93" s="510"/>
      <c r="AO93" s="510"/>
      <c r="AP93" s="510"/>
      <c r="AQ93" s="510"/>
      <c r="AR93" s="510"/>
      <c r="AS93" s="510"/>
      <c r="AT93" s="510"/>
      <c r="AU93" s="510"/>
      <c r="AV93" s="510"/>
      <c r="AW93" s="510"/>
      <c r="AX93" s="510"/>
      <c r="AY93" s="510"/>
      <c r="AZ93" s="466"/>
      <c r="BA93" s="466"/>
      <c r="BB93" s="466"/>
      <c r="BC93" s="466"/>
      <c r="BD93" s="466"/>
      <c r="BE93" s="466"/>
      <c r="BF93" s="466"/>
      <c r="BG93" s="466"/>
      <c r="BH93" s="466"/>
      <c r="BI93" s="466"/>
      <c r="BJ93" s="466"/>
      <c r="BK93" s="466"/>
      <c r="BL93" s="466"/>
      <c r="BM93" s="518"/>
      <c r="BN93" s="524"/>
      <c r="BO93" s="518"/>
      <c r="BP93" s="518"/>
      <c r="BQ93" s="518"/>
      <c r="BR93" s="466"/>
      <c r="BS93" s="466"/>
      <c r="BT93" s="466"/>
      <c r="BU93" s="466"/>
      <c r="BV93" s="466"/>
      <c r="BW93" s="466"/>
      <c r="BX93" s="466"/>
      <c r="BY93" s="466"/>
      <c r="BZ93" s="466"/>
      <c r="CA93" s="466"/>
      <c r="CB93" s="466"/>
      <c r="CC93" s="466"/>
      <c r="CD93" s="466"/>
      <c r="CE93" s="466"/>
      <c r="CF93" s="466"/>
      <c r="CG93" s="466"/>
      <c r="CH93" s="518"/>
      <c r="CI93" s="512"/>
      <c r="CK93" s="466"/>
      <c r="CL93" s="466"/>
      <c r="CM93" s="466"/>
      <c r="CN93" s="466"/>
      <c r="CO93" s="466"/>
      <c r="CP93" s="466"/>
      <c r="CQ93" s="466"/>
      <c r="CR93" s="466"/>
      <c r="CS93" s="466"/>
      <c r="CT93" s="466"/>
      <c r="CU93" s="466"/>
      <c r="CV93" s="466"/>
      <c r="CW93" s="466"/>
      <c r="CX93" s="466"/>
      <c r="CY93" s="466"/>
      <c r="CZ93" s="466"/>
      <c r="DA93" s="466"/>
      <c r="DB93" s="466"/>
      <c r="DC93" s="466"/>
      <c r="DD93" s="466"/>
      <c r="DE93" s="466"/>
      <c r="DF93" s="466"/>
      <c r="DG93" s="466"/>
      <c r="DH93" s="1520"/>
      <c r="DI93" s="1520"/>
      <c r="DJ93" s="1520"/>
      <c r="DK93" s="1520"/>
      <c r="DL93" s="1520"/>
      <c r="DM93" s="1520"/>
      <c r="DN93" s="1520"/>
      <c r="DO93" s="1520"/>
      <c r="DP93" s="1520"/>
      <c r="DQ93" s="1520"/>
      <c r="DR93" s="1520"/>
      <c r="DS93" s="1520"/>
      <c r="DT93" s="1520"/>
      <c r="DU93" s="1520"/>
      <c r="DV93" s="1520"/>
      <c r="DW93" s="1520"/>
      <c r="DX93" s="1520"/>
      <c r="DY93" s="1520"/>
      <c r="DZ93" s="1520"/>
      <c r="EA93" s="1520"/>
      <c r="EB93" s="1520"/>
      <c r="EC93" s="1520"/>
      <c r="ED93" s="1520"/>
      <c r="EE93" s="1520"/>
      <c r="EF93" s="1520"/>
      <c r="EG93" s="1520"/>
      <c r="EH93" s="1520"/>
      <c r="EI93" s="1520"/>
      <c r="EJ93" s="1520"/>
      <c r="EK93" s="1520"/>
      <c r="EL93" s="1520"/>
      <c r="EM93" s="1520"/>
      <c r="EN93" s="1520"/>
      <c r="EO93" s="1520"/>
      <c r="EP93" s="1520"/>
      <c r="EQ93" s="1520"/>
      <c r="ER93" s="1520"/>
      <c r="ES93" s="1520"/>
      <c r="ET93" s="1520"/>
      <c r="EU93" s="1520"/>
      <c r="EV93" s="1520"/>
      <c r="EW93" s="1520"/>
      <c r="EX93" s="1520"/>
      <c r="EY93" s="1520"/>
      <c r="EZ93" s="1520"/>
      <c r="FA93" s="1520"/>
      <c r="FB93" s="1520"/>
      <c r="FC93" s="1520"/>
      <c r="FD93" s="2434"/>
      <c r="FE93" s="466"/>
      <c r="FF93" s="466"/>
      <c r="FG93" s="466"/>
      <c r="FH93" s="466"/>
      <c r="FI93" s="466"/>
      <c r="FJ93" s="466"/>
      <c r="FK93" s="466"/>
      <c r="FL93" s="466"/>
      <c r="FM93" s="466"/>
      <c r="FN93" s="466"/>
      <c r="FO93" s="466"/>
      <c r="FP93" s="466"/>
      <c r="FQ93" s="466"/>
      <c r="FR93" s="466"/>
      <c r="FS93" s="466"/>
      <c r="FT93" s="466"/>
      <c r="FU93" s="466"/>
      <c r="FV93" s="466"/>
      <c r="FW93" s="466"/>
      <c r="FX93" s="466"/>
      <c r="FY93" s="466"/>
      <c r="FZ93" s="466"/>
      <c r="GA93" s="466"/>
      <c r="GB93" s="466"/>
      <c r="GC93" s="466"/>
      <c r="GD93" s="466"/>
      <c r="GE93" s="466"/>
      <c r="GF93" s="466"/>
      <c r="GG93" s="466"/>
      <c r="GH93" s="466"/>
      <c r="GI93" s="466"/>
      <c r="GJ93" s="466"/>
      <c r="GK93" s="466"/>
      <c r="GL93" s="466"/>
      <c r="GM93" s="466"/>
      <c r="GN93" s="466"/>
      <c r="GO93" s="1564"/>
      <c r="GP93" s="1564"/>
      <c r="GQ93" s="1564"/>
      <c r="GR93" s="1564"/>
      <c r="GS93" s="1565"/>
      <c r="GT93" s="1565"/>
      <c r="GU93" s="1526"/>
      <c r="GV93" s="466"/>
      <c r="GW93" s="466"/>
      <c r="GX93" s="466"/>
      <c r="GY93" s="466"/>
      <c r="GZ93" s="466"/>
      <c r="HA93" s="466"/>
      <c r="HB93" s="466"/>
      <c r="HC93" s="466"/>
      <c r="HD93" s="466"/>
      <c r="HE93" s="844"/>
      <c r="HF93" s="844" t="s">
        <v>1409</v>
      </c>
      <c r="HG93" s="844"/>
      <c r="HH93" s="844"/>
      <c r="HI93" s="844"/>
      <c r="HJ93" s="844"/>
      <c r="HK93" s="844"/>
      <c r="HL93" s="844"/>
      <c r="HM93" s="844"/>
      <c r="HN93" s="844"/>
      <c r="HO93" s="1575"/>
      <c r="HP93" s="466"/>
      <c r="HQ93" s="466"/>
      <c r="HR93" s="466"/>
      <c r="HS93" s="415"/>
      <c r="HT93" s="2292"/>
    </row>
    <row r="94" spans="1:237">
      <c r="C94" s="466"/>
      <c r="D94" s="466"/>
      <c r="E94" s="3850"/>
      <c r="F94" s="516"/>
      <c r="G94" s="513"/>
      <c r="H94" s="525"/>
      <c r="I94" s="525"/>
      <c r="J94" s="523"/>
      <c r="K94" s="519"/>
      <c r="L94" s="466"/>
      <c r="M94" s="516"/>
      <c r="N94" s="513"/>
      <c r="O94" s="515"/>
      <c r="P94" s="510"/>
      <c r="Q94" s="510"/>
      <c r="R94" s="510"/>
      <c r="S94" s="510"/>
      <c r="T94" s="510"/>
      <c r="U94" s="510"/>
      <c r="V94" s="510"/>
      <c r="W94" s="510"/>
      <c r="X94" s="510"/>
      <c r="Y94" s="510"/>
      <c r="Z94" s="510"/>
      <c r="AA94" s="510"/>
      <c r="AB94" s="510"/>
      <c r="AC94" s="510"/>
      <c r="AD94" s="510"/>
      <c r="AE94" s="510"/>
      <c r="AF94" s="510"/>
      <c r="AG94" s="510"/>
      <c r="AH94" s="510"/>
      <c r="AI94" s="510"/>
      <c r="AJ94" s="510"/>
      <c r="AK94" s="510"/>
      <c r="AL94" s="510"/>
      <c r="AM94" s="510"/>
      <c r="AN94" s="510"/>
      <c r="AO94" s="510"/>
      <c r="AP94" s="510"/>
      <c r="AQ94" s="510"/>
      <c r="AR94" s="510"/>
      <c r="AS94" s="510"/>
      <c r="AT94" s="510"/>
      <c r="AU94" s="510"/>
      <c r="AV94" s="510"/>
      <c r="AW94" s="510"/>
      <c r="AX94" s="510"/>
      <c r="AY94" s="510"/>
      <c r="AZ94" s="466"/>
      <c r="BA94" s="466"/>
      <c r="BB94" s="466"/>
      <c r="BC94" s="466"/>
      <c r="BD94" s="466"/>
      <c r="BE94" s="466"/>
      <c r="BF94" s="466"/>
      <c r="BG94" s="466"/>
      <c r="BH94" s="466"/>
      <c r="BI94" s="466"/>
      <c r="BJ94" s="466"/>
      <c r="BK94" s="466"/>
      <c r="BL94" s="466"/>
      <c r="BM94" s="518"/>
      <c r="BN94" s="524"/>
      <c r="BO94" s="518"/>
      <c r="BP94" s="518"/>
      <c r="BQ94" s="518"/>
      <c r="BR94" s="466"/>
      <c r="BS94" s="466"/>
      <c r="BT94" s="466"/>
      <c r="BU94" s="466"/>
      <c r="BV94" s="466"/>
      <c r="BW94" s="466"/>
      <c r="BX94" s="466"/>
      <c r="BY94" s="466"/>
      <c r="BZ94" s="466"/>
      <c r="CA94" s="466"/>
      <c r="CB94" s="466"/>
      <c r="CC94" s="466"/>
      <c r="CD94" s="466"/>
      <c r="CE94" s="466"/>
      <c r="CF94" s="466"/>
      <c r="CG94" s="466"/>
      <c r="CH94" s="518"/>
      <c r="CI94" s="512"/>
      <c r="CK94" s="466"/>
      <c r="CL94" s="466"/>
      <c r="CM94" s="466"/>
      <c r="CN94" s="466"/>
      <c r="CO94" s="466"/>
      <c r="CP94" s="466"/>
      <c r="CQ94" s="466"/>
      <c r="CR94" s="466"/>
      <c r="CS94" s="466"/>
      <c r="CT94" s="466"/>
      <c r="CU94" s="466"/>
      <c r="CV94" s="466"/>
      <c r="CW94" s="466"/>
      <c r="CX94" s="466"/>
      <c r="CY94" s="466"/>
      <c r="CZ94" s="466"/>
      <c r="DA94" s="466"/>
      <c r="DB94" s="466"/>
      <c r="DC94" s="466"/>
      <c r="DD94" s="466"/>
      <c r="DE94" s="466"/>
      <c r="DF94" s="466"/>
      <c r="DG94" s="466"/>
      <c r="DH94" s="1520"/>
      <c r="DI94" s="1520"/>
      <c r="DJ94" s="1520"/>
      <c r="DK94" s="1520"/>
      <c r="DL94" s="1520"/>
      <c r="DM94" s="1520"/>
      <c r="DN94" s="1520"/>
      <c r="DO94" s="1520"/>
      <c r="DP94" s="1520"/>
      <c r="DQ94" s="1520"/>
      <c r="DR94" s="1520"/>
      <c r="DS94" s="1520"/>
      <c r="DT94" s="1520"/>
      <c r="DU94" s="1520"/>
      <c r="DV94" s="1520"/>
      <c r="DW94" s="1520"/>
      <c r="DX94" s="1520"/>
      <c r="DY94" s="1520"/>
      <c r="DZ94" s="1520"/>
      <c r="EA94" s="1520"/>
      <c r="EB94" s="1520"/>
      <c r="EC94" s="1520"/>
      <c r="ED94" s="1520"/>
      <c r="EE94" s="1520"/>
      <c r="EF94" s="1520"/>
      <c r="EG94" s="1520"/>
      <c r="EH94" s="1520"/>
      <c r="EI94" s="1520"/>
      <c r="EJ94" s="1520"/>
      <c r="EK94" s="1520"/>
      <c r="EL94" s="1520"/>
      <c r="EM94" s="1520"/>
      <c r="EN94" s="1520"/>
      <c r="EO94" s="1520"/>
      <c r="EP94" s="1520"/>
      <c r="EQ94" s="1520"/>
      <c r="ER94" s="1520"/>
      <c r="ES94" s="1520"/>
      <c r="ET94" s="1520"/>
      <c r="EU94" s="1520"/>
      <c r="EV94" s="1520"/>
      <c r="EW94" s="1520"/>
      <c r="EX94" s="1520"/>
      <c r="EY94" s="1520"/>
      <c r="EZ94" s="1520"/>
      <c r="FA94" s="1520"/>
      <c r="FB94" s="1520"/>
      <c r="FC94" s="1520"/>
      <c r="FD94" s="2434"/>
      <c r="FE94" s="466"/>
      <c r="FF94" s="466"/>
      <c r="FG94" s="466"/>
      <c r="FH94" s="466"/>
      <c r="FI94" s="466"/>
      <c r="FJ94" s="466"/>
      <c r="FK94" s="466"/>
      <c r="FL94" s="466"/>
      <c r="FM94" s="466"/>
      <c r="FN94" s="466"/>
      <c r="FO94" s="466"/>
      <c r="FP94" s="466"/>
      <c r="FQ94" s="466"/>
      <c r="FR94" s="466"/>
      <c r="FS94" s="466"/>
      <c r="FT94" s="466"/>
      <c r="FU94" s="466"/>
      <c r="FV94" s="466"/>
      <c r="FW94" s="466"/>
      <c r="FX94" s="466"/>
      <c r="FY94" s="466"/>
      <c r="FZ94" s="466"/>
      <c r="GA94" s="466"/>
      <c r="GB94" s="466"/>
      <c r="GC94" s="466"/>
      <c r="GD94" s="466"/>
      <c r="GE94" s="466"/>
      <c r="GF94" s="466"/>
      <c r="GG94" s="466"/>
      <c r="GH94" s="466"/>
      <c r="GI94" s="466"/>
      <c r="GJ94" s="466"/>
      <c r="GK94" s="466"/>
      <c r="GL94" s="466"/>
      <c r="GM94" s="466"/>
      <c r="GN94" s="466"/>
      <c r="GO94" s="1564"/>
      <c r="GP94" s="1564"/>
      <c r="GQ94" s="1564"/>
      <c r="GR94" s="1564"/>
      <c r="GS94" s="1565"/>
      <c r="GT94" s="1565"/>
      <c r="GU94" s="1526"/>
      <c r="GV94" s="466"/>
      <c r="GW94" s="466"/>
      <c r="GX94" s="466"/>
      <c r="GY94" s="466"/>
      <c r="GZ94" s="466"/>
      <c r="HA94" s="466"/>
      <c r="HB94" s="466"/>
      <c r="HC94" s="466"/>
      <c r="HD94" s="466"/>
      <c r="HE94" s="844"/>
      <c r="HF94" s="844"/>
      <c r="HG94" s="844"/>
      <c r="HH94" s="844"/>
      <c r="HI94" s="844"/>
      <c r="HJ94" s="844"/>
      <c r="HK94" s="844"/>
      <c r="HL94" s="844"/>
      <c r="HM94" s="844"/>
      <c r="HN94" s="844"/>
      <c r="HO94" s="1575"/>
      <c r="HP94" s="466"/>
      <c r="HQ94" s="466"/>
      <c r="HR94" s="466"/>
      <c r="HS94" s="415"/>
      <c r="HT94" s="2292"/>
    </row>
    <row r="95" spans="1:237">
      <c r="C95" s="466"/>
      <c r="D95" s="466"/>
      <c r="E95" s="3850"/>
      <c r="F95" s="516"/>
      <c r="G95" s="513"/>
      <c r="H95" s="525"/>
      <c r="I95" s="525"/>
      <c r="J95" s="523"/>
      <c r="K95" s="519"/>
      <c r="L95" s="466"/>
      <c r="M95" s="516"/>
      <c r="N95" s="513"/>
      <c r="O95" s="513"/>
      <c r="P95" s="510"/>
      <c r="Q95" s="510"/>
      <c r="R95" s="510"/>
      <c r="S95" s="510"/>
      <c r="T95" s="510"/>
      <c r="U95" s="510"/>
      <c r="V95" s="510"/>
      <c r="W95" s="510"/>
      <c r="X95" s="510"/>
      <c r="Y95" s="510"/>
      <c r="Z95" s="510"/>
      <c r="AA95" s="510"/>
      <c r="AB95" s="510"/>
      <c r="AC95" s="510"/>
      <c r="AD95" s="510"/>
      <c r="AE95" s="510"/>
      <c r="AF95" s="510"/>
      <c r="AG95" s="510"/>
      <c r="AH95" s="510"/>
      <c r="AI95" s="510"/>
      <c r="AJ95" s="510"/>
      <c r="AK95" s="510"/>
      <c r="AL95" s="510"/>
      <c r="AM95" s="510"/>
      <c r="AN95" s="510"/>
      <c r="AO95" s="510"/>
      <c r="AP95" s="510"/>
      <c r="AQ95" s="510"/>
      <c r="AR95" s="510"/>
      <c r="AS95" s="510"/>
      <c r="AT95" s="510"/>
      <c r="AU95" s="510"/>
      <c r="AV95" s="510"/>
      <c r="AW95" s="510"/>
      <c r="AX95" s="510"/>
      <c r="AY95" s="510"/>
      <c r="AZ95" s="466"/>
      <c r="BA95" s="466"/>
      <c r="BB95" s="466"/>
      <c r="BC95" s="466"/>
      <c r="BD95" s="466"/>
      <c r="BE95" s="466"/>
      <c r="BF95" s="466"/>
      <c r="BG95" s="466"/>
      <c r="BH95" s="466"/>
      <c r="BI95" s="466"/>
      <c r="BJ95" s="466"/>
      <c r="BK95" s="466"/>
      <c r="BL95" s="466"/>
      <c r="BM95" s="518"/>
      <c r="BN95" s="524"/>
      <c r="BO95" s="518"/>
      <c r="BP95" s="518"/>
      <c r="BQ95" s="518"/>
      <c r="BR95" s="466"/>
      <c r="BS95" s="466"/>
      <c r="BT95" s="466"/>
      <c r="BU95" s="466"/>
      <c r="BV95" s="466"/>
      <c r="BW95" s="466"/>
      <c r="BX95" s="466"/>
      <c r="BY95" s="466"/>
      <c r="BZ95" s="466"/>
      <c r="CA95" s="466"/>
      <c r="CB95" s="466"/>
      <c r="CC95" s="466"/>
      <c r="CD95" s="466"/>
      <c r="CE95" s="466"/>
      <c r="CF95" s="466"/>
      <c r="CG95" s="466"/>
      <c r="CH95" s="466"/>
      <c r="CI95" s="466"/>
      <c r="CJ95" s="466"/>
      <c r="CK95" s="466"/>
      <c r="CL95" s="466"/>
      <c r="CM95" s="466"/>
      <c r="CN95" s="466"/>
      <c r="CO95" s="466"/>
      <c r="CP95" s="466"/>
      <c r="CQ95" s="466"/>
      <c r="CR95" s="466"/>
      <c r="CS95" s="466"/>
      <c r="CT95" s="466"/>
      <c r="CU95" s="466"/>
      <c r="CV95" s="466"/>
      <c r="CW95" s="466"/>
      <c r="CX95" s="466"/>
      <c r="CY95" s="466"/>
      <c r="CZ95" s="466"/>
      <c r="DA95" s="466"/>
      <c r="DB95" s="466"/>
      <c r="DC95" s="466"/>
      <c r="DD95" s="466"/>
      <c r="DE95" s="466"/>
      <c r="DF95" s="466"/>
      <c r="DG95" s="466"/>
      <c r="DH95" s="1520"/>
      <c r="DI95" s="1520"/>
      <c r="DJ95" s="1520"/>
      <c r="DK95" s="1520"/>
      <c r="DL95" s="1520"/>
      <c r="DM95" s="1520"/>
      <c r="DN95" s="1520"/>
      <c r="DO95" s="1520"/>
      <c r="DP95" s="1520"/>
      <c r="DQ95" s="1520"/>
      <c r="DR95" s="1520"/>
      <c r="DS95" s="1520"/>
      <c r="DT95" s="1520"/>
      <c r="DU95" s="1520"/>
      <c r="DV95" s="1520"/>
      <c r="DW95" s="1520"/>
      <c r="DX95" s="1520"/>
      <c r="DY95" s="1520"/>
      <c r="DZ95" s="1520"/>
      <c r="EA95" s="1520"/>
      <c r="EB95" s="1520"/>
      <c r="EC95" s="1520"/>
      <c r="ED95" s="1520"/>
      <c r="EE95" s="1520"/>
      <c r="EF95" s="1520"/>
      <c r="EG95" s="1520"/>
      <c r="EH95" s="1520"/>
      <c r="EI95" s="1520"/>
      <c r="EJ95" s="1520"/>
      <c r="EK95" s="1520"/>
      <c r="EL95" s="1520"/>
      <c r="EM95" s="1520"/>
      <c r="EN95" s="1520"/>
      <c r="EO95" s="1520"/>
      <c r="EP95" s="1520"/>
      <c r="EQ95" s="1520"/>
      <c r="ER95" s="1520"/>
      <c r="ES95" s="1520"/>
      <c r="ET95" s="1520"/>
      <c r="EU95" s="1520"/>
      <c r="EV95" s="1520"/>
      <c r="EW95" s="1520"/>
      <c r="EX95" s="1520"/>
      <c r="EY95" s="1520"/>
      <c r="EZ95" s="1520"/>
      <c r="FA95" s="1520"/>
      <c r="FB95" s="1520"/>
      <c r="FC95" s="1520"/>
      <c r="FD95" s="2434"/>
      <c r="FE95" s="466"/>
      <c r="FF95" s="466"/>
      <c r="FG95" s="466"/>
      <c r="FH95" s="466"/>
      <c r="FI95" s="466"/>
      <c r="FJ95" s="466"/>
      <c r="FK95" s="466"/>
      <c r="FL95" s="466"/>
      <c r="FM95" s="466"/>
      <c r="FN95" s="466"/>
      <c r="FO95" s="466"/>
      <c r="FP95" s="466"/>
      <c r="FQ95" s="466"/>
      <c r="FR95" s="466"/>
      <c r="FS95" s="466"/>
      <c r="FT95" s="466"/>
      <c r="FU95" s="466"/>
      <c r="FV95" s="466"/>
      <c r="FW95" s="466"/>
      <c r="FX95" s="466"/>
      <c r="FY95" s="466"/>
      <c r="FZ95" s="466"/>
      <c r="GA95" s="466"/>
      <c r="GB95" s="466"/>
      <c r="GC95" s="466"/>
      <c r="GD95" s="466"/>
      <c r="GE95" s="466"/>
      <c r="GF95" s="466"/>
      <c r="GG95" s="466"/>
      <c r="GH95" s="466"/>
      <c r="GI95" s="466"/>
      <c r="GJ95" s="466"/>
      <c r="GK95" s="466"/>
      <c r="GL95" s="466"/>
      <c r="GM95" s="466"/>
      <c r="GN95" s="466"/>
      <c r="GO95" s="1564"/>
      <c r="GP95" s="1564"/>
      <c r="GQ95" s="1564"/>
      <c r="GR95" s="1564"/>
      <c r="GS95" s="1565"/>
      <c r="GT95" s="1565"/>
      <c r="GU95" s="1526"/>
      <c r="GV95" s="466"/>
      <c r="GW95" s="466"/>
      <c r="GX95" s="466"/>
      <c r="GY95" s="466"/>
      <c r="GZ95" s="466"/>
      <c r="HA95" s="466"/>
      <c r="HB95" s="466"/>
      <c r="HC95" s="466"/>
      <c r="HD95" s="466"/>
      <c r="HE95" s="844"/>
      <c r="HF95" s="844"/>
      <c r="HG95" s="844"/>
      <c r="HH95" s="844"/>
      <c r="HI95" s="844"/>
      <c r="HJ95" s="844"/>
      <c r="HK95" s="844"/>
      <c r="HL95" s="844"/>
      <c r="HM95" s="844"/>
      <c r="HN95" s="844"/>
      <c r="HO95" s="1575"/>
      <c r="HP95" s="466"/>
      <c r="HQ95" s="466"/>
      <c r="HR95" s="466"/>
      <c r="HS95" s="415"/>
      <c r="HT95" s="2292"/>
    </row>
    <row r="96" spans="1:237">
      <c r="C96" s="466"/>
      <c r="D96" s="466"/>
      <c r="E96" s="3850"/>
      <c r="F96" s="516"/>
      <c r="G96" s="513"/>
      <c r="H96" s="525"/>
      <c r="I96" s="525"/>
      <c r="J96" s="523"/>
      <c r="K96" s="519"/>
      <c r="L96" s="466"/>
      <c r="M96" s="516"/>
      <c r="N96" s="513"/>
      <c r="O96" s="513"/>
      <c r="P96" s="510"/>
      <c r="Q96" s="510"/>
      <c r="R96" s="510"/>
      <c r="S96" s="510"/>
      <c r="T96" s="510"/>
      <c r="U96" s="510"/>
      <c r="V96" s="510"/>
      <c r="W96" s="510"/>
      <c r="X96" s="510"/>
      <c r="Y96" s="510"/>
      <c r="Z96" s="510"/>
      <c r="AA96" s="510"/>
      <c r="AB96" s="510"/>
      <c r="AC96" s="510"/>
      <c r="AD96" s="510"/>
      <c r="AE96" s="510"/>
      <c r="AF96" s="510"/>
      <c r="AG96" s="510"/>
      <c r="AH96" s="510"/>
      <c r="AI96" s="510"/>
      <c r="AJ96" s="510"/>
      <c r="AK96" s="510"/>
      <c r="AL96" s="510"/>
      <c r="AM96" s="510"/>
      <c r="AN96" s="510"/>
      <c r="AO96" s="510"/>
      <c r="AP96" s="510"/>
      <c r="AQ96" s="510"/>
      <c r="AR96" s="510"/>
      <c r="AS96" s="510"/>
      <c r="AT96" s="510"/>
      <c r="AU96" s="510"/>
      <c r="AV96" s="510"/>
      <c r="AW96" s="510"/>
      <c r="AX96" s="510"/>
      <c r="AY96" s="510"/>
      <c r="AZ96" s="466"/>
      <c r="BA96" s="466"/>
      <c r="BB96" s="466"/>
      <c r="BC96" s="466"/>
      <c r="BD96" s="466"/>
      <c r="BE96" s="466"/>
      <c r="BF96" s="466"/>
      <c r="BG96" s="466"/>
      <c r="BH96" s="466"/>
      <c r="BI96" s="466"/>
      <c r="BJ96" s="466"/>
      <c r="BK96" s="466"/>
      <c r="BL96" s="466"/>
      <c r="BM96" s="518"/>
      <c r="BN96" s="524"/>
      <c r="BO96" s="518"/>
      <c r="BP96" s="518"/>
      <c r="BQ96" s="518"/>
      <c r="BR96" s="466"/>
      <c r="BS96" s="466"/>
      <c r="BT96" s="466"/>
      <c r="BU96" s="466"/>
      <c r="BV96" s="466"/>
      <c r="BW96" s="466"/>
      <c r="BX96" s="466"/>
      <c r="BY96" s="466"/>
      <c r="BZ96" s="466"/>
      <c r="CA96" s="466"/>
      <c r="CB96" s="466"/>
      <c r="CC96" s="466"/>
      <c r="CD96" s="466"/>
      <c r="CE96" s="466"/>
      <c r="CF96" s="466"/>
      <c r="CG96" s="466"/>
      <c r="CH96" s="466"/>
      <c r="CI96" s="466"/>
      <c r="CJ96" s="466"/>
      <c r="CK96" s="466"/>
      <c r="CL96" s="466"/>
      <c r="CM96" s="466"/>
      <c r="CN96" s="466"/>
      <c r="CO96" s="466"/>
      <c r="CP96" s="466"/>
      <c r="CQ96" s="466"/>
      <c r="CR96" s="466"/>
      <c r="CS96" s="466"/>
      <c r="CT96" s="466"/>
      <c r="CU96" s="466"/>
      <c r="CV96" s="466"/>
      <c r="CW96" s="466"/>
      <c r="CX96" s="466"/>
      <c r="CY96" s="466"/>
      <c r="CZ96" s="466"/>
      <c r="DA96" s="466"/>
      <c r="DB96" s="466"/>
      <c r="DC96" s="466"/>
      <c r="DD96" s="466"/>
      <c r="DE96" s="466"/>
      <c r="DF96" s="466"/>
      <c r="DG96" s="466"/>
      <c r="DH96" s="1520"/>
      <c r="DI96" s="1520"/>
      <c r="DJ96" s="1520"/>
      <c r="DK96" s="1520"/>
      <c r="DL96" s="1520"/>
      <c r="DM96" s="1520"/>
      <c r="DN96" s="1520"/>
      <c r="DO96" s="1520"/>
      <c r="DP96" s="1520"/>
      <c r="DQ96" s="1520"/>
      <c r="DR96" s="1520"/>
      <c r="DS96" s="1520"/>
      <c r="DT96" s="1520"/>
      <c r="DU96" s="1520"/>
      <c r="DV96" s="1520"/>
      <c r="DW96" s="1520"/>
      <c r="DX96" s="1520"/>
      <c r="DY96" s="1520"/>
      <c r="DZ96" s="1520"/>
      <c r="EA96" s="1520"/>
      <c r="EB96" s="1520"/>
      <c r="EC96" s="1520"/>
      <c r="ED96" s="1520"/>
      <c r="EE96" s="1520"/>
      <c r="EF96" s="1520"/>
      <c r="EG96" s="1520"/>
      <c r="EH96" s="1520"/>
      <c r="EI96" s="1520"/>
      <c r="EJ96" s="1520"/>
      <c r="EK96" s="1520"/>
      <c r="EL96" s="1520"/>
      <c r="EM96" s="1520"/>
      <c r="EN96" s="1520"/>
      <c r="EO96" s="1520"/>
      <c r="EP96" s="1520"/>
      <c r="EQ96" s="1520"/>
      <c r="ER96" s="1520"/>
      <c r="ES96" s="1520"/>
      <c r="ET96" s="1520"/>
      <c r="EU96" s="1520"/>
      <c r="EV96" s="1520"/>
      <c r="EW96" s="1520"/>
      <c r="EX96" s="1520"/>
      <c r="EY96" s="1520"/>
      <c r="EZ96" s="1520"/>
      <c r="FA96" s="1520"/>
      <c r="FB96" s="1520"/>
      <c r="FC96" s="1520"/>
      <c r="FD96" s="2434"/>
      <c r="FE96" s="466"/>
      <c r="FF96" s="466"/>
      <c r="FG96" s="466"/>
      <c r="FH96" s="466"/>
      <c r="FI96" s="466"/>
      <c r="FJ96" s="466"/>
      <c r="FK96" s="466"/>
      <c r="FL96" s="466"/>
      <c r="FM96" s="466"/>
      <c r="FN96" s="466"/>
      <c r="FO96" s="466"/>
      <c r="FP96" s="466"/>
      <c r="FQ96" s="466"/>
      <c r="FR96" s="466"/>
      <c r="FS96" s="466"/>
      <c r="FT96" s="466"/>
      <c r="FU96" s="466"/>
      <c r="FV96" s="466"/>
      <c r="FW96" s="466"/>
      <c r="FX96" s="466"/>
      <c r="FY96" s="466"/>
      <c r="FZ96" s="466"/>
      <c r="GA96" s="466"/>
      <c r="GB96" s="466"/>
      <c r="GC96" s="466"/>
      <c r="GD96" s="466"/>
      <c r="GE96" s="466"/>
      <c r="GF96" s="466"/>
      <c r="GG96" s="466"/>
      <c r="GH96" s="466"/>
      <c r="GI96" s="466"/>
      <c r="GJ96" s="466"/>
      <c r="GK96" s="466"/>
      <c r="GL96" s="466"/>
      <c r="GM96" s="466"/>
      <c r="GN96" s="466"/>
      <c r="GO96" s="1564"/>
      <c r="GP96" s="1564"/>
      <c r="GQ96" s="1564"/>
      <c r="GR96" s="1564"/>
      <c r="GS96" s="1565"/>
      <c r="GT96" s="1565"/>
      <c r="GU96" s="1526"/>
      <c r="GV96" s="466"/>
      <c r="GW96" s="466"/>
      <c r="GX96" s="466"/>
      <c r="GY96" s="466"/>
      <c r="GZ96" s="466"/>
      <c r="HA96" s="466"/>
      <c r="HB96" s="466"/>
      <c r="HC96" s="466"/>
      <c r="HD96" s="466"/>
      <c r="HE96" s="844"/>
      <c r="HF96" s="844"/>
      <c r="HG96" s="844"/>
      <c r="HH96" s="844"/>
      <c r="HI96" s="844"/>
      <c r="HJ96" s="844"/>
      <c r="HK96" s="844"/>
      <c r="HL96" s="844"/>
      <c r="HM96" s="844"/>
      <c r="HN96" s="844"/>
      <c r="HO96" s="1575"/>
      <c r="HP96" s="466"/>
      <c r="HQ96" s="466"/>
      <c r="HR96" s="466"/>
      <c r="HS96" s="415"/>
      <c r="HT96" s="2292"/>
    </row>
    <row r="97" spans="3:228">
      <c r="C97" s="466"/>
      <c r="D97" s="466"/>
      <c r="E97" s="3850"/>
      <c r="F97" s="516"/>
      <c r="G97" s="513"/>
      <c r="H97" s="525"/>
      <c r="I97" s="525"/>
      <c r="J97" s="523"/>
      <c r="K97" s="519"/>
      <c r="L97" s="466"/>
      <c r="M97" s="516"/>
      <c r="N97" s="513"/>
      <c r="O97" s="513"/>
      <c r="P97" s="510"/>
      <c r="Q97" s="510"/>
      <c r="R97" s="510"/>
      <c r="S97" s="510"/>
      <c r="T97" s="510"/>
      <c r="U97" s="510"/>
      <c r="V97" s="510"/>
      <c r="W97" s="510"/>
      <c r="X97" s="510"/>
      <c r="Y97" s="510"/>
      <c r="Z97" s="510"/>
      <c r="AA97" s="510"/>
      <c r="AB97" s="510"/>
      <c r="AC97" s="510"/>
      <c r="AD97" s="510"/>
      <c r="AE97" s="510"/>
      <c r="AF97" s="510"/>
      <c r="AG97" s="510"/>
      <c r="AH97" s="510"/>
      <c r="AI97" s="510"/>
      <c r="AJ97" s="510"/>
      <c r="AK97" s="510"/>
      <c r="AL97" s="510"/>
      <c r="AM97" s="510"/>
      <c r="AN97" s="510"/>
      <c r="AO97" s="510"/>
      <c r="AP97" s="510"/>
      <c r="AQ97" s="510"/>
      <c r="AR97" s="510"/>
      <c r="AS97" s="510"/>
      <c r="AT97" s="510"/>
      <c r="AU97" s="510"/>
      <c r="AV97" s="510"/>
      <c r="AW97" s="510"/>
      <c r="AX97" s="510"/>
      <c r="AY97" s="510"/>
      <c r="AZ97" s="466"/>
      <c r="BA97" s="466"/>
      <c r="BB97" s="466"/>
      <c r="BC97" s="466"/>
      <c r="BD97" s="466"/>
      <c r="BE97" s="466"/>
      <c r="BF97" s="466"/>
      <c r="BG97" s="466"/>
      <c r="BH97" s="466"/>
      <c r="BI97" s="466"/>
      <c r="BJ97" s="466"/>
      <c r="BK97" s="466"/>
      <c r="BL97" s="466"/>
      <c r="BM97" s="518"/>
      <c r="BN97" s="524"/>
      <c r="BO97" s="518"/>
      <c r="BP97" s="518"/>
      <c r="BQ97" s="518"/>
      <c r="BR97" s="466"/>
      <c r="BS97" s="466"/>
      <c r="BT97" s="466"/>
      <c r="BU97" s="466"/>
      <c r="BV97" s="466"/>
      <c r="BW97" s="466"/>
      <c r="BX97" s="466"/>
      <c r="BY97" s="466"/>
      <c r="BZ97" s="466"/>
      <c r="CA97" s="466"/>
      <c r="CB97" s="466"/>
      <c r="CC97" s="466"/>
      <c r="CD97" s="466"/>
      <c r="CE97" s="466"/>
      <c r="CF97" s="466"/>
      <c r="CG97" s="466"/>
      <c r="CH97" s="466"/>
      <c r="CI97" s="466"/>
      <c r="CJ97" s="466"/>
      <c r="CK97" s="466"/>
      <c r="CL97" s="466"/>
      <c r="CM97" s="466"/>
      <c r="CN97" s="466"/>
      <c r="CO97" s="466"/>
      <c r="CP97" s="466"/>
      <c r="CQ97" s="466"/>
      <c r="CR97" s="466"/>
      <c r="CS97" s="466"/>
      <c r="CT97" s="466"/>
      <c r="CU97" s="466"/>
      <c r="CV97" s="466"/>
      <c r="CW97" s="466"/>
      <c r="CX97" s="466"/>
      <c r="CY97" s="466"/>
      <c r="CZ97" s="466"/>
      <c r="DA97" s="466"/>
      <c r="DB97" s="466"/>
      <c r="DC97" s="466"/>
      <c r="DD97" s="466"/>
      <c r="DE97" s="466"/>
      <c r="DF97" s="466"/>
      <c r="DG97" s="466"/>
      <c r="DH97" s="1520"/>
      <c r="DI97" s="1520"/>
      <c r="DJ97" s="1520"/>
      <c r="DK97" s="1520"/>
      <c r="DL97" s="1520"/>
      <c r="DM97" s="1520"/>
      <c r="DN97" s="1520"/>
      <c r="DO97" s="1520"/>
      <c r="DP97" s="1520"/>
      <c r="DQ97" s="1520"/>
      <c r="DR97" s="1520"/>
      <c r="DS97" s="1520"/>
      <c r="DT97" s="1520"/>
      <c r="DU97" s="1520"/>
      <c r="DV97" s="1520"/>
      <c r="DW97" s="1520"/>
      <c r="DX97" s="1520"/>
      <c r="DY97" s="1520"/>
      <c r="DZ97" s="1520"/>
      <c r="EA97" s="1520"/>
      <c r="EB97" s="1520"/>
      <c r="EC97" s="1520"/>
      <c r="ED97" s="1520"/>
      <c r="EE97" s="1520"/>
      <c r="EF97" s="1520"/>
      <c r="EG97" s="1520"/>
      <c r="EH97" s="1520"/>
      <c r="EI97" s="1520"/>
      <c r="EJ97" s="1520"/>
      <c r="EK97" s="1520"/>
      <c r="EL97" s="1520"/>
      <c r="EM97" s="1520"/>
      <c r="EN97" s="1520"/>
      <c r="EO97" s="1520"/>
      <c r="EP97" s="1520"/>
      <c r="EQ97" s="1520"/>
      <c r="ER97" s="1520"/>
      <c r="ES97" s="1520"/>
      <c r="ET97" s="1520"/>
      <c r="EU97" s="1520"/>
      <c r="EV97" s="1520"/>
      <c r="EW97" s="1520"/>
      <c r="EX97" s="1520"/>
      <c r="EY97" s="1520"/>
      <c r="EZ97" s="1520"/>
      <c r="FA97" s="1520"/>
      <c r="FB97" s="1520"/>
      <c r="FC97" s="1520"/>
      <c r="FD97" s="2434"/>
      <c r="FE97" s="466"/>
      <c r="FF97" s="466"/>
      <c r="FG97" s="466"/>
      <c r="FH97" s="466"/>
      <c r="FI97" s="466"/>
      <c r="FJ97" s="466"/>
      <c r="FK97" s="466"/>
      <c r="FL97" s="466"/>
      <c r="FM97" s="466"/>
      <c r="FN97" s="466"/>
      <c r="FO97" s="466"/>
      <c r="FP97" s="466"/>
      <c r="FQ97" s="466"/>
      <c r="FR97" s="466"/>
      <c r="FS97" s="466"/>
      <c r="FT97" s="466"/>
      <c r="FU97" s="466"/>
      <c r="FV97" s="466"/>
      <c r="FW97" s="466"/>
      <c r="FX97" s="466"/>
      <c r="FY97" s="466"/>
      <c r="FZ97" s="466"/>
      <c r="GA97" s="466"/>
      <c r="GB97" s="466"/>
      <c r="GC97" s="466"/>
      <c r="GD97" s="466"/>
      <c r="GE97" s="466"/>
      <c r="GF97" s="466"/>
      <c r="GG97" s="466"/>
      <c r="GH97" s="466"/>
      <c r="GI97" s="466"/>
      <c r="GJ97" s="466"/>
      <c r="GK97" s="466"/>
      <c r="GL97" s="466"/>
      <c r="GM97" s="466"/>
      <c r="GN97" s="466"/>
      <c r="GO97" s="1564"/>
      <c r="GP97" s="1564"/>
      <c r="GQ97" s="1564"/>
      <c r="GR97" s="1564"/>
      <c r="GS97" s="1565"/>
      <c r="GT97" s="1565"/>
      <c r="GU97" s="1526"/>
      <c r="GV97" s="466"/>
      <c r="GW97" s="466"/>
      <c r="GX97" s="466"/>
      <c r="GY97" s="466"/>
      <c r="GZ97" s="466"/>
      <c r="HA97" s="466"/>
      <c r="HB97" s="466"/>
      <c r="HC97" s="466"/>
      <c r="HD97" s="466"/>
      <c r="HE97" s="844"/>
      <c r="HF97" s="844"/>
      <c r="HG97" s="844"/>
      <c r="HH97" s="844"/>
      <c r="HI97" s="844"/>
      <c r="HJ97" s="844"/>
      <c r="HK97" s="844"/>
      <c r="HL97" s="844"/>
      <c r="HM97" s="844"/>
      <c r="HN97" s="844"/>
      <c r="HO97" s="1575"/>
      <c r="HP97" s="466"/>
      <c r="HQ97" s="466"/>
      <c r="HR97" s="466"/>
      <c r="HS97" s="415"/>
      <c r="HT97" s="2292"/>
    </row>
    <row r="98" spans="3:228">
      <c r="C98" s="466"/>
      <c r="D98" s="466"/>
      <c r="E98" s="3850"/>
      <c r="F98" s="516"/>
      <c r="G98" s="513"/>
      <c r="H98" s="525"/>
      <c r="I98" s="525"/>
      <c r="J98" s="523"/>
      <c r="K98" s="519"/>
      <c r="L98" s="466"/>
      <c r="M98" s="516"/>
      <c r="N98" s="513"/>
      <c r="O98" s="513"/>
      <c r="P98" s="510"/>
      <c r="Q98" s="510"/>
      <c r="R98" s="510"/>
      <c r="S98" s="510"/>
      <c r="T98" s="510"/>
      <c r="U98" s="510"/>
      <c r="V98" s="510"/>
      <c r="W98" s="510"/>
      <c r="X98" s="510"/>
      <c r="Y98" s="510"/>
      <c r="Z98" s="510"/>
      <c r="AA98" s="510"/>
      <c r="AB98" s="510"/>
      <c r="AC98" s="510"/>
      <c r="AD98" s="510"/>
      <c r="AE98" s="510"/>
      <c r="AF98" s="510"/>
      <c r="AG98" s="510"/>
      <c r="AH98" s="510"/>
      <c r="AI98" s="510"/>
      <c r="AJ98" s="510"/>
      <c r="AK98" s="510"/>
      <c r="AL98" s="510"/>
      <c r="AM98" s="510"/>
      <c r="AN98" s="510"/>
      <c r="AO98" s="510"/>
      <c r="AP98" s="510"/>
      <c r="AQ98" s="510"/>
      <c r="AR98" s="510"/>
      <c r="AS98" s="510"/>
      <c r="AT98" s="510"/>
      <c r="AU98" s="510"/>
      <c r="AV98" s="510"/>
      <c r="AW98" s="510"/>
      <c r="AX98" s="510"/>
      <c r="AY98" s="510"/>
      <c r="AZ98" s="466"/>
      <c r="BA98" s="466"/>
      <c r="BB98" s="466"/>
      <c r="BC98" s="466"/>
      <c r="BD98" s="466"/>
      <c r="BE98" s="466"/>
      <c r="BF98" s="466"/>
      <c r="BG98" s="466"/>
      <c r="BH98" s="466"/>
      <c r="BI98" s="466"/>
      <c r="BJ98" s="466"/>
      <c r="BK98" s="466"/>
      <c r="BL98" s="466"/>
      <c r="BM98" s="518"/>
      <c r="BN98" s="524"/>
      <c r="BO98" s="518"/>
      <c r="BP98" s="518"/>
      <c r="BQ98" s="518"/>
      <c r="BR98" s="466"/>
      <c r="BS98" s="466"/>
      <c r="BT98" s="466"/>
      <c r="BU98" s="466"/>
      <c r="BV98" s="466"/>
      <c r="BW98" s="466"/>
      <c r="BX98" s="466"/>
      <c r="BY98" s="466"/>
      <c r="BZ98" s="466"/>
      <c r="CA98" s="466"/>
      <c r="CB98" s="466"/>
      <c r="CC98" s="466"/>
      <c r="CD98" s="466"/>
      <c r="CE98" s="466"/>
      <c r="CF98" s="466"/>
      <c r="CG98" s="466"/>
      <c r="CH98" s="466"/>
      <c r="CI98" s="466"/>
      <c r="CJ98" s="466"/>
      <c r="CK98" s="466"/>
      <c r="CL98" s="466"/>
      <c r="CM98" s="466"/>
      <c r="CN98" s="466"/>
      <c r="CO98" s="466"/>
      <c r="CP98" s="466"/>
      <c r="CQ98" s="466"/>
      <c r="CR98" s="466"/>
      <c r="CS98" s="466"/>
      <c r="CT98" s="466"/>
      <c r="CU98" s="466"/>
      <c r="CV98" s="466"/>
      <c r="CW98" s="466"/>
      <c r="CX98" s="466"/>
      <c r="CY98" s="466"/>
      <c r="CZ98" s="466"/>
      <c r="DA98" s="466"/>
      <c r="DB98" s="466"/>
      <c r="DC98" s="466"/>
      <c r="DD98" s="466"/>
      <c r="DE98" s="466"/>
      <c r="DF98" s="466"/>
      <c r="DG98" s="466"/>
      <c r="DH98" s="1520"/>
      <c r="DI98" s="1520"/>
      <c r="DJ98" s="1520"/>
      <c r="DK98" s="1520"/>
      <c r="DL98" s="1520"/>
      <c r="DM98" s="1520"/>
      <c r="DN98" s="1520"/>
      <c r="DO98" s="1520"/>
      <c r="DP98" s="1520"/>
      <c r="DQ98" s="1520"/>
      <c r="DR98" s="1520"/>
      <c r="DS98" s="1520"/>
      <c r="DT98" s="1520"/>
      <c r="DU98" s="1520"/>
      <c r="DV98" s="1520"/>
      <c r="DW98" s="1520"/>
      <c r="DX98" s="1520"/>
      <c r="DY98" s="1520"/>
      <c r="DZ98" s="1520"/>
      <c r="EA98" s="1520"/>
      <c r="EB98" s="1520"/>
      <c r="EC98" s="1520"/>
      <c r="ED98" s="1520"/>
      <c r="EE98" s="1520"/>
      <c r="EF98" s="1520"/>
      <c r="EG98" s="1520"/>
      <c r="EH98" s="1520"/>
      <c r="EI98" s="1520"/>
      <c r="EJ98" s="1520"/>
      <c r="EK98" s="1520"/>
      <c r="EL98" s="1520"/>
      <c r="EM98" s="1520"/>
      <c r="EN98" s="1520"/>
      <c r="EO98" s="1520"/>
      <c r="EP98" s="1520"/>
      <c r="EQ98" s="1520"/>
      <c r="ER98" s="1520"/>
      <c r="ES98" s="1520"/>
      <c r="ET98" s="1520"/>
      <c r="EU98" s="1520"/>
      <c r="EV98" s="1520"/>
      <c r="EW98" s="1520"/>
      <c r="EX98" s="1520"/>
      <c r="EY98" s="1520"/>
      <c r="EZ98" s="1520"/>
      <c r="FA98" s="1520"/>
      <c r="FB98" s="1520"/>
      <c r="FC98" s="1520"/>
      <c r="FD98" s="2434"/>
      <c r="FE98" s="466"/>
      <c r="FF98" s="466"/>
      <c r="FG98" s="466"/>
      <c r="FH98" s="466"/>
      <c r="FI98" s="466"/>
      <c r="FJ98" s="466"/>
      <c r="FK98" s="466"/>
      <c r="FL98" s="466"/>
      <c r="FM98" s="466"/>
      <c r="FN98" s="466"/>
      <c r="FO98" s="466"/>
      <c r="FP98" s="466"/>
      <c r="FQ98" s="466"/>
      <c r="FR98" s="466"/>
      <c r="FS98" s="466"/>
      <c r="FT98" s="466"/>
      <c r="FU98" s="466"/>
      <c r="FV98" s="466"/>
      <c r="FW98" s="466"/>
      <c r="FX98" s="466"/>
      <c r="FY98" s="466"/>
      <c r="FZ98" s="466"/>
      <c r="GA98" s="466"/>
      <c r="GB98" s="466"/>
      <c r="GC98" s="466"/>
      <c r="GD98" s="466"/>
      <c r="GE98" s="466"/>
      <c r="GF98" s="466"/>
      <c r="GG98" s="466"/>
      <c r="GH98" s="466"/>
      <c r="GI98" s="466"/>
      <c r="GJ98" s="466"/>
      <c r="GK98" s="466"/>
      <c r="GL98" s="466"/>
      <c r="GM98" s="466"/>
      <c r="GN98" s="466"/>
      <c r="GO98" s="1564"/>
      <c r="GP98" s="1564"/>
      <c r="GQ98" s="1564"/>
      <c r="GR98" s="1564"/>
      <c r="GS98" s="1565"/>
      <c r="GT98" s="1565"/>
      <c r="GU98" s="1526"/>
      <c r="GV98" s="466"/>
      <c r="GW98" s="466"/>
      <c r="GX98" s="466"/>
      <c r="GY98" s="466"/>
      <c r="GZ98" s="466"/>
      <c r="HA98" s="466"/>
      <c r="HB98" s="466"/>
      <c r="HC98" s="466"/>
      <c r="HD98" s="466"/>
      <c r="HE98" s="844"/>
      <c r="HF98" s="844"/>
      <c r="HG98" s="844"/>
      <c r="HH98" s="844"/>
      <c r="HI98" s="844"/>
      <c r="HJ98" s="844"/>
      <c r="HK98" s="844"/>
      <c r="HL98" s="844"/>
      <c r="HM98" s="844"/>
      <c r="HN98" s="844"/>
      <c r="HO98" s="1575"/>
      <c r="HP98" s="466"/>
      <c r="HQ98" s="466"/>
      <c r="HR98" s="466"/>
      <c r="HS98" s="415"/>
      <c r="HT98" s="2292"/>
    </row>
    <row r="99" spans="3:228">
      <c r="C99" s="466"/>
      <c r="D99" s="466"/>
      <c r="E99" s="3850"/>
      <c r="F99" s="516"/>
      <c r="G99" s="513"/>
      <c r="H99" s="525"/>
      <c r="I99" s="525"/>
      <c r="J99" s="523"/>
      <c r="K99" s="519"/>
      <c r="L99" s="466"/>
      <c r="M99" s="516"/>
      <c r="N99" s="513"/>
      <c r="O99" s="513"/>
      <c r="P99" s="510"/>
      <c r="Q99" s="510"/>
      <c r="R99" s="510"/>
      <c r="S99" s="510"/>
      <c r="T99" s="510"/>
      <c r="U99" s="510"/>
      <c r="V99" s="510"/>
      <c r="W99" s="510"/>
      <c r="X99" s="510"/>
      <c r="Y99" s="510"/>
      <c r="Z99" s="510"/>
      <c r="AA99" s="510"/>
      <c r="AB99" s="510"/>
      <c r="AC99" s="510"/>
      <c r="AD99" s="510"/>
      <c r="AE99" s="510"/>
      <c r="AF99" s="510"/>
      <c r="AG99" s="510"/>
      <c r="AH99" s="510"/>
      <c r="AI99" s="510"/>
      <c r="AJ99" s="510"/>
      <c r="AK99" s="510"/>
      <c r="AL99" s="510"/>
      <c r="AM99" s="510"/>
      <c r="AN99" s="510"/>
      <c r="AO99" s="510"/>
      <c r="AP99" s="510"/>
      <c r="AQ99" s="510"/>
      <c r="AR99" s="510"/>
      <c r="AS99" s="510"/>
      <c r="AT99" s="510"/>
      <c r="AU99" s="510"/>
      <c r="AV99" s="510"/>
      <c r="AW99" s="510"/>
      <c r="AX99" s="510"/>
      <c r="AY99" s="510"/>
      <c r="AZ99" s="466"/>
      <c r="BA99" s="466"/>
      <c r="BB99" s="466"/>
      <c r="BC99" s="466"/>
      <c r="BD99" s="466"/>
      <c r="BE99" s="466"/>
      <c r="BF99" s="466"/>
      <c r="BG99" s="466"/>
      <c r="BH99" s="466"/>
      <c r="BI99" s="466"/>
      <c r="BJ99" s="466"/>
      <c r="BK99" s="466"/>
      <c r="BL99" s="466"/>
      <c r="BM99" s="518"/>
      <c r="BN99" s="524"/>
      <c r="BO99" s="518"/>
      <c r="BP99" s="518"/>
      <c r="BQ99" s="518"/>
      <c r="BR99" s="466"/>
      <c r="BS99" s="466"/>
      <c r="BT99" s="466"/>
      <c r="BU99" s="466"/>
      <c r="BV99" s="466"/>
      <c r="BW99" s="466"/>
      <c r="BX99" s="466"/>
      <c r="BY99" s="466"/>
      <c r="BZ99" s="466"/>
      <c r="CA99" s="466"/>
      <c r="CB99" s="466"/>
      <c r="CC99" s="466"/>
      <c r="CD99" s="466"/>
      <c r="CE99" s="466"/>
      <c r="CF99" s="466"/>
      <c r="CG99" s="466"/>
      <c r="CH99" s="466"/>
      <c r="CI99" s="466"/>
      <c r="CJ99" s="466"/>
      <c r="CK99" s="466"/>
      <c r="CL99" s="466"/>
      <c r="CM99" s="466"/>
      <c r="CN99" s="466"/>
      <c r="CO99" s="466"/>
      <c r="CP99" s="466"/>
      <c r="CQ99" s="466"/>
      <c r="CR99" s="466"/>
      <c r="CS99" s="466"/>
      <c r="CT99" s="466"/>
      <c r="CU99" s="466"/>
      <c r="CV99" s="466"/>
      <c r="CW99" s="466"/>
      <c r="CX99" s="466"/>
      <c r="CY99" s="466"/>
      <c r="CZ99" s="466"/>
      <c r="DA99" s="466"/>
      <c r="DB99" s="466"/>
      <c r="DC99" s="466"/>
      <c r="DD99" s="466"/>
      <c r="DE99" s="466"/>
      <c r="DF99" s="466"/>
      <c r="DG99" s="466"/>
      <c r="DH99" s="1520"/>
      <c r="DI99" s="1520"/>
      <c r="DJ99" s="1520"/>
      <c r="DK99" s="1520"/>
      <c r="DL99" s="1520"/>
      <c r="DM99" s="1520"/>
      <c r="DN99" s="1520"/>
      <c r="DO99" s="1520"/>
      <c r="DP99" s="1520"/>
      <c r="DQ99" s="1520"/>
      <c r="DR99" s="1520"/>
      <c r="DS99" s="1520"/>
      <c r="DT99" s="1520"/>
      <c r="DU99" s="1520"/>
      <c r="DV99" s="1520"/>
      <c r="DW99" s="1520"/>
      <c r="DX99" s="1520"/>
      <c r="DY99" s="1520"/>
      <c r="DZ99" s="1520"/>
      <c r="EA99" s="1520"/>
      <c r="EB99" s="1520"/>
      <c r="EC99" s="1520"/>
      <c r="ED99" s="1520"/>
      <c r="EE99" s="1520"/>
      <c r="EF99" s="1520"/>
      <c r="EG99" s="1520"/>
      <c r="EH99" s="1520"/>
      <c r="EI99" s="1520"/>
      <c r="EJ99" s="1520"/>
      <c r="EK99" s="1520"/>
      <c r="EL99" s="1520"/>
      <c r="EM99" s="1520"/>
      <c r="EN99" s="1520"/>
      <c r="EO99" s="1520"/>
      <c r="EP99" s="1520"/>
      <c r="EQ99" s="1520"/>
      <c r="ER99" s="1520"/>
      <c r="ES99" s="1520"/>
      <c r="ET99" s="1520"/>
      <c r="EU99" s="1520"/>
      <c r="EV99" s="1520"/>
      <c r="EW99" s="1520"/>
      <c r="EX99" s="1520"/>
      <c r="EY99" s="1520"/>
      <c r="EZ99" s="1520"/>
      <c r="FA99" s="1520"/>
      <c r="FB99" s="1520"/>
      <c r="FC99" s="1520"/>
      <c r="FD99" s="2434"/>
      <c r="FE99" s="466"/>
      <c r="FF99" s="466"/>
      <c r="FG99" s="466"/>
      <c r="FH99" s="466"/>
      <c r="FI99" s="466"/>
      <c r="FJ99" s="466"/>
      <c r="FK99" s="466"/>
      <c r="FL99" s="466"/>
      <c r="FM99" s="466"/>
      <c r="FN99" s="466"/>
      <c r="FO99" s="466"/>
      <c r="FP99" s="466"/>
      <c r="FQ99" s="466"/>
      <c r="FR99" s="466"/>
      <c r="FS99" s="466"/>
      <c r="FT99" s="466"/>
      <c r="FU99" s="466"/>
      <c r="FV99" s="466"/>
      <c r="FW99" s="466"/>
      <c r="FX99" s="466"/>
      <c r="FY99" s="466"/>
      <c r="FZ99" s="466"/>
      <c r="GA99" s="466"/>
      <c r="GB99" s="466"/>
      <c r="GC99" s="466"/>
      <c r="GD99" s="466"/>
      <c r="GE99" s="466"/>
      <c r="GF99" s="466"/>
      <c r="GG99" s="466"/>
      <c r="GH99" s="466"/>
      <c r="GI99" s="466"/>
      <c r="GJ99" s="466"/>
      <c r="GK99" s="466"/>
      <c r="GL99" s="466"/>
      <c r="GM99" s="466"/>
      <c r="GN99" s="466"/>
      <c r="GO99" s="1564"/>
      <c r="GP99" s="1564"/>
      <c r="GQ99" s="1564"/>
      <c r="GR99" s="1564"/>
      <c r="GS99" s="1565"/>
      <c r="GT99" s="1565"/>
      <c r="GU99" s="1526"/>
      <c r="GV99" s="466"/>
      <c r="GW99" s="466"/>
      <c r="GX99" s="466"/>
      <c r="GY99" s="466"/>
      <c r="GZ99" s="466"/>
      <c r="HA99" s="466"/>
      <c r="HB99" s="466"/>
      <c r="HC99" s="466"/>
      <c r="HD99" s="466"/>
      <c r="HE99" s="844"/>
      <c r="HF99" s="844"/>
      <c r="HG99" s="844"/>
      <c r="HH99" s="844"/>
      <c r="HI99" s="844"/>
      <c r="HJ99" s="844"/>
      <c r="HK99" s="844"/>
      <c r="HL99" s="844"/>
      <c r="HM99" s="844"/>
      <c r="HN99" s="844"/>
      <c r="HO99" s="1575"/>
      <c r="HP99" s="466"/>
      <c r="HQ99" s="466"/>
      <c r="HR99" s="466"/>
      <c r="HS99" s="415"/>
      <c r="HT99" s="2292"/>
    </row>
    <row r="100" spans="3:228">
      <c r="C100" s="466"/>
      <c r="D100" s="466"/>
      <c r="E100" s="3850"/>
      <c r="F100" s="516"/>
      <c r="G100" s="513"/>
      <c r="H100" s="525"/>
      <c r="I100" s="525"/>
      <c r="J100" s="523"/>
      <c r="K100" s="519"/>
      <c r="L100" s="466"/>
      <c r="M100" s="516"/>
      <c r="N100" s="513"/>
      <c r="O100" s="513"/>
      <c r="P100" s="510"/>
      <c r="Q100" s="510"/>
      <c r="R100" s="510"/>
      <c r="S100" s="510"/>
      <c r="T100" s="510"/>
      <c r="U100" s="510"/>
      <c r="V100" s="510"/>
      <c r="W100" s="510"/>
      <c r="X100" s="510"/>
      <c r="Y100" s="510"/>
      <c r="Z100" s="510"/>
      <c r="AA100" s="510"/>
      <c r="AB100" s="510"/>
      <c r="AC100" s="510"/>
      <c r="AD100" s="510"/>
      <c r="AE100" s="510"/>
      <c r="AF100" s="510"/>
      <c r="AG100" s="510"/>
      <c r="AH100" s="510"/>
      <c r="AI100" s="510"/>
      <c r="AJ100" s="510"/>
      <c r="AK100" s="510"/>
      <c r="AL100" s="510"/>
      <c r="AM100" s="510"/>
      <c r="AN100" s="510"/>
      <c r="AO100" s="510"/>
      <c r="AP100" s="510"/>
      <c r="AQ100" s="510"/>
      <c r="AR100" s="510"/>
      <c r="AS100" s="510"/>
      <c r="AT100" s="510"/>
      <c r="AU100" s="510"/>
      <c r="AV100" s="510"/>
      <c r="AW100" s="510"/>
      <c r="AX100" s="510"/>
      <c r="AY100" s="510"/>
      <c r="AZ100" s="466"/>
      <c r="BA100" s="466"/>
      <c r="BB100" s="466"/>
      <c r="BC100" s="466"/>
      <c r="BD100" s="466"/>
      <c r="BE100" s="466"/>
      <c r="BF100" s="466"/>
      <c r="BG100" s="466"/>
      <c r="BH100" s="466"/>
      <c r="BI100" s="466"/>
      <c r="BJ100" s="466"/>
      <c r="BK100" s="466"/>
      <c r="BL100" s="466"/>
      <c r="BM100" s="518"/>
      <c r="BN100" s="524"/>
      <c r="BO100" s="518"/>
      <c r="BP100" s="518"/>
      <c r="BQ100" s="518"/>
      <c r="BR100" s="466"/>
      <c r="BS100" s="466"/>
      <c r="BT100" s="466"/>
      <c r="BU100" s="466"/>
      <c r="BV100" s="466"/>
      <c r="BW100" s="466"/>
      <c r="BX100" s="466"/>
      <c r="BY100" s="466"/>
      <c r="BZ100" s="466"/>
      <c r="CA100" s="466"/>
      <c r="CB100" s="466"/>
      <c r="CC100" s="466"/>
      <c r="CD100" s="466"/>
      <c r="CE100" s="466"/>
      <c r="CF100" s="466"/>
      <c r="CG100" s="466"/>
      <c r="CH100" s="466"/>
      <c r="CI100" s="466"/>
      <c r="CJ100" s="466"/>
      <c r="CK100" s="466"/>
      <c r="CL100" s="466"/>
      <c r="CM100" s="466"/>
      <c r="CN100" s="466"/>
      <c r="CO100" s="466"/>
      <c r="CP100" s="466"/>
      <c r="CQ100" s="466"/>
      <c r="CR100" s="466"/>
      <c r="CS100" s="466"/>
      <c r="CT100" s="466"/>
      <c r="CU100" s="466"/>
      <c r="CV100" s="466"/>
      <c r="CW100" s="466"/>
      <c r="CX100" s="466"/>
      <c r="CY100" s="466"/>
      <c r="CZ100" s="466"/>
      <c r="DA100" s="466"/>
      <c r="DB100" s="466"/>
      <c r="DC100" s="466"/>
      <c r="DD100" s="466"/>
      <c r="DE100" s="466"/>
      <c r="DF100" s="466"/>
      <c r="DG100" s="466"/>
      <c r="DH100" s="1520"/>
      <c r="DI100" s="1520"/>
      <c r="DJ100" s="1520"/>
      <c r="DK100" s="1520"/>
      <c r="DL100" s="1520"/>
      <c r="DM100" s="1520"/>
      <c r="DN100" s="1520"/>
      <c r="DO100" s="1520"/>
      <c r="DP100" s="1520"/>
      <c r="DQ100" s="1520"/>
      <c r="DR100" s="1520"/>
      <c r="DS100" s="1520"/>
      <c r="DT100" s="1520"/>
      <c r="DU100" s="1520"/>
      <c r="DV100" s="1520"/>
      <c r="DW100" s="1520"/>
      <c r="DX100" s="1520"/>
      <c r="DY100" s="1520"/>
      <c r="DZ100" s="1520"/>
      <c r="EA100" s="1520"/>
      <c r="EB100" s="1520"/>
      <c r="EC100" s="1520"/>
      <c r="ED100" s="1520"/>
      <c r="EE100" s="1520"/>
      <c r="EF100" s="1520"/>
      <c r="EG100" s="1520"/>
      <c r="EH100" s="1520"/>
      <c r="EI100" s="1520"/>
      <c r="EJ100" s="1520"/>
      <c r="EK100" s="1520"/>
      <c r="EL100" s="1520"/>
      <c r="EM100" s="1520"/>
      <c r="EN100" s="1520"/>
      <c r="EO100" s="1520"/>
      <c r="EP100" s="1520"/>
      <c r="EQ100" s="1520"/>
      <c r="ER100" s="1520"/>
      <c r="ES100" s="1520"/>
      <c r="ET100" s="1520"/>
      <c r="EU100" s="1520"/>
      <c r="EV100" s="1520"/>
      <c r="EW100" s="1520"/>
      <c r="EX100" s="1520"/>
      <c r="EY100" s="1520"/>
      <c r="EZ100" s="1520"/>
      <c r="FA100" s="1520"/>
      <c r="FB100" s="1520"/>
      <c r="FC100" s="1520"/>
      <c r="FD100" s="2434"/>
      <c r="FE100" s="466"/>
      <c r="FF100" s="466"/>
      <c r="FG100" s="466"/>
      <c r="FH100" s="466"/>
      <c r="FI100" s="466"/>
      <c r="FJ100" s="466"/>
      <c r="FK100" s="466"/>
      <c r="FL100" s="466"/>
      <c r="FM100" s="466"/>
      <c r="FN100" s="466"/>
      <c r="FO100" s="466"/>
      <c r="FP100" s="466"/>
      <c r="FQ100" s="466"/>
      <c r="FR100" s="466"/>
      <c r="FS100" s="466"/>
      <c r="FT100" s="466"/>
      <c r="FU100" s="466"/>
      <c r="FV100" s="466"/>
      <c r="FW100" s="466"/>
      <c r="FX100" s="466"/>
      <c r="FY100" s="466"/>
      <c r="FZ100" s="466"/>
      <c r="GA100" s="466"/>
      <c r="GB100" s="466"/>
      <c r="GC100" s="466"/>
      <c r="GD100" s="466"/>
      <c r="GE100" s="466"/>
      <c r="GF100" s="466"/>
      <c r="GG100" s="466"/>
      <c r="GH100" s="466"/>
      <c r="GI100" s="466"/>
      <c r="GJ100" s="466"/>
      <c r="GK100" s="466"/>
      <c r="GL100" s="466"/>
      <c r="GM100" s="466"/>
      <c r="GN100" s="466"/>
      <c r="GO100" s="1564"/>
      <c r="GP100" s="1564"/>
      <c r="GQ100" s="1564"/>
      <c r="GR100" s="1564"/>
      <c r="GS100" s="1565"/>
      <c r="GT100" s="1565"/>
      <c r="GU100" s="1526"/>
      <c r="GV100" s="466"/>
      <c r="GW100" s="466"/>
      <c r="GX100" s="466"/>
      <c r="GY100" s="466"/>
      <c r="GZ100" s="466"/>
      <c r="HA100" s="466"/>
      <c r="HB100" s="466"/>
      <c r="HC100" s="466"/>
      <c r="HD100" s="466"/>
      <c r="HE100" s="844"/>
      <c r="HF100" s="844"/>
      <c r="HG100" s="844"/>
      <c r="HH100" s="844"/>
      <c r="HI100" s="844"/>
      <c r="HJ100" s="844"/>
      <c r="HK100" s="844"/>
      <c r="HL100" s="844"/>
      <c r="HM100" s="844"/>
      <c r="HN100" s="844"/>
      <c r="HO100" s="1575"/>
      <c r="HP100" s="466"/>
      <c r="HQ100" s="466"/>
      <c r="HR100" s="466"/>
      <c r="HS100" s="415"/>
      <c r="HT100" s="2292"/>
    </row>
    <row r="101" spans="3:228">
      <c r="C101" s="466"/>
      <c r="D101" s="466"/>
      <c r="E101" s="3850"/>
      <c r="F101" s="516"/>
      <c r="G101" s="513"/>
      <c r="H101" s="525"/>
      <c r="I101" s="525"/>
      <c r="J101" s="523"/>
      <c r="K101" s="519"/>
      <c r="L101" s="466"/>
      <c r="M101" s="516"/>
      <c r="N101" s="513"/>
      <c r="O101" s="513"/>
      <c r="P101" s="510"/>
      <c r="Q101" s="510"/>
      <c r="R101" s="510"/>
      <c r="S101" s="510"/>
      <c r="T101" s="510"/>
      <c r="U101" s="510"/>
      <c r="V101" s="510"/>
      <c r="W101" s="510"/>
      <c r="X101" s="510"/>
      <c r="Y101" s="510"/>
      <c r="Z101" s="510"/>
      <c r="AA101" s="510"/>
      <c r="AB101" s="510"/>
      <c r="AC101" s="510"/>
      <c r="AD101" s="510"/>
      <c r="AE101" s="510"/>
      <c r="AF101" s="510"/>
      <c r="AG101" s="510"/>
      <c r="AH101" s="510"/>
      <c r="AI101" s="510"/>
      <c r="AJ101" s="510"/>
      <c r="AK101" s="510"/>
      <c r="AL101" s="510"/>
      <c r="AM101" s="510"/>
      <c r="AN101" s="510"/>
      <c r="AO101" s="510"/>
      <c r="AP101" s="510"/>
      <c r="AQ101" s="510"/>
      <c r="AR101" s="510"/>
      <c r="AS101" s="510"/>
      <c r="AT101" s="510"/>
      <c r="AU101" s="510"/>
      <c r="AV101" s="510"/>
      <c r="AW101" s="510"/>
      <c r="AX101" s="510"/>
      <c r="AY101" s="510"/>
      <c r="AZ101" s="466"/>
      <c r="BA101" s="466"/>
      <c r="BB101" s="466"/>
      <c r="BC101" s="466"/>
      <c r="BD101" s="466"/>
      <c r="BE101" s="466"/>
      <c r="BF101" s="466"/>
      <c r="BG101" s="466"/>
      <c r="BH101" s="466"/>
      <c r="BI101" s="466"/>
      <c r="BJ101" s="466"/>
      <c r="BK101" s="466"/>
      <c r="BL101" s="466"/>
      <c r="BM101" s="518"/>
      <c r="BN101" s="524"/>
      <c r="BO101" s="518"/>
      <c r="BP101" s="518"/>
      <c r="BQ101" s="518"/>
      <c r="BR101" s="466"/>
      <c r="BS101" s="466"/>
      <c r="BT101" s="466"/>
      <c r="BU101" s="466"/>
      <c r="BV101" s="466"/>
      <c r="BW101" s="466"/>
      <c r="BX101" s="466"/>
      <c r="BY101" s="466"/>
      <c r="BZ101" s="466"/>
      <c r="CA101" s="466"/>
      <c r="CB101" s="466"/>
      <c r="CC101" s="466"/>
      <c r="CD101" s="466"/>
      <c r="CE101" s="466"/>
      <c r="CF101" s="466"/>
      <c r="CG101" s="466"/>
      <c r="CH101" s="466"/>
      <c r="CI101" s="466"/>
      <c r="CJ101" s="466"/>
      <c r="CK101" s="466"/>
      <c r="CL101" s="466"/>
      <c r="CM101" s="466"/>
      <c r="CN101" s="466"/>
      <c r="CO101" s="466"/>
      <c r="CP101" s="466"/>
      <c r="CQ101" s="466"/>
      <c r="CR101" s="466"/>
      <c r="CS101" s="466"/>
      <c r="CT101" s="466"/>
      <c r="CU101" s="466"/>
      <c r="CV101" s="466"/>
      <c r="CW101" s="466"/>
      <c r="CX101" s="466"/>
      <c r="CY101" s="466"/>
      <c r="CZ101" s="466"/>
      <c r="DA101" s="466"/>
      <c r="DB101" s="466"/>
      <c r="DC101" s="466"/>
      <c r="DD101" s="466"/>
      <c r="DE101" s="466"/>
      <c r="DF101" s="466"/>
      <c r="DG101" s="466"/>
      <c r="DH101" s="1520"/>
      <c r="DI101" s="1520"/>
      <c r="DJ101" s="1520"/>
      <c r="DK101" s="1520"/>
      <c r="DL101" s="1520"/>
      <c r="DM101" s="1520"/>
      <c r="DN101" s="1520"/>
      <c r="DO101" s="1520"/>
      <c r="DP101" s="1520"/>
      <c r="DQ101" s="1520"/>
      <c r="DR101" s="1520"/>
      <c r="DS101" s="1520"/>
      <c r="DT101" s="1520"/>
      <c r="DU101" s="1520"/>
      <c r="DV101" s="1520"/>
      <c r="DW101" s="1520"/>
      <c r="DX101" s="1520"/>
      <c r="DY101" s="1520"/>
      <c r="DZ101" s="1520"/>
      <c r="EA101" s="1520"/>
      <c r="EB101" s="1520"/>
      <c r="EC101" s="1520"/>
      <c r="ED101" s="1520"/>
      <c r="EE101" s="1520"/>
      <c r="EF101" s="1520"/>
      <c r="EG101" s="1520"/>
      <c r="EH101" s="1520"/>
      <c r="EI101" s="1520"/>
      <c r="EJ101" s="1520"/>
      <c r="EK101" s="1520"/>
      <c r="EL101" s="1520"/>
      <c r="EM101" s="1520"/>
      <c r="EN101" s="1520"/>
      <c r="EO101" s="1520"/>
      <c r="EP101" s="1520"/>
      <c r="EQ101" s="1520"/>
      <c r="ER101" s="1520"/>
      <c r="ES101" s="1520"/>
      <c r="ET101" s="1520"/>
      <c r="EU101" s="1520"/>
      <c r="EV101" s="1520"/>
      <c r="EW101" s="1520"/>
      <c r="EX101" s="1520"/>
      <c r="EY101" s="1520"/>
      <c r="EZ101" s="1520"/>
      <c r="FA101" s="1520"/>
      <c r="FB101" s="1520"/>
      <c r="FC101" s="1520"/>
      <c r="FD101" s="2434"/>
      <c r="FE101" s="466"/>
      <c r="FF101" s="466"/>
      <c r="FG101" s="466"/>
      <c r="FH101" s="466"/>
      <c r="FI101" s="466"/>
      <c r="FJ101" s="466"/>
      <c r="FK101" s="466"/>
      <c r="FL101" s="466"/>
      <c r="FM101" s="466"/>
      <c r="FN101" s="466"/>
      <c r="FO101" s="466"/>
      <c r="FP101" s="466"/>
      <c r="FQ101" s="466"/>
      <c r="FR101" s="466"/>
      <c r="FS101" s="466"/>
      <c r="FT101" s="466"/>
      <c r="FU101" s="466"/>
      <c r="FV101" s="466"/>
      <c r="FW101" s="466"/>
      <c r="FX101" s="466"/>
      <c r="FY101" s="466"/>
      <c r="FZ101" s="466"/>
      <c r="GA101" s="466"/>
      <c r="GB101" s="466"/>
      <c r="GC101" s="466"/>
      <c r="GD101" s="466"/>
      <c r="GE101" s="466"/>
      <c r="GF101" s="466"/>
      <c r="GG101" s="466"/>
      <c r="GH101" s="466"/>
      <c r="GI101" s="466"/>
      <c r="GJ101" s="466"/>
      <c r="GK101" s="466"/>
      <c r="GL101" s="466"/>
      <c r="GM101" s="466"/>
      <c r="GN101" s="466"/>
      <c r="GO101" s="1564"/>
      <c r="GP101" s="1564"/>
      <c r="GQ101" s="1564"/>
      <c r="GR101" s="1564"/>
      <c r="GS101" s="1565"/>
      <c r="GT101" s="1565"/>
      <c r="GU101" s="1526"/>
      <c r="GV101" s="466"/>
      <c r="GW101" s="466"/>
      <c r="GX101" s="466"/>
      <c r="GY101" s="466"/>
      <c r="GZ101" s="466"/>
      <c r="HA101" s="466"/>
      <c r="HB101" s="466"/>
      <c r="HC101" s="466"/>
      <c r="HD101" s="466"/>
      <c r="HE101" s="844"/>
      <c r="HF101" s="844"/>
      <c r="HG101" s="844"/>
      <c r="HH101" s="844"/>
      <c r="HI101" s="844"/>
      <c r="HJ101" s="844"/>
      <c r="HK101" s="844"/>
      <c r="HL101" s="844"/>
      <c r="HM101" s="844"/>
      <c r="HN101" s="844"/>
      <c r="HO101" s="1575"/>
      <c r="HP101" s="466"/>
      <c r="HQ101" s="466"/>
      <c r="HR101" s="466"/>
      <c r="HS101" s="415"/>
      <c r="HT101" s="2292"/>
    </row>
    <row r="102" spans="3:228">
      <c r="C102" s="466"/>
      <c r="D102" s="466"/>
      <c r="E102" s="3850"/>
      <c r="F102" s="516"/>
      <c r="G102" s="513"/>
      <c r="H102" s="525"/>
      <c r="I102" s="525"/>
      <c r="J102" s="523"/>
      <c r="K102" s="519"/>
      <c r="L102" s="466"/>
      <c r="M102" s="516"/>
      <c r="N102" s="513"/>
      <c r="O102" s="513"/>
      <c r="P102" s="510"/>
      <c r="Q102" s="510"/>
      <c r="R102" s="510"/>
      <c r="S102" s="510"/>
      <c r="T102" s="510"/>
      <c r="U102" s="510"/>
      <c r="V102" s="510"/>
      <c r="W102" s="510"/>
      <c r="X102" s="510"/>
      <c r="Y102" s="510"/>
      <c r="Z102" s="510"/>
      <c r="AA102" s="510"/>
      <c r="AB102" s="510"/>
      <c r="AC102" s="510"/>
      <c r="AD102" s="510"/>
      <c r="AE102" s="510"/>
      <c r="AF102" s="510"/>
      <c r="AG102" s="510"/>
      <c r="AH102" s="510"/>
      <c r="AI102" s="510"/>
      <c r="AJ102" s="510"/>
      <c r="AK102" s="510"/>
      <c r="AL102" s="510"/>
      <c r="AM102" s="510"/>
      <c r="AN102" s="510"/>
      <c r="AO102" s="510"/>
      <c r="AP102" s="510"/>
      <c r="AQ102" s="510"/>
      <c r="AR102" s="510"/>
      <c r="AS102" s="510"/>
      <c r="AT102" s="510"/>
      <c r="AU102" s="510"/>
      <c r="AV102" s="510"/>
      <c r="AW102" s="510"/>
      <c r="AX102" s="510"/>
      <c r="AY102" s="510"/>
      <c r="AZ102" s="466"/>
      <c r="BA102" s="466"/>
      <c r="BB102" s="466"/>
      <c r="BC102" s="466"/>
      <c r="BD102" s="466"/>
      <c r="BE102" s="466"/>
      <c r="BF102" s="466"/>
      <c r="BG102" s="466"/>
      <c r="BH102" s="466"/>
      <c r="BI102" s="466"/>
      <c r="BJ102" s="466"/>
      <c r="BK102" s="466"/>
      <c r="BL102" s="466"/>
      <c r="BM102" s="518"/>
      <c r="BN102" s="524"/>
      <c r="BO102" s="518"/>
      <c r="BP102" s="518"/>
      <c r="BQ102" s="518"/>
      <c r="BR102" s="466"/>
      <c r="BS102" s="466"/>
      <c r="BT102" s="466"/>
      <c r="BU102" s="466"/>
      <c r="BV102" s="466"/>
      <c r="BW102" s="466"/>
      <c r="BX102" s="466"/>
      <c r="BY102" s="466"/>
      <c r="BZ102" s="466"/>
      <c r="CA102" s="466"/>
      <c r="CB102" s="466"/>
      <c r="CC102" s="466"/>
      <c r="CD102" s="466"/>
      <c r="CE102" s="466"/>
      <c r="CF102" s="466"/>
      <c r="CG102" s="466"/>
      <c r="CH102" s="466"/>
      <c r="CI102" s="466"/>
      <c r="CJ102" s="466"/>
      <c r="CK102" s="466"/>
      <c r="CL102" s="466"/>
      <c r="CM102" s="466"/>
      <c r="CN102" s="466"/>
      <c r="CO102" s="466"/>
      <c r="CP102" s="466"/>
      <c r="CQ102" s="466"/>
      <c r="CR102" s="466"/>
      <c r="CS102" s="466"/>
      <c r="CT102" s="466"/>
      <c r="CU102" s="466"/>
      <c r="CV102" s="466"/>
      <c r="CW102" s="466"/>
      <c r="CX102" s="466"/>
      <c r="CY102" s="466"/>
      <c r="CZ102" s="466"/>
      <c r="DA102" s="466"/>
      <c r="DB102" s="466"/>
      <c r="DC102" s="466"/>
      <c r="DD102" s="466"/>
      <c r="DE102" s="466"/>
      <c r="DF102" s="466"/>
      <c r="DG102" s="466"/>
      <c r="DH102" s="1520"/>
      <c r="DI102" s="1520"/>
      <c r="DJ102" s="1520"/>
      <c r="DK102" s="1520"/>
      <c r="DL102" s="1520"/>
      <c r="DM102" s="1520"/>
      <c r="DN102" s="1520"/>
      <c r="DO102" s="1520"/>
      <c r="DP102" s="1520"/>
      <c r="DQ102" s="1520"/>
      <c r="DR102" s="1520"/>
      <c r="DS102" s="1520"/>
      <c r="DT102" s="1520"/>
      <c r="DU102" s="1520"/>
      <c r="DV102" s="1520"/>
      <c r="DW102" s="1520"/>
      <c r="DX102" s="1520"/>
      <c r="DY102" s="1520"/>
      <c r="DZ102" s="1520"/>
      <c r="EA102" s="1520"/>
      <c r="EB102" s="1520"/>
      <c r="EC102" s="1520"/>
      <c r="ED102" s="1520"/>
      <c r="EE102" s="1520"/>
      <c r="EF102" s="1520"/>
      <c r="EG102" s="1520"/>
      <c r="EH102" s="1520"/>
      <c r="EI102" s="1520"/>
      <c r="EJ102" s="1520"/>
      <c r="EK102" s="1520"/>
      <c r="EL102" s="1520"/>
      <c r="EM102" s="1520"/>
      <c r="EN102" s="1520"/>
      <c r="EO102" s="1520"/>
      <c r="EP102" s="1520"/>
      <c r="EQ102" s="1520"/>
      <c r="ER102" s="1520"/>
      <c r="ES102" s="1520"/>
      <c r="ET102" s="1520"/>
      <c r="EU102" s="1520"/>
      <c r="EV102" s="1520"/>
      <c r="EW102" s="1520"/>
      <c r="EX102" s="1520"/>
      <c r="EY102" s="1520"/>
      <c r="EZ102" s="1520"/>
      <c r="FA102" s="1520"/>
      <c r="FB102" s="1520"/>
      <c r="FC102" s="1520"/>
      <c r="FD102" s="2434"/>
      <c r="FE102" s="466"/>
      <c r="FF102" s="466"/>
      <c r="FG102" s="466"/>
      <c r="FH102" s="466"/>
      <c r="FI102" s="466"/>
      <c r="FJ102" s="466"/>
      <c r="FK102" s="466"/>
      <c r="FL102" s="466"/>
      <c r="FM102" s="466"/>
      <c r="FN102" s="466"/>
      <c r="FO102" s="466"/>
      <c r="FP102" s="466"/>
      <c r="FQ102" s="466"/>
      <c r="FR102" s="466"/>
      <c r="FS102" s="466"/>
      <c r="FT102" s="466"/>
      <c r="FU102" s="466"/>
      <c r="FV102" s="466"/>
      <c r="FW102" s="466"/>
      <c r="FX102" s="466"/>
      <c r="FY102" s="466"/>
      <c r="FZ102" s="466"/>
      <c r="GA102" s="466"/>
      <c r="GB102" s="466"/>
      <c r="GC102" s="466"/>
      <c r="GD102" s="466"/>
      <c r="GE102" s="466"/>
      <c r="GF102" s="466"/>
      <c r="GG102" s="466"/>
      <c r="GH102" s="466"/>
      <c r="GI102" s="466"/>
      <c r="GJ102" s="466"/>
      <c r="GK102" s="466"/>
      <c r="GL102" s="466"/>
      <c r="GM102" s="466"/>
      <c r="GN102" s="466"/>
      <c r="GO102" s="1564"/>
      <c r="GP102" s="1564"/>
      <c r="GQ102" s="1564"/>
      <c r="GR102" s="1564"/>
      <c r="GS102" s="1565"/>
      <c r="GT102" s="1565"/>
      <c r="GU102" s="1526"/>
      <c r="GV102" s="466"/>
      <c r="GW102" s="466"/>
      <c r="GX102" s="466"/>
      <c r="GY102" s="466"/>
      <c r="GZ102" s="466"/>
      <c r="HA102" s="466"/>
      <c r="HB102" s="466"/>
      <c r="HC102" s="466"/>
      <c r="HD102" s="466"/>
      <c r="HE102" s="844"/>
      <c r="HF102" s="844"/>
      <c r="HG102" s="844"/>
      <c r="HH102" s="844"/>
      <c r="HI102" s="844"/>
      <c r="HJ102" s="844"/>
      <c r="HK102" s="844"/>
      <c r="HL102" s="844"/>
      <c r="HM102" s="844"/>
      <c r="HN102" s="844"/>
      <c r="HO102" s="1575"/>
      <c r="HP102" s="466"/>
      <c r="HQ102" s="466"/>
      <c r="HR102" s="466"/>
      <c r="HS102" s="415"/>
      <c r="HT102" s="2292"/>
    </row>
    <row r="103" spans="3:228">
      <c r="C103" s="466"/>
      <c r="D103" s="466"/>
      <c r="E103" s="3850"/>
      <c r="F103" s="516"/>
      <c r="G103" s="513"/>
      <c r="H103" s="525"/>
      <c r="I103" s="525"/>
      <c r="J103" s="523"/>
      <c r="K103" s="519"/>
      <c r="L103" s="466"/>
      <c r="M103" s="516"/>
      <c r="N103" s="513"/>
      <c r="O103" s="513"/>
      <c r="P103" s="510"/>
      <c r="Q103" s="510"/>
      <c r="R103" s="510"/>
      <c r="S103" s="510"/>
      <c r="T103" s="510"/>
      <c r="U103" s="510"/>
      <c r="V103" s="510"/>
      <c r="W103" s="510"/>
      <c r="X103" s="510"/>
      <c r="Y103" s="510"/>
      <c r="Z103" s="510"/>
      <c r="AA103" s="510"/>
      <c r="AB103" s="510"/>
      <c r="AC103" s="510"/>
      <c r="AD103" s="510"/>
      <c r="AE103" s="510"/>
      <c r="AF103" s="510"/>
      <c r="AG103" s="510"/>
      <c r="AH103" s="510"/>
      <c r="AI103" s="510"/>
      <c r="AJ103" s="510"/>
      <c r="AK103" s="510"/>
      <c r="AL103" s="510"/>
      <c r="AM103" s="510"/>
      <c r="AN103" s="510"/>
      <c r="AO103" s="510"/>
      <c r="AP103" s="510"/>
      <c r="AQ103" s="510"/>
      <c r="AR103" s="510"/>
      <c r="AS103" s="510"/>
      <c r="AT103" s="510"/>
      <c r="AU103" s="510"/>
      <c r="AV103" s="510"/>
      <c r="AW103" s="510"/>
      <c r="AX103" s="510"/>
      <c r="AY103" s="510"/>
      <c r="AZ103" s="466"/>
      <c r="BA103" s="466"/>
      <c r="BB103" s="466"/>
      <c r="BC103" s="466"/>
      <c r="BD103" s="466"/>
      <c r="BE103" s="466"/>
      <c r="BF103" s="466"/>
      <c r="BG103" s="466"/>
      <c r="BH103" s="466"/>
      <c r="BI103" s="466"/>
      <c r="BJ103" s="466"/>
      <c r="BK103" s="466"/>
      <c r="BL103" s="466"/>
      <c r="BM103" s="518"/>
      <c r="BN103" s="524"/>
      <c r="BO103" s="518"/>
      <c r="BP103" s="518"/>
      <c r="BQ103" s="518"/>
      <c r="BR103" s="466"/>
      <c r="BS103" s="466"/>
      <c r="BT103" s="466"/>
      <c r="BU103" s="466"/>
      <c r="BV103" s="466"/>
      <c r="BW103" s="466"/>
      <c r="BX103" s="466"/>
      <c r="BY103" s="466"/>
      <c r="BZ103" s="466"/>
      <c r="CA103" s="466"/>
      <c r="CB103" s="466"/>
      <c r="CC103" s="466"/>
      <c r="CD103" s="466"/>
      <c r="CE103" s="466"/>
      <c r="CF103" s="466"/>
      <c r="CG103" s="466"/>
      <c r="CH103" s="466"/>
      <c r="CI103" s="466"/>
      <c r="CJ103" s="466"/>
      <c r="CK103" s="466"/>
      <c r="CL103" s="466"/>
      <c r="CM103" s="466"/>
      <c r="CN103" s="466"/>
      <c r="CO103" s="466"/>
      <c r="CP103" s="466"/>
      <c r="CQ103" s="466"/>
      <c r="CR103" s="466"/>
      <c r="CS103" s="466"/>
      <c r="CT103" s="466"/>
      <c r="CU103" s="466"/>
      <c r="CV103" s="466"/>
      <c r="CW103" s="466"/>
      <c r="CX103" s="466"/>
      <c r="CY103" s="466"/>
      <c r="CZ103" s="466"/>
      <c r="DA103" s="466"/>
      <c r="DB103" s="466"/>
      <c r="DC103" s="466"/>
      <c r="DD103" s="466"/>
      <c r="DE103" s="466"/>
      <c r="DF103" s="466"/>
      <c r="DG103" s="466"/>
      <c r="DH103" s="1520"/>
      <c r="DI103" s="1520"/>
      <c r="DJ103" s="1520"/>
      <c r="DK103" s="1520"/>
      <c r="DL103" s="1520"/>
      <c r="DM103" s="1520"/>
      <c r="DN103" s="1520"/>
      <c r="DO103" s="1520"/>
      <c r="DP103" s="1520"/>
      <c r="DQ103" s="1520"/>
      <c r="DR103" s="1520"/>
      <c r="DS103" s="1520"/>
      <c r="DT103" s="1520"/>
      <c r="DU103" s="1520"/>
      <c r="DV103" s="1520"/>
      <c r="DW103" s="1520"/>
      <c r="DX103" s="1520"/>
      <c r="DY103" s="1520"/>
      <c r="DZ103" s="1520"/>
      <c r="EA103" s="1520"/>
      <c r="EB103" s="1520"/>
      <c r="EC103" s="1520"/>
      <c r="ED103" s="1520"/>
      <c r="EE103" s="1520"/>
      <c r="EF103" s="1520"/>
      <c r="EG103" s="1520"/>
      <c r="EH103" s="1520"/>
      <c r="EI103" s="1520"/>
      <c r="EJ103" s="1520"/>
      <c r="EK103" s="1520"/>
      <c r="EL103" s="1520"/>
      <c r="EM103" s="1520"/>
      <c r="EN103" s="1520"/>
      <c r="EO103" s="1520"/>
      <c r="EP103" s="1520"/>
      <c r="EQ103" s="1520"/>
      <c r="ER103" s="1520"/>
      <c r="ES103" s="1520"/>
      <c r="ET103" s="1520"/>
      <c r="EU103" s="1520"/>
      <c r="EV103" s="1520"/>
      <c r="EW103" s="1520"/>
      <c r="EX103" s="1520"/>
      <c r="EY103" s="1520"/>
      <c r="EZ103" s="1520"/>
      <c r="FA103" s="1520"/>
      <c r="FB103" s="1520"/>
      <c r="FC103" s="1520"/>
      <c r="FD103" s="2434"/>
      <c r="FE103" s="466"/>
      <c r="FF103" s="466"/>
      <c r="FG103" s="466"/>
      <c r="FH103" s="466"/>
      <c r="FI103" s="466"/>
      <c r="FJ103" s="466"/>
      <c r="FK103" s="466"/>
      <c r="FL103" s="466"/>
      <c r="FM103" s="466"/>
      <c r="FN103" s="466"/>
      <c r="FO103" s="466"/>
      <c r="FP103" s="466"/>
      <c r="FQ103" s="466"/>
      <c r="FR103" s="466"/>
      <c r="FS103" s="466"/>
      <c r="FT103" s="466"/>
      <c r="FU103" s="466"/>
      <c r="FV103" s="466"/>
      <c r="FW103" s="466"/>
      <c r="FX103" s="466"/>
      <c r="FY103" s="466"/>
      <c r="FZ103" s="466"/>
      <c r="GA103" s="466"/>
      <c r="GB103" s="466"/>
      <c r="GC103" s="466"/>
      <c r="GD103" s="466"/>
      <c r="GE103" s="466"/>
      <c r="GF103" s="466"/>
      <c r="GG103" s="466"/>
      <c r="GH103" s="466"/>
      <c r="GI103" s="466"/>
      <c r="GJ103" s="466"/>
      <c r="GK103" s="466"/>
      <c r="GL103" s="466"/>
      <c r="GM103" s="466"/>
      <c r="GN103" s="466"/>
      <c r="GO103" s="1564"/>
      <c r="GP103" s="1564"/>
      <c r="GQ103" s="1564"/>
      <c r="GR103" s="1564"/>
      <c r="GS103" s="1565"/>
      <c r="GT103" s="1565"/>
      <c r="GU103" s="1526"/>
      <c r="GV103" s="466"/>
      <c r="GW103" s="466"/>
      <c r="GX103" s="466"/>
      <c r="GY103" s="466"/>
      <c r="GZ103" s="466"/>
      <c r="HA103" s="466"/>
      <c r="HB103" s="466"/>
      <c r="HC103" s="466"/>
      <c r="HD103" s="466"/>
      <c r="HE103" s="844"/>
      <c r="HF103" s="844"/>
      <c r="HG103" s="844"/>
      <c r="HH103" s="844"/>
      <c r="HI103" s="844"/>
      <c r="HJ103" s="844"/>
      <c r="HK103" s="844"/>
      <c r="HL103" s="844"/>
      <c r="HM103" s="844"/>
      <c r="HN103" s="844"/>
      <c r="HO103" s="1575"/>
      <c r="HP103" s="466"/>
      <c r="HQ103" s="466"/>
      <c r="HR103" s="466"/>
      <c r="HS103" s="415"/>
      <c r="HT103" s="2292"/>
    </row>
    <row r="104" spans="3:228">
      <c r="C104" s="466"/>
      <c r="D104" s="466"/>
      <c r="E104" s="3850"/>
      <c r="F104" s="516"/>
      <c r="G104" s="513"/>
      <c r="H104" s="525"/>
      <c r="I104" s="525"/>
      <c r="J104" s="523"/>
      <c r="K104" s="519"/>
      <c r="L104" s="466"/>
      <c r="M104" s="516"/>
      <c r="N104" s="513"/>
      <c r="O104" s="513"/>
      <c r="P104" s="510"/>
      <c r="Q104" s="510"/>
      <c r="R104" s="510"/>
      <c r="S104" s="510"/>
      <c r="T104" s="510"/>
      <c r="U104" s="510"/>
      <c r="V104" s="510"/>
      <c r="W104" s="510"/>
      <c r="X104" s="510"/>
      <c r="Y104" s="510"/>
      <c r="Z104" s="510"/>
      <c r="AA104" s="510"/>
      <c r="AB104" s="510"/>
      <c r="AC104" s="510"/>
      <c r="AD104" s="510"/>
      <c r="AE104" s="510"/>
      <c r="AF104" s="510"/>
      <c r="AG104" s="510"/>
      <c r="AH104" s="510"/>
      <c r="AI104" s="510"/>
      <c r="AJ104" s="510"/>
      <c r="AK104" s="510"/>
      <c r="AL104" s="510"/>
      <c r="AM104" s="510"/>
      <c r="AN104" s="510"/>
      <c r="AO104" s="510"/>
      <c r="AP104" s="510"/>
      <c r="AQ104" s="510"/>
      <c r="AR104" s="510"/>
      <c r="AS104" s="510"/>
      <c r="AT104" s="510"/>
      <c r="AU104" s="510"/>
      <c r="AV104" s="510"/>
      <c r="AW104" s="510"/>
      <c r="AX104" s="510"/>
      <c r="AY104" s="510"/>
      <c r="AZ104" s="466"/>
      <c r="BA104" s="466"/>
      <c r="BB104" s="466"/>
      <c r="BC104" s="466"/>
      <c r="BD104" s="466"/>
      <c r="BE104" s="466"/>
      <c r="BF104" s="466"/>
      <c r="BG104" s="466"/>
      <c r="BH104" s="466"/>
      <c r="BI104" s="466"/>
      <c r="BJ104" s="466"/>
      <c r="BK104" s="466"/>
      <c r="BL104" s="466"/>
      <c r="BM104" s="518"/>
      <c r="BN104" s="524"/>
      <c r="BO104" s="518"/>
      <c r="BP104" s="518"/>
      <c r="BQ104" s="518"/>
      <c r="BR104" s="466"/>
      <c r="BS104" s="466"/>
      <c r="BT104" s="466"/>
      <c r="BU104" s="466"/>
      <c r="BV104" s="466"/>
      <c r="BW104" s="466"/>
      <c r="BX104" s="466"/>
      <c r="BY104" s="466"/>
      <c r="BZ104" s="466"/>
      <c r="CA104" s="466"/>
      <c r="CB104" s="466"/>
      <c r="CC104" s="466"/>
      <c r="CD104" s="466"/>
      <c r="CE104" s="466"/>
      <c r="CF104" s="466"/>
      <c r="CG104" s="466"/>
      <c r="CH104" s="466"/>
      <c r="CI104" s="466"/>
      <c r="CJ104" s="466"/>
      <c r="CK104" s="466"/>
      <c r="CL104" s="466"/>
      <c r="CM104" s="466"/>
      <c r="CN104" s="466"/>
      <c r="CO104" s="466"/>
      <c r="CP104" s="466"/>
      <c r="CQ104" s="466"/>
      <c r="CR104" s="466"/>
      <c r="CS104" s="466"/>
      <c r="CT104" s="466"/>
      <c r="CU104" s="466"/>
      <c r="CV104" s="466"/>
      <c r="CW104" s="466"/>
      <c r="CX104" s="466"/>
      <c r="CY104" s="466"/>
      <c r="CZ104" s="466"/>
      <c r="DA104" s="466"/>
      <c r="DB104" s="466"/>
      <c r="DC104" s="466"/>
      <c r="DD104" s="466"/>
      <c r="DE104" s="466"/>
      <c r="DF104" s="466"/>
      <c r="DG104" s="466"/>
      <c r="DH104" s="1520"/>
      <c r="DI104" s="1520"/>
      <c r="DJ104" s="1520"/>
      <c r="DK104" s="1520"/>
      <c r="DL104" s="1520"/>
      <c r="DM104" s="1520"/>
      <c r="DN104" s="1520"/>
      <c r="DO104" s="1520"/>
      <c r="DP104" s="1520"/>
      <c r="DQ104" s="1520"/>
      <c r="DR104" s="1520"/>
      <c r="DS104" s="1520"/>
      <c r="DT104" s="1520"/>
      <c r="DU104" s="1520"/>
      <c r="DV104" s="1520"/>
      <c r="DW104" s="1520"/>
      <c r="DX104" s="1520"/>
      <c r="DY104" s="1520"/>
      <c r="DZ104" s="1520"/>
      <c r="EA104" s="1520"/>
      <c r="EB104" s="1520"/>
      <c r="EC104" s="1520"/>
      <c r="ED104" s="1520"/>
      <c r="EE104" s="1520"/>
      <c r="EF104" s="1520"/>
      <c r="EG104" s="1520"/>
      <c r="EH104" s="1520"/>
      <c r="EI104" s="1520"/>
      <c r="EJ104" s="1520"/>
      <c r="EK104" s="1520"/>
      <c r="EL104" s="1520"/>
      <c r="EM104" s="1520"/>
      <c r="EN104" s="1520"/>
      <c r="EO104" s="1520"/>
      <c r="EP104" s="1520"/>
      <c r="EQ104" s="1520"/>
      <c r="ER104" s="1520"/>
      <c r="ES104" s="1520"/>
      <c r="ET104" s="1520"/>
      <c r="EU104" s="1520"/>
      <c r="EV104" s="1520"/>
      <c r="EW104" s="1520"/>
      <c r="EX104" s="1520"/>
      <c r="EY104" s="1520"/>
      <c r="EZ104" s="1520"/>
      <c r="FA104" s="1520"/>
      <c r="FB104" s="1520"/>
      <c r="FC104" s="1520"/>
      <c r="FD104" s="2434"/>
      <c r="FE104" s="466"/>
      <c r="FF104" s="466"/>
      <c r="FG104" s="466"/>
      <c r="FH104" s="466"/>
      <c r="FI104" s="466"/>
      <c r="FJ104" s="466"/>
      <c r="FK104" s="466"/>
      <c r="FL104" s="466"/>
      <c r="FM104" s="466"/>
      <c r="FN104" s="466"/>
      <c r="FO104" s="466"/>
      <c r="FP104" s="466"/>
      <c r="FQ104" s="466"/>
      <c r="FR104" s="466"/>
      <c r="FS104" s="466"/>
      <c r="FT104" s="466"/>
      <c r="FU104" s="466"/>
      <c r="FV104" s="466"/>
      <c r="FW104" s="466"/>
      <c r="FX104" s="466"/>
      <c r="FY104" s="466"/>
      <c r="FZ104" s="466"/>
      <c r="GA104" s="466"/>
      <c r="GB104" s="466"/>
      <c r="GC104" s="466"/>
      <c r="GD104" s="466"/>
      <c r="GE104" s="466"/>
      <c r="GF104" s="466"/>
      <c r="GG104" s="466"/>
      <c r="GH104" s="466"/>
      <c r="GI104" s="466"/>
      <c r="GJ104" s="466"/>
      <c r="GK104" s="466"/>
      <c r="GL104" s="466"/>
      <c r="GM104" s="466"/>
      <c r="GN104" s="466"/>
      <c r="GO104" s="1564"/>
      <c r="GP104" s="1564"/>
      <c r="GQ104" s="1564"/>
      <c r="GR104" s="1564"/>
      <c r="GS104" s="1565"/>
      <c r="GT104" s="1565"/>
      <c r="GU104" s="1526"/>
      <c r="GV104" s="466"/>
      <c r="GW104" s="466"/>
      <c r="GX104" s="466"/>
      <c r="GY104" s="466"/>
      <c r="GZ104" s="466"/>
      <c r="HA104" s="466"/>
      <c r="HB104" s="466"/>
      <c r="HC104" s="466"/>
      <c r="HD104" s="466"/>
      <c r="HE104" s="844"/>
      <c r="HF104" s="844"/>
      <c r="HG104" s="844"/>
      <c r="HH104" s="844"/>
      <c r="HI104" s="844"/>
      <c r="HJ104" s="844"/>
      <c r="HK104" s="844"/>
      <c r="HL104" s="844"/>
      <c r="HM104" s="844"/>
      <c r="HN104" s="844"/>
      <c r="HO104" s="1575"/>
      <c r="HP104" s="466"/>
      <c r="HQ104" s="466"/>
      <c r="HR104" s="466"/>
      <c r="HS104" s="415"/>
      <c r="HT104" s="2292"/>
    </row>
    <row r="105" spans="3:228">
      <c r="C105" s="466"/>
      <c r="D105" s="466"/>
      <c r="E105" s="3850"/>
      <c r="F105" s="516"/>
      <c r="G105" s="513"/>
      <c r="H105" s="525"/>
      <c r="I105" s="525"/>
      <c r="J105" s="523"/>
      <c r="K105" s="519"/>
      <c r="L105" s="466"/>
      <c r="M105" s="516"/>
      <c r="N105" s="513"/>
      <c r="O105" s="513"/>
      <c r="P105" s="510"/>
      <c r="Q105" s="510"/>
      <c r="R105" s="510"/>
      <c r="S105" s="510"/>
      <c r="T105" s="510"/>
      <c r="U105" s="510"/>
      <c r="V105" s="510"/>
      <c r="W105" s="510"/>
      <c r="X105" s="510"/>
      <c r="Y105" s="510"/>
      <c r="Z105" s="510"/>
      <c r="AA105" s="510"/>
      <c r="AB105" s="510"/>
      <c r="AC105" s="510"/>
      <c r="AD105" s="510"/>
      <c r="AE105" s="510"/>
      <c r="AF105" s="510"/>
      <c r="AG105" s="510"/>
      <c r="AH105" s="510"/>
      <c r="AI105" s="510"/>
      <c r="AJ105" s="510"/>
      <c r="AK105" s="510"/>
      <c r="AL105" s="510"/>
      <c r="AM105" s="510"/>
      <c r="AN105" s="510"/>
      <c r="AO105" s="510"/>
      <c r="AP105" s="510"/>
      <c r="AQ105" s="510"/>
      <c r="AR105" s="510"/>
      <c r="AS105" s="510"/>
      <c r="AT105" s="510"/>
      <c r="AU105" s="510"/>
      <c r="AV105" s="510"/>
      <c r="AW105" s="510"/>
      <c r="AX105" s="510"/>
      <c r="AY105" s="510"/>
      <c r="AZ105" s="466"/>
      <c r="BA105" s="466"/>
      <c r="BB105" s="466"/>
      <c r="BC105" s="466"/>
      <c r="BD105" s="466"/>
      <c r="BE105" s="466"/>
      <c r="BF105" s="466"/>
      <c r="BG105" s="466"/>
      <c r="BH105" s="466"/>
      <c r="BI105" s="466"/>
      <c r="BJ105" s="466"/>
      <c r="BK105" s="466"/>
      <c r="BL105" s="466"/>
      <c r="BM105" s="518"/>
      <c r="BN105" s="524"/>
      <c r="BO105" s="518"/>
      <c r="BP105" s="518"/>
      <c r="BQ105" s="518"/>
      <c r="BR105" s="466"/>
      <c r="BS105" s="466"/>
      <c r="BT105" s="466"/>
      <c r="BU105" s="466"/>
      <c r="BV105" s="466"/>
      <c r="BW105" s="466"/>
      <c r="BX105" s="466"/>
      <c r="BY105" s="466"/>
      <c r="BZ105" s="466"/>
      <c r="CA105" s="466"/>
      <c r="CB105" s="466"/>
      <c r="CC105" s="466"/>
      <c r="CD105" s="466"/>
      <c r="CE105" s="466"/>
      <c r="CF105" s="466"/>
      <c r="CG105" s="466"/>
      <c r="CH105" s="466"/>
      <c r="CI105" s="466"/>
      <c r="CJ105" s="466"/>
      <c r="CK105" s="466"/>
      <c r="CL105" s="466"/>
      <c r="CM105" s="466"/>
      <c r="CN105" s="466"/>
      <c r="CO105" s="466"/>
      <c r="CP105" s="466"/>
      <c r="CQ105" s="466"/>
      <c r="CR105" s="466"/>
      <c r="CS105" s="466"/>
      <c r="CT105" s="466"/>
      <c r="CU105" s="466"/>
      <c r="CV105" s="466"/>
      <c r="CW105" s="466"/>
      <c r="CX105" s="466"/>
      <c r="CY105" s="466"/>
      <c r="CZ105" s="466"/>
      <c r="DA105" s="466"/>
      <c r="DB105" s="466"/>
      <c r="DC105" s="466"/>
      <c r="DD105" s="466"/>
      <c r="DE105" s="466"/>
      <c r="DF105" s="466"/>
      <c r="DG105" s="466"/>
      <c r="DH105" s="1520"/>
      <c r="DI105" s="1520"/>
      <c r="DJ105" s="1520"/>
      <c r="DK105" s="1520"/>
      <c r="DL105" s="1520"/>
      <c r="DM105" s="1520"/>
      <c r="DN105" s="1520"/>
      <c r="DO105" s="1520"/>
      <c r="DP105" s="1520"/>
      <c r="DQ105" s="1520"/>
      <c r="DR105" s="1520"/>
      <c r="DS105" s="1520"/>
      <c r="DT105" s="1520"/>
      <c r="DU105" s="1520"/>
      <c r="DV105" s="1520"/>
      <c r="DW105" s="1520"/>
      <c r="DX105" s="1520"/>
      <c r="DY105" s="1520"/>
      <c r="DZ105" s="1520"/>
      <c r="EA105" s="1520"/>
      <c r="EB105" s="1520"/>
      <c r="EC105" s="1520"/>
      <c r="ED105" s="1520"/>
      <c r="EE105" s="1520"/>
      <c r="EF105" s="1520"/>
      <c r="EG105" s="1520"/>
      <c r="EH105" s="1520"/>
      <c r="EI105" s="1520"/>
      <c r="EJ105" s="1520"/>
      <c r="EK105" s="1520"/>
      <c r="EL105" s="1520"/>
      <c r="EM105" s="1520"/>
      <c r="EN105" s="1520"/>
      <c r="EO105" s="1520"/>
      <c r="EP105" s="1520"/>
      <c r="EQ105" s="1520"/>
      <c r="ER105" s="1520"/>
      <c r="ES105" s="1520"/>
      <c r="ET105" s="1520"/>
      <c r="EU105" s="1520"/>
      <c r="EV105" s="1520"/>
      <c r="EW105" s="1520"/>
      <c r="EX105" s="1520"/>
      <c r="EY105" s="1520"/>
      <c r="EZ105" s="1520"/>
      <c r="FA105" s="1520"/>
      <c r="FB105" s="1520"/>
      <c r="FC105" s="1520"/>
      <c r="FD105" s="2434"/>
      <c r="FE105" s="466"/>
      <c r="FF105" s="466"/>
      <c r="FG105" s="466"/>
      <c r="FH105" s="466"/>
      <c r="FI105" s="466"/>
      <c r="FJ105" s="466"/>
      <c r="FK105" s="466"/>
      <c r="FL105" s="466"/>
      <c r="FM105" s="466"/>
      <c r="FN105" s="466"/>
      <c r="FO105" s="466"/>
      <c r="FP105" s="466"/>
      <c r="FQ105" s="466"/>
      <c r="FR105" s="466"/>
      <c r="FS105" s="466"/>
      <c r="FT105" s="466"/>
      <c r="FU105" s="466"/>
      <c r="FV105" s="466"/>
      <c r="FW105" s="466"/>
      <c r="FX105" s="466"/>
      <c r="FY105" s="466"/>
      <c r="FZ105" s="466"/>
      <c r="GA105" s="466"/>
      <c r="GB105" s="466"/>
      <c r="GC105" s="466"/>
      <c r="GD105" s="466"/>
      <c r="GE105" s="466"/>
      <c r="GF105" s="466"/>
      <c r="GG105" s="466"/>
      <c r="GH105" s="466"/>
      <c r="GI105" s="466"/>
      <c r="GJ105" s="466"/>
      <c r="GK105" s="466"/>
      <c r="GL105" s="466"/>
      <c r="GM105" s="466"/>
      <c r="GN105" s="466"/>
      <c r="GO105" s="1564"/>
      <c r="GP105" s="1564"/>
      <c r="GQ105" s="1564"/>
      <c r="GR105" s="1564"/>
      <c r="GS105" s="1565"/>
      <c r="GT105" s="1565"/>
      <c r="GU105" s="1526"/>
      <c r="GV105" s="466"/>
      <c r="GW105" s="466"/>
      <c r="GX105" s="466"/>
      <c r="GY105" s="466"/>
      <c r="GZ105" s="466"/>
      <c r="HA105" s="466"/>
      <c r="HB105" s="466"/>
      <c r="HC105" s="466"/>
      <c r="HD105" s="466"/>
      <c r="HE105" s="844"/>
      <c r="HF105" s="844"/>
      <c r="HG105" s="844"/>
      <c r="HH105" s="844"/>
      <c r="HI105" s="844"/>
      <c r="HJ105" s="844"/>
      <c r="HK105" s="844"/>
      <c r="HL105" s="844"/>
      <c r="HM105" s="844"/>
      <c r="HN105" s="844"/>
      <c r="HO105" s="1575"/>
      <c r="HP105" s="466"/>
      <c r="HQ105" s="466"/>
      <c r="HR105" s="466"/>
      <c r="HS105" s="415"/>
      <c r="HT105" s="2292"/>
    </row>
    <row r="106" spans="3:228">
      <c r="C106" s="466"/>
      <c r="D106" s="466"/>
      <c r="E106" s="3850"/>
      <c r="F106" s="516"/>
      <c r="G106" s="513"/>
      <c r="H106" s="525"/>
      <c r="I106" s="525"/>
      <c r="J106" s="523"/>
      <c r="K106" s="519"/>
      <c r="L106" s="466"/>
      <c r="M106" s="516"/>
      <c r="N106" s="513"/>
      <c r="O106" s="513"/>
      <c r="P106" s="510"/>
      <c r="Q106" s="510"/>
      <c r="R106" s="510"/>
      <c r="S106" s="510"/>
      <c r="T106" s="510"/>
      <c r="U106" s="510"/>
      <c r="V106" s="510"/>
      <c r="W106" s="510"/>
      <c r="X106" s="510"/>
      <c r="Y106" s="510"/>
      <c r="Z106" s="510"/>
      <c r="AA106" s="510"/>
      <c r="AB106" s="510"/>
      <c r="AC106" s="510"/>
      <c r="AD106" s="510"/>
      <c r="AE106" s="510"/>
      <c r="AF106" s="510"/>
      <c r="AG106" s="510"/>
      <c r="AH106" s="510"/>
      <c r="AI106" s="510"/>
      <c r="AJ106" s="510"/>
      <c r="AK106" s="510"/>
      <c r="AL106" s="510"/>
      <c r="AM106" s="510"/>
      <c r="AN106" s="510"/>
      <c r="AO106" s="510"/>
      <c r="AP106" s="510"/>
      <c r="AQ106" s="510"/>
      <c r="AR106" s="510"/>
      <c r="AS106" s="510"/>
      <c r="AT106" s="510"/>
      <c r="AU106" s="510"/>
      <c r="AV106" s="510"/>
      <c r="AW106" s="510"/>
      <c r="AX106" s="510"/>
      <c r="AY106" s="510"/>
      <c r="AZ106" s="466"/>
      <c r="BA106" s="466"/>
      <c r="BB106" s="466"/>
      <c r="BC106" s="466"/>
      <c r="BD106" s="466"/>
      <c r="BE106" s="466"/>
      <c r="BF106" s="466"/>
      <c r="BG106" s="466"/>
      <c r="BH106" s="466"/>
      <c r="BI106" s="466"/>
      <c r="BJ106" s="466"/>
      <c r="BK106" s="466"/>
      <c r="BL106" s="466"/>
      <c r="BM106" s="518"/>
      <c r="BN106" s="524"/>
      <c r="BO106" s="518"/>
      <c r="BP106" s="518"/>
      <c r="BQ106" s="518"/>
      <c r="BR106" s="466"/>
      <c r="BS106" s="466"/>
      <c r="BT106" s="466"/>
      <c r="BU106" s="466"/>
      <c r="BV106" s="466"/>
      <c r="BW106" s="466"/>
      <c r="BX106" s="466"/>
      <c r="BY106" s="466"/>
      <c r="BZ106" s="466"/>
      <c r="CA106" s="466"/>
      <c r="CB106" s="466"/>
      <c r="CC106" s="466"/>
      <c r="CD106" s="466"/>
      <c r="CE106" s="466"/>
      <c r="CF106" s="466"/>
      <c r="CG106" s="466"/>
      <c r="CH106" s="466"/>
      <c r="CI106" s="466"/>
      <c r="CJ106" s="466"/>
      <c r="CK106" s="466"/>
      <c r="CL106" s="466"/>
      <c r="CM106" s="466"/>
      <c r="CN106" s="466"/>
      <c r="CO106" s="466"/>
      <c r="CP106" s="466"/>
      <c r="CQ106" s="466"/>
      <c r="CR106" s="466"/>
      <c r="CS106" s="466"/>
      <c r="CT106" s="466"/>
      <c r="CU106" s="466"/>
      <c r="CV106" s="466"/>
      <c r="CW106" s="466"/>
      <c r="CX106" s="466"/>
      <c r="CY106" s="466"/>
      <c r="CZ106" s="466"/>
      <c r="DA106" s="466"/>
      <c r="DB106" s="466"/>
      <c r="DC106" s="466"/>
      <c r="DD106" s="466"/>
      <c r="DE106" s="466"/>
      <c r="DF106" s="466"/>
      <c r="DG106" s="466"/>
      <c r="DH106" s="1520"/>
      <c r="DI106" s="1520"/>
      <c r="DJ106" s="1520"/>
      <c r="DK106" s="1520"/>
      <c r="DL106" s="1520"/>
      <c r="DM106" s="1520"/>
      <c r="DN106" s="1520"/>
      <c r="DO106" s="1520"/>
      <c r="DP106" s="1520"/>
      <c r="DQ106" s="1520"/>
      <c r="DR106" s="1520"/>
      <c r="DS106" s="1520"/>
      <c r="DT106" s="1520"/>
      <c r="DU106" s="1520"/>
      <c r="DV106" s="1520"/>
      <c r="DW106" s="1520"/>
      <c r="DX106" s="1520"/>
      <c r="DY106" s="1520"/>
      <c r="DZ106" s="1520"/>
      <c r="EA106" s="1520"/>
      <c r="EB106" s="1520"/>
      <c r="EC106" s="1520"/>
      <c r="ED106" s="1520"/>
      <c r="EE106" s="1520"/>
      <c r="EF106" s="1520"/>
      <c r="EG106" s="1520"/>
      <c r="EH106" s="1520"/>
      <c r="EI106" s="1520"/>
      <c r="EJ106" s="1520"/>
      <c r="EK106" s="1520"/>
      <c r="EL106" s="1520"/>
      <c r="EM106" s="1520"/>
      <c r="EN106" s="1520"/>
      <c r="EO106" s="1520"/>
      <c r="EP106" s="1520"/>
      <c r="EQ106" s="1520"/>
      <c r="ER106" s="1520"/>
      <c r="ES106" s="1520"/>
      <c r="ET106" s="1520"/>
      <c r="EU106" s="1520"/>
      <c r="EV106" s="1520"/>
      <c r="EW106" s="1520"/>
      <c r="EX106" s="1520"/>
      <c r="EY106" s="1520"/>
      <c r="EZ106" s="1520"/>
      <c r="FA106" s="1520"/>
      <c r="FB106" s="1520"/>
      <c r="FC106" s="1520"/>
      <c r="FD106" s="2434"/>
      <c r="FE106" s="466"/>
      <c r="FF106" s="466"/>
      <c r="FG106" s="466"/>
      <c r="FH106" s="466"/>
      <c r="FI106" s="466"/>
      <c r="FJ106" s="466"/>
      <c r="FK106" s="466"/>
      <c r="FL106" s="466"/>
      <c r="FM106" s="466"/>
      <c r="FN106" s="466"/>
      <c r="FO106" s="466"/>
      <c r="FP106" s="466"/>
      <c r="FQ106" s="466"/>
      <c r="FR106" s="466"/>
      <c r="FS106" s="466"/>
      <c r="FT106" s="466"/>
      <c r="FU106" s="466"/>
      <c r="FV106" s="466"/>
      <c r="FW106" s="466"/>
      <c r="FX106" s="466"/>
      <c r="FY106" s="466"/>
      <c r="FZ106" s="466"/>
      <c r="GA106" s="466"/>
      <c r="GB106" s="466"/>
      <c r="GC106" s="466"/>
      <c r="GD106" s="466"/>
      <c r="GE106" s="466"/>
      <c r="GF106" s="466"/>
      <c r="GG106" s="466"/>
      <c r="GH106" s="466"/>
      <c r="GI106" s="466"/>
      <c r="GJ106" s="466"/>
      <c r="GK106" s="466"/>
      <c r="GL106" s="466"/>
      <c r="GM106" s="466"/>
      <c r="GN106" s="466"/>
      <c r="GO106" s="1564"/>
      <c r="GP106" s="1564"/>
      <c r="GQ106" s="1564"/>
      <c r="GR106" s="1564"/>
      <c r="GS106" s="1565"/>
      <c r="GT106" s="1565"/>
      <c r="GU106" s="1526"/>
      <c r="GV106" s="466"/>
      <c r="GW106" s="466"/>
      <c r="GX106" s="466"/>
      <c r="GY106" s="466"/>
      <c r="GZ106" s="466"/>
      <c r="HA106" s="466"/>
      <c r="HB106" s="466"/>
      <c r="HC106" s="466"/>
      <c r="HD106" s="466"/>
      <c r="HE106" s="844"/>
      <c r="HF106" s="844"/>
      <c r="HG106" s="844"/>
      <c r="HH106" s="844"/>
      <c r="HI106" s="844"/>
      <c r="HJ106" s="844"/>
      <c r="HK106" s="844"/>
      <c r="HL106" s="844"/>
      <c r="HM106" s="844"/>
      <c r="HN106" s="844"/>
      <c r="HO106" s="1575"/>
      <c r="HP106" s="466"/>
      <c r="HQ106" s="466"/>
      <c r="HR106" s="466"/>
      <c r="HS106" s="415"/>
      <c r="HT106" s="2292"/>
    </row>
    <row r="107" spans="3:228">
      <c r="C107" s="466"/>
      <c r="D107" s="466"/>
      <c r="E107" s="3850"/>
      <c r="F107" s="516"/>
      <c r="G107" s="513"/>
      <c r="H107" s="525"/>
      <c r="I107" s="525"/>
      <c r="J107" s="525"/>
      <c r="K107" s="519"/>
      <c r="L107" s="466"/>
      <c r="M107" s="516"/>
      <c r="N107" s="513"/>
      <c r="O107" s="513"/>
      <c r="P107" s="510"/>
      <c r="Q107" s="510"/>
      <c r="R107" s="510"/>
      <c r="S107" s="510"/>
      <c r="T107" s="510"/>
      <c r="U107" s="510"/>
      <c r="V107" s="510"/>
      <c r="W107" s="510"/>
      <c r="X107" s="510"/>
      <c r="Y107" s="510"/>
      <c r="Z107" s="510"/>
      <c r="AA107" s="510"/>
      <c r="AB107" s="510"/>
      <c r="AC107" s="510"/>
      <c r="AD107" s="510"/>
      <c r="AE107" s="510"/>
      <c r="AF107" s="510"/>
      <c r="AG107" s="510"/>
      <c r="AH107" s="510"/>
      <c r="AI107" s="510"/>
      <c r="AJ107" s="510"/>
      <c r="AK107" s="510"/>
      <c r="AL107" s="510"/>
      <c r="AM107" s="510"/>
      <c r="AN107" s="510"/>
      <c r="AO107" s="510"/>
      <c r="AP107" s="510"/>
      <c r="AQ107" s="510"/>
      <c r="AR107" s="510"/>
      <c r="AS107" s="510"/>
      <c r="AT107" s="510"/>
      <c r="AU107" s="510"/>
      <c r="AV107" s="510"/>
      <c r="AW107" s="510"/>
      <c r="AX107" s="510"/>
      <c r="AY107" s="510"/>
      <c r="AZ107" s="466"/>
      <c r="BA107" s="466"/>
      <c r="BB107" s="466"/>
      <c r="BC107" s="466"/>
      <c r="BD107" s="466"/>
      <c r="BE107" s="466"/>
      <c r="BF107" s="466"/>
      <c r="BG107" s="466"/>
      <c r="BH107" s="466"/>
      <c r="BI107" s="466"/>
      <c r="BJ107" s="466"/>
      <c r="BK107" s="466"/>
      <c r="BL107" s="466"/>
      <c r="BM107" s="518"/>
      <c r="BN107" s="524"/>
      <c r="BO107" s="518"/>
      <c r="BP107" s="518"/>
      <c r="BQ107" s="518"/>
      <c r="BR107" s="466"/>
      <c r="BS107" s="466"/>
      <c r="BT107" s="466"/>
      <c r="BU107" s="466"/>
      <c r="BV107" s="466"/>
      <c r="BW107" s="466"/>
      <c r="BX107" s="466"/>
      <c r="BY107" s="466"/>
      <c r="BZ107" s="466"/>
      <c r="CA107" s="466"/>
      <c r="CB107" s="466"/>
      <c r="CC107" s="466"/>
      <c r="CD107" s="466"/>
      <c r="CE107" s="466"/>
      <c r="CF107" s="466"/>
      <c r="CG107" s="466"/>
      <c r="CH107" s="466"/>
      <c r="CI107" s="466"/>
      <c r="CJ107" s="466"/>
      <c r="CK107" s="466"/>
      <c r="CL107" s="466"/>
      <c r="CM107" s="466"/>
      <c r="CN107" s="466"/>
      <c r="CO107" s="466"/>
      <c r="CP107" s="466"/>
      <c r="CQ107" s="466"/>
      <c r="CR107" s="466"/>
      <c r="CS107" s="466"/>
      <c r="CT107" s="466"/>
      <c r="CU107" s="466"/>
      <c r="CV107" s="466"/>
      <c r="CW107" s="466"/>
      <c r="CX107" s="466"/>
      <c r="CY107" s="466"/>
      <c r="CZ107" s="466"/>
      <c r="DA107" s="466"/>
      <c r="DB107" s="466"/>
      <c r="DC107" s="466"/>
      <c r="DD107" s="466"/>
      <c r="DE107" s="466"/>
      <c r="DF107" s="466"/>
      <c r="DG107" s="466"/>
      <c r="DH107" s="1520"/>
      <c r="DI107" s="1520"/>
      <c r="DJ107" s="1520"/>
      <c r="DK107" s="1520"/>
      <c r="DL107" s="1520"/>
      <c r="DM107" s="1520"/>
      <c r="DN107" s="1520"/>
      <c r="DO107" s="1520"/>
      <c r="DP107" s="1520"/>
      <c r="DQ107" s="1520"/>
      <c r="DR107" s="1520"/>
      <c r="DS107" s="1520"/>
      <c r="DT107" s="1520"/>
      <c r="DU107" s="1520"/>
      <c r="DV107" s="1520"/>
      <c r="DW107" s="1520"/>
      <c r="DX107" s="1520"/>
      <c r="DY107" s="1520"/>
      <c r="DZ107" s="1520"/>
      <c r="EA107" s="1520"/>
      <c r="EB107" s="1520"/>
      <c r="EC107" s="1520"/>
      <c r="ED107" s="1520"/>
      <c r="EE107" s="1520"/>
      <c r="EF107" s="1520"/>
      <c r="EG107" s="1520"/>
      <c r="EH107" s="1520"/>
      <c r="EI107" s="1520"/>
      <c r="EJ107" s="1520"/>
      <c r="EK107" s="1520"/>
      <c r="EL107" s="1520"/>
      <c r="EM107" s="1520"/>
      <c r="EN107" s="1520"/>
      <c r="EO107" s="1520"/>
      <c r="EP107" s="1520"/>
      <c r="EQ107" s="1520"/>
      <c r="ER107" s="1520"/>
      <c r="ES107" s="1520"/>
      <c r="ET107" s="1520"/>
      <c r="EU107" s="1520"/>
      <c r="EV107" s="1520"/>
      <c r="EW107" s="1520"/>
      <c r="EX107" s="1520"/>
      <c r="EY107" s="1520"/>
      <c r="EZ107" s="1520"/>
      <c r="FA107" s="1520"/>
      <c r="FB107" s="1520"/>
      <c r="FC107" s="1520"/>
      <c r="FD107" s="2434"/>
      <c r="FE107" s="466"/>
      <c r="FF107" s="466"/>
      <c r="FG107" s="466"/>
      <c r="FH107" s="466"/>
      <c r="FI107" s="466"/>
      <c r="FJ107" s="466"/>
      <c r="FK107" s="466"/>
      <c r="FL107" s="466"/>
      <c r="FM107" s="466"/>
      <c r="FN107" s="466"/>
      <c r="FO107" s="466"/>
      <c r="FP107" s="466"/>
      <c r="FQ107" s="466"/>
      <c r="FR107" s="466"/>
      <c r="FS107" s="466"/>
      <c r="FT107" s="466"/>
      <c r="FU107" s="466"/>
      <c r="FV107" s="466"/>
      <c r="FW107" s="466"/>
      <c r="FX107" s="466"/>
      <c r="FY107" s="466"/>
      <c r="FZ107" s="466"/>
      <c r="GA107" s="466"/>
      <c r="GB107" s="466"/>
      <c r="GC107" s="466"/>
      <c r="GD107" s="466"/>
      <c r="GE107" s="466"/>
      <c r="GF107" s="466"/>
      <c r="GG107" s="466"/>
      <c r="GH107" s="466"/>
      <c r="GI107" s="466"/>
      <c r="GJ107" s="466"/>
      <c r="GK107" s="466"/>
      <c r="GL107" s="466"/>
      <c r="GM107" s="466"/>
      <c r="GN107" s="466"/>
      <c r="GO107" s="1564"/>
      <c r="GP107" s="1564"/>
      <c r="GQ107" s="1564"/>
      <c r="GR107" s="1564"/>
      <c r="GS107" s="1565"/>
      <c r="GT107" s="1565"/>
      <c r="GU107" s="1526"/>
      <c r="GV107" s="466"/>
      <c r="GW107" s="466"/>
      <c r="GX107" s="466"/>
      <c r="GY107" s="466"/>
      <c r="GZ107" s="466"/>
      <c r="HA107" s="466"/>
      <c r="HB107" s="466"/>
      <c r="HC107" s="466"/>
      <c r="HD107" s="466"/>
      <c r="HE107" s="844"/>
      <c r="HF107" s="844"/>
      <c r="HG107" s="844"/>
      <c r="HH107" s="844"/>
      <c r="HI107" s="844"/>
      <c r="HJ107" s="844"/>
      <c r="HK107" s="844"/>
      <c r="HL107" s="844"/>
      <c r="HM107" s="844"/>
      <c r="HN107" s="844"/>
      <c r="HO107" s="1575"/>
      <c r="HP107" s="466"/>
      <c r="HQ107" s="466"/>
      <c r="HR107" s="466"/>
      <c r="HS107" s="415"/>
      <c r="HT107" s="2292"/>
    </row>
    <row r="108" spans="3:228">
      <c r="C108" s="466"/>
      <c r="D108" s="466"/>
      <c r="E108" s="3850"/>
      <c r="F108" s="516"/>
      <c r="G108" s="513"/>
      <c r="H108" s="525"/>
      <c r="I108" s="525"/>
      <c r="J108" s="523"/>
      <c r="K108" s="519"/>
      <c r="L108" s="466"/>
      <c r="M108" s="516"/>
      <c r="N108" s="513"/>
      <c r="O108" s="513"/>
      <c r="P108" s="510"/>
      <c r="Q108" s="510"/>
      <c r="R108" s="510"/>
      <c r="S108" s="510"/>
      <c r="T108" s="510"/>
      <c r="U108" s="510"/>
      <c r="V108" s="510"/>
      <c r="W108" s="510"/>
      <c r="X108" s="510"/>
      <c r="Y108" s="510"/>
      <c r="Z108" s="510"/>
      <c r="AA108" s="510"/>
      <c r="AB108" s="510"/>
      <c r="AC108" s="510"/>
      <c r="AD108" s="510"/>
      <c r="AE108" s="510"/>
      <c r="AF108" s="510"/>
      <c r="AG108" s="510"/>
      <c r="AH108" s="510"/>
      <c r="AI108" s="510"/>
      <c r="AJ108" s="510"/>
      <c r="AK108" s="510"/>
      <c r="AL108" s="510"/>
      <c r="AM108" s="510"/>
      <c r="AN108" s="510"/>
      <c r="AO108" s="510"/>
      <c r="AP108" s="510"/>
      <c r="AQ108" s="510"/>
      <c r="AR108" s="510"/>
      <c r="AS108" s="510"/>
      <c r="AT108" s="510"/>
      <c r="AU108" s="510"/>
      <c r="AV108" s="510"/>
      <c r="AW108" s="510"/>
      <c r="AX108" s="510"/>
      <c r="AY108" s="510"/>
      <c r="AZ108" s="466"/>
      <c r="BA108" s="466"/>
      <c r="BB108" s="466"/>
      <c r="BC108" s="466"/>
      <c r="BD108" s="466"/>
      <c r="BE108" s="466"/>
      <c r="BF108" s="466"/>
      <c r="BG108" s="466"/>
      <c r="BH108" s="466"/>
      <c r="BI108" s="466"/>
      <c r="BJ108" s="466"/>
      <c r="BK108" s="466"/>
      <c r="BL108" s="466"/>
      <c r="BM108" s="518"/>
      <c r="BN108" s="524"/>
      <c r="BO108" s="518"/>
      <c r="BP108" s="518"/>
      <c r="BQ108" s="518"/>
      <c r="BR108" s="466"/>
      <c r="BS108" s="466"/>
      <c r="BT108" s="466"/>
      <c r="BU108" s="466"/>
      <c r="BV108" s="466"/>
      <c r="BW108" s="466"/>
      <c r="BX108" s="466"/>
      <c r="BY108" s="466"/>
      <c r="BZ108" s="466"/>
      <c r="CA108" s="466"/>
      <c r="CB108" s="466"/>
      <c r="CC108" s="466"/>
      <c r="CD108" s="466"/>
      <c r="CE108" s="466"/>
      <c r="CF108" s="466"/>
      <c r="CG108" s="466"/>
      <c r="CH108" s="466"/>
      <c r="CI108" s="466"/>
      <c r="CJ108" s="466"/>
      <c r="CK108" s="466"/>
      <c r="CL108" s="466"/>
      <c r="CM108" s="466"/>
      <c r="CN108" s="466"/>
      <c r="CO108" s="466"/>
      <c r="CP108" s="466"/>
      <c r="CQ108" s="466"/>
      <c r="CR108" s="466"/>
      <c r="CS108" s="466"/>
      <c r="CT108" s="466"/>
      <c r="CU108" s="466"/>
      <c r="CV108" s="466"/>
      <c r="CW108" s="466"/>
      <c r="CX108" s="466"/>
      <c r="CY108" s="466"/>
      <c r="CZ108" s="466"/>
      <c r="DA108" s="466"/>
      <c r="DB108" s="466"/>
      <c r="DC108" s="466"/>
      <c r="DD108" s="466"/>
      <c r="DE108" s="466"/>
      <c r="DF108" s="466"/>
      <c r="DG108" s="466"/>
      <c r="DH108" s="1520"/>
      <c r="DI108" s="1520"/>
      <c r="DJ108" s="1520"/>
      <c r="DK108" s="1520"/>
      <c r="DL108" s="1520"/>
      <c r="DM108" s="1520"/>
      <c r="DN108" s="1520"/>
      <c r="DO108" s="1520"/>
      <c r="DP108" s="1520"/>
      <c r="DQ108" s="1520"/>
      <c r="DR108" s="1520"/>
      <c r="DS108" s="1520"/>
      <c r="DT108" s="1520"/>
      <c r="DU108" s="1520"/>
      <c r="DV108" s="1520"/>
      <c r="DW108" s="1520"/>
      <c r="DX108" s="1520"/>
      <c r="DY108" s="1520"/>
      <c r="DZ108" s="1520"/>
      <c r="EA108" s="1520"/>
      <c r="EB108" s="1520"/>
      <c r="EC108" s="1520"/>
      <c r="ED108" s="1520"/>
      <c r="EE108" s="1520"/>
      <c r="EF108" s="1520"/>
      <c r="EG108" s="1520"/>
      <c r="EH108" s="1520"/>
      <c r="EI108" s="1520"/>
      <c r="EJ108" s="1520"/>
      <c r="EK108" s="1520"/>
      <c r="EL108" s="1520"/>
      <c r="EM108" s="1520"/>
      <c r="EN108" s="1520"/>
      <c r="EO108" s="1520"/>
      <c r="EP108" s="1520"/>
      <c r="EQ108" s="1520"/>
      <c r="ER108" s="1520"/>
      <c r="ES108" s="1520"/>
      <c r="ET108" s="1520"/>
      <c r="EU108" s="1520"/>
      <c r="EV108" s="1520"/>
      <c r="EW108" s="1520"/>
      <c r="EX108" s="1520"/>
      <c r="EY108" s="1520"/>
      <c r="EZ108" s="1520"/>
      <c r="FA108" s="1520"/>
      <c r="FB108" s="1520"/>
      <c r="FC108" s="1520"/>
      <c r="FD108" s="2434"/>
      <c r="FE108" s="466"/>
      <c r="FF108" s="466"/>
      <c r="FG108" s="466"/>
      <c r="FH108" s="466"/>
      <c r="FI108" s="466"/>
      <c r="FJ108" s="466"/>
      <c r="FK108" s="466"/>
      <c r="FL108" s="466"/>
      <c r="FM108" s="466"/>
      <c r="FN108" s="466"/>
      <c r="FO108" s="466"/>
      <c r="FP108" s="466"/>
      <c r="FQ108" s="466"/>
      <c r="FR108" s="466"/>
      <c r="FS108" s="466"/>
      <c r="FT108" s="466"/>
      <c r="FU108" s="466"/>
      <c r="FV108" s="466"/>
      <c r="FW108" s="466"/>
      <c r="FX108" s="466"/>
      <c r="FY108" s="466"/>
      <c r="FZ108" s="466"/>
      <c r="GA108" s="466"/>
      <c r="GB108" s="466"/>
      <c r="GC108" s="466"/>
      <c r="GD108" s="466"/>
      <c r="GE108" s="466"/>
      <c r="GF108" s="466"/>
      <c r="GG108" s="466"/>
      <c r="GH108" s="466"/>
      <c r="GI108" s="466"/>
      <c r="GJ108" s="466"/>
      <c r="GK108" s="466"/>
      <c r="GL108" s="466"/>
      <c r="GM108" s="466"/>
      <c r="GN108" s="466"/>
      <c r="GO108" s="1564"/>
      <c r="GP108" s="1564"/>
      <c r="GQ108" s="1564"/>
      <c r="GR108" s="1564"/>
      <c r="GS108" s="1565"/>
      <c r="GT108" s="1565"/>
      <c r="GU108" s="1526"/>
      <c r="GV108" s="466"/>
      <c r="GW108" s="466"/>
      <c r="GX108" s="466"/>
      <c r="GY108" s="466"/>
      <c r="GZ108" s="466"/>
      <c r="HA108" s="466"/>
      <c r="HB108" s="466"/>
      <c r="HC108" s="466"/>
      <c r="HD108" s="466"/>
      <c r="HE108" s="844"/>
      <c r="HF108" s="844"/>
      <c r="HG108" s="844"/>
      <c r="HH108" s="844"/>
      <c r="HI108" s="844"/>
      <c r="HJ108" s="844"/>
      <c r="HK108" s="844"/>
      <c r="HL108" s="844"/>
      <c r="HM108" s="844"/>
      <c r="HN108" s="844"/>
      <c r="HO108" s="1575"/>
      <c r="HP108" s="466"/>
      <c r="HQ108" s="466"/>
      <c r="HR108" s="466"/>
      <c r="HS108" s="415"/>
      <c r="HT108" s="2292"/>
    </row>
    <row r="109" spans="3:228">
      <c r="C109" s="466"/>
      <c r="D109" s="466"/>
      <c r="E109" s="3850"/>
      <c r="F109" s="516"/>
      <c r="G109" s="513"/>
      <c r="H109" s="525"/>
      <c r="I109" s="525"/>
      <c r="J109" s="523"/>
      <c r="K109" s="519"/>
      <c r="L109" s="466"/>
      <c r="M109" s="516"/>
      <c r="N109" s="513"/>
      <c r="O109" s="513"/>
      <c r="P109" s="510"/>
      <c r="Q109" s="510"/>
      <c r="R109" s="510"/>
      <c r="S109" s="510"/>
      <c r="T109" s="510"/>
      <c r="U109" s="510"/>
      <c r="V109" s="510"/>
      <c r="W109" s="510"/>
      <c r="X109" s="510"/>
      <c r="Y109" s="510"/>
      <c r="Z109" s="510"/>
      <c r="AA109" s="510"/>
      <c r="AB109" s="510"/>
      <c r="AC109" s="510"/>
      <c r="AD109" s="510"/>
      <c r="AE109" s="510"/>
      <c r="AF109" s="510"/>
      <c r="AG109" s="510"/>
      <c r="AH109" s="510"/>
      <c r="AI109" s="510"/>
      <c r="AJ109" s="510"/>
      <c r="AK109" s="510"/>
      <c r="AL109" s="510"/>
      <c r="AM109" s="510"/>
      <c r="AN109" s="510"/>
      <c r="AO109" s="510"/>
      <c r="AP109" s="510"/>
      <c r="AQ109" s="510"/>
      <c r="AR109" s="510"/>
      <c r="AS109" s="510"/>
      <c r="AT109" s="510"/>
      <c r="AU109" s="510"/>
      <c r="AV109" s="510"/>
      <c r="AW109" s="510"/>
      <c r="AX109" s="510"/>
      <c r="AY109" s="510"/>
      <c r="AZ109" s="466"/>
      <c r="BA109" s="466"/>
      <c r="BB109" s="466"/>
      <c r="BC109" s="466"/>
      <c r="BD109" s="466"/>
      <c r="BE109" s="466"/>
      <c r="BF109" s="466"/>
      <c r="BG109" s="466"/>
      <c r="BH109" s="466"/>
      <c r="BI109" s="466"/>
      <c r="BJ109" s="466"/>
      <c r="BK109" s="466"/>
      <c r="BL109" s="466"/>
      <c r="BM109" s="518"/>
      <c r="BN109" s="524"/>
      <c r="BO109" s="518"/>
      <c r="BP109" s="518"/>
      <c r="BQ109" s="518"/>
      <c r="BR109" s="466"/>
      <c r="BS109" s="466"/>
      <c r="BT109" s="466"/>
      <c r="BU109" s="466"/>
      <c r="BV109" s="466"/>
      <c r="BW109" s="466"/>
      <c r="BX109" s="466"/>
      <c r="BY109" s="466"/>
      <c r="BZ109" s="466"/>
      <c r="CA109" s="466"/>
      <c r="CB109" s="466"/>
      <c r="CC109" s="466"/>
      <c r="CD109" s="466"/>
      <c r="CE109" s="466"/>
      <c r="CF109" s="466"/>
      <c r="CG109" s="466"/>
      <c r="CH109" s="466"/>
      <c r="CI109" s="466"/>
      <c r="CJ109" s="466"/>
      <c r="CK109" s="466"/>
      <c r="CL109" s="466"/>
      <c r="CM109" s="466"/>
      <c r="CN109" s="466"/>
      <c r="CO109" s="466"/>
      <c r="CP109" s="466"/>
      <c r="CQ109" s="466"/>
      <c r="CR109" s="466"/>
      <c r="CS109" s="466"/>
      <c r="CT109" s="466"/>
      <c r="CU109" s="466"/>
      <c r="CV109" s="466"/>
      <c r="CW109" s="466"/>
      <c r="CX109" s="466"/>
      <c r="CY109" s="466"/>
      <c r="CZ109" s="466"/>
      <c r="DA109" s="466"/>
      <c r="DB109" s="466"/>
      <c r="DC109" s="466"/>
      <c r="DD109" s="466"/>
      <c r="DE109" s="466"/>
      <c r="DF109" s="466"/>
      <c r="DG109" s="466"/>
      <c r="DH109" s="1520"/>
      <c r="DI109" s="1520"/>
      <c r="DJ109" s="1520"/>
      <c r="DK109" s="1520"/>
      <c r="DL109" s="1520"/>
      <c r="DM109" s="1520"/>
      <c r="DN109" s="1520"/>
      <c r="DO109" s="1520"/>
      <c r="DP109" s="1520"/>
      <c r="DQ109" s="1520"/>
      <c r="DR109" s="1520"/>
      <c r="DS109" s="1520"/>
      <c r="DT109" s="1520"/>
      <c r="DU109" s="1520"/>
      <c r="DV109" s="1520"/>
      <c r="DW109" s="1520"/>
      <c r="DX109" s="1520"/>
      <c r="DY109" s="1520"/>
      <c r="DZ109" s="1520"/>
      <c r="EA109" s="1520"/>
      <c r="EB109" s="1520"/>
      <c r="EC109" s="1520"/>
      <c r="ED109" s="1520"/>
      <c r="EE109" s="1520"/>
      <c r="EF109" s="1520"/>
      <c r="EG109" s="1520"/>
      <c r="EH109" s="1520"/>
      <c r="EI109" s="1520"/>
      <c r="EJ109" s="1520"/>
      <c r="EK109" s="1520"/>
      <c r="EL109" s="1520"/>
      <c r="EM109" s="1520"/>
      <c r="EN109" s="1520"/>
      <c r="EO109" s="1520"/>
      <c r="EP109" s="1520"/>
      <c r="EQ109" s="1520"/>
      <c r="ER109" s="1520"/>
      <c r="ES109" s="1520"/>
      <c r="ET109" s="1520"/>
      <c r="EU109" s="1520"/>
      <c r="EV109" s="1520"/>
      <c r="EW109" s="1520"/>
      <c r="EX109" s="1520"/>
      <c r="EY109" s="1520"/>
      <c r="EZ109" s="1520"/>
      <c r="FA109" s="1520"/>
      <c r="FB109" s="1520"/>
      <c r="FC109" s="1520"/>
      <c r="FD109" s="2434"/>
      <c r="FE109" s="466"/>
      <c r="FF109" s="466"/>
      <c r="FG109" s="466"/>
      <c r="FH109" s="466"/>
      <c r="FI109" s="466"/>
      <c r="FJ109" s="466"/>
      <c r="FK109" s="466"/>
      <c r="FL109" s="466"/>
      <c r="FM109" s="466"/>
      <c r="FN109" s="466"/>
      <c r="FO109" s="466"/>
      <c r="FP109" s="466"/>
      <c r="FQ109" s="466"/>
      <c r="FR109" s="466"/>
      <c r="FS109" s="466"/>
      <c r="FT109" s="466"/>
      <c r="FU109" s="466"/>
      <c r="FV109" s="466"/>
      <c r="FW109" s="466"/>
      <c r="FX109" s="466"/>
      <c r="FY109" s="466"/>
      <c r="FZ109" s="466"/>
      <c r="GA109" s="466"/>
      <c r="GB109" s="466"/>
      <c r="GC109" s="466"/>
      <c r="GD109" s="466"/>
      <c r="GE109" s="466"/>
      <c r="GF109" s="466"/>
      <c r="GG109" s="466"/>
      <c r="GH109" s="466"/>
      <c r="GI109" s="466"/>
      <c r="GJ109" s="466"/>
      <c r="GK109" s="466"/>
      <c r="GL109" s="466"/>
      <c r="GM109" s="466"/>
      <c r="GN109" s="466"/>
      <c r="GO109" s="1564"/>
      <c r="GP109" s="1564"/>
      <c r="GQ109" s="1564"/>
      <c r="GR109" s="1564"/>
      <c r="GS109" s="1565"/>
      <c r="GT109" s="1565"/>
      <c r="GU109" s="1526"/>
      <c r="GV109" s="466"/>
      <c r="GW109" s="466"/>
      <c r="GX109" s="466"/>
      <c r="GY109" s="466"/>
      <c r="GZ109" s="466"/>
      <c r="HA109" s="466"/>
      <c r="HB109" s="466"/>
      <c r="HC109" s="466"/>
      <c r="HD109" s="466"/>
      <c r="HE109" s="844"/>
      <c r="HF109" s="844"/>
      <c r="HG109" s="844"/>
      <c r="HH109" s="844"/>
      <c r="HI109" s="844"/>
      <c r="HJ109" s="844"/>
      <c r="HK109" s="844"/>
      <c r="HL109" s="844"/>
      <c r="HM109" s="844"/>
      <c r="HN109" s="844"/>
      <c r="HO109" s="1575"/>
      <c r="HP109" s="466"/>
      <c r="HQ109" s="466"/>
      <c r="HR109" s="466"/>
      <c r="HS109" s="415"/>
      <c r="HT109" s="2292"/>
    </row>
    <row r="110" spans="3:228">
      <c r="C110" s="466"/>
      <c r="D110" s="466"/>
      <c r="E110" s="3850"/>
      <c r="F110" s="516"/>
      <c r="G110" s="513"/>
      <c r="H110" s="525"/>
      <c r="I110" s="525"/>
      <c r="J110" s="523"/>
      <c r="K110" s="519"/>
      <c r="L110" s="466"/>
      <c r="M110" s="516"/>
      <c r="N110" s="513"/>
      <c r="O110" s="513"/>
      <c r="P110" s="510"/>
      <c r="Q110" s="510"/>
      <c r="R110" s="510"/>
      <c r="S110" s="510"/>
      <c r="T110" s="510"/>
      <c r="U110" s="510"/>
      <c r="V110" s="510"/>
      <c r="W110" s="510"/>
      <c r="X110" s="510"/>
      <c r="Y110" s="510"/>
      <c r="Z110" s="510"/>
      <c r="AA110" s="510"/>
      <c r="AB110" s="510"/>
      <c r="AC110" s="510"/>
      <c r="AD110" s="510"/>
      <c r="AE110" s="510"/>
      <c r="AF110" s="510"/>
      <c r="AG110" s="510"/>
      <c r="AH110" s="510"/>
      <c r="AI110" s="510"/>
      <c r="AJ110" s="510"/>
      <c r="AK110" s="510"/>
      <c r="AL110" s="510"/>
      <c r="AM110" s="510"/>
      <c r="AN110" s="510"/>
      <c r="AO110" s="510"/>
      <c r="AP110" s="510"/>
      <c r="AQ110" s="510"/>
      <c r="AR110" s="510"/>
      <c r="AS110" s="510"/>
      <c r="AT110" s="510"/>
      <c r="AU110" s="510"/>
      <c r="AV110" s="510"/>
      <c r="AW110" s="510"/>
      <c r="AX110" s="510"/>
      <c r="AY110" s="510"/>
      <c r="AZ110" s="466"/>
      <c r="BA110" s="466"/>
      <c r="BB110" s="466"/>
      <c r="BC110" s="466"/>
      <c r="BD110" s="466"/>
      <c r="BE110" s="466"/>
      <c r="BF110" s="466"/>
      <c r="BG110" s="466"/>
      <c r="BH110" s="466"/>
      <c r="BI110" s="466"/>
      <c r="BJ110" s="466"/>
      <c r="BK110" s="466"/>
      <c r="BL110" s="466"/>
      <c r="BM110" s="518"/>
      <c r="BN110" s="524"/>
      <c r="BO110" s="518"/>
      <c r="BP110" s="518"/>
      <c r="BQ110" s="518"/>
      <c r="BR110" s="466"/>
      <c r="BS110" s="466"/>
      <c r="BT110" s="466"/>
      <c r="BU110" s="466"/>
      <c r="BV110" s="466"/>
      <c r="BW110" s="466"/>
      <c r="BX110" s="466"/>
      <c r="BY110" s="466"/>
      <c r="BZ110" s="466"/>
      <c r="CA110" s="466"/>
      <c r="CB110" s="466"/>
      <c r="CC110" s="466"/>
      <c r="CD110" s="466"/>
      <c r="CE110" s="466"/>
      <c r="CF110" s="466"/>
      <c r="CG110" s="466"/>
      <c r="CH110" s="466"/>
      <c r="CI110" s="466"/>
      <c r="CJ110" s="466"/>
      <c r="CK110" s="466"/>
      <c r="CL110" s="466"/>
      <c r="CM110" s="466"/>
      <c r="CN110" s="466"/>
      <c r="CO110" s="466"/>
      <c r="CP110" s="466"/>
      <c r="CQ110" s="466"/>
      <c r="CR110" s="466"/>
      <c r="CS110" s="466"/>
      <c r="CT110" s="466"/>
      <c r="CU110" s="466"/>
      <c r="CV110" s="466"/>
      <c r="CW110" s="466"/>
      <c r="CX110" s="466"/>
      <c r="CY110" s="466"/>
      <c r="CZ110" s="466"/>
      <c r="DA110" s="466"/>
      <c r="DB110" s="466"/>
      <c r="DC110" s="466"/>
      <c r="DD110" s="466"/>
      <c r="DE110" s="466"/>
      <c r="DF110" s="466"/>
      <c r="DG110" s="466"/>
      <c r="DH110" s="1520"/>
      <c r="DI110" s="1520"/>
      <c r="DJ110" s="1520"/>
      <c r="DK110" s="1520"/>
      <c r="DL110" s="1520"/>
      <c r="DM110" s="1520"/>
      <c r="DN110" s="1520"/>
      <c r="DO110" s="1520"/>
      <c r="DP110" s="1520"/>
      <c r="DQ110" s="1520"/>
      <c r="DR110" s="1520"/>
      <c r="DS110" s="1520"/>
      <c r="DT110" s="1520"/>
      <c r="DU110" s="1520"/>
      <c r="DV110" s="1520"/>
      <c r="DW110" s="1520"/>
      <c r="DX110" s="1520"/>
      <c r="DY110" s="1520"/>
      <c r="DZ110" s="1520"/>
      <c r="EA110" s="1520"/>
      <c r="EB110" s="1520"/>
      <c r="EC110" s="1520"/>
      <c r="ED110" s="1520"/>
      <c r="EE110" s="1520"/>
      <c r="EF110" s="1520"/>
      <c r="EG110" s="1520"/>
      <c r="EH110" s="1520"/>
      <c r="EI110" s="1520"/>
      <c r="EJ110" s="1520"/>
      <c r="EK110" s="1520"/>
      <c r="EL110" s="1520"/>
      <c r="EM110" s="1520"/>
      <c r="EN110" s="1520"/>
      <c r="EO110" s="1520"/>
      <c r="EP110" s="1520"/>
      <c r="EQ110" s="1520"/>
      <c r="ER110" s="1520"/>
      <c r="ES110" s="1520"/>
      <c r="ET110" s="1520"/>
      <c r="EU110" s="1520"/>
      <c r="EV110" s="1520"/>
      <c r="EW110" s="1520"/>
      <c r="EX110" s="1520"/>
      <c r="EY110" s="1520"/>
      <c r="EZ110" s="1520"/>
      <c r="FA110" s="1520"/>
      <c r="FB110" s="1520"/>
      <c r="FC110" s="1520"/>
      <c r="FD110" s="2434"/>
      <c r="FE110" s="466"/>
      <c r="FF110" s="466"/>
      <c r="FG110" s="466"/>
      <c r="FH110" s="466"/>
      <c r="FI110" s="466"/>
      <c r="FJ110" s="466"/>
      <c r="FK110" s="466"/>
      <c r="FL110" s="466"/>
      <c r="FM110" s="466"/>
      <c r="FN110" s="466"/>
      <c r="FO110" s="466"/>
      <c r="FP110" s="466"/>
      <c r="FQ110" s="466"/>
      <c r="FR110" s="466"/>
      <c r="FS110" s="466"/>
      <c r="FT110" s="466"/>
      <c r="FU110" s="466"/>
      <c r="FV110" s="466"/>
      <c r="FW110" s="466"/>
      <c r="FX110" s="466"/>
      <c r="FY110" s="466"/>
      <c r="FZ110" s="466"/>
      <c r="GA110" s="466"/>
      <c r="GB110" s="466"/>
      <c r="GC110" s="466"/>
      <c r="GD110" s="466"/>
      <c r="GE110" s="466"/>
      <c r="GF110" s="466"/>
      <c r="GG110" s="466"/>
      <c r="GH110" s="466"/>
      <c r="GI110" s="466"/>
      <c r="GJ110" s="466"/>
      <c r="GK110" s="466"/>
      <c r="GL110" s="466"/>
      <c r="GM110" s="466"/>
      <c r="GN110" s="466"/>
      <c r="GO110" s="1564"/>
      <c r="GP110" s="1564"/>
      <c r="GQ110" s="1564"/>
      <c r="GR110" s="1564"/>
      <c r="GS110" s="1565"/>
      <c r="GT110" s="1565"/>
      <c r="GU110" s="1526"/>
      <c r="GV110" s="466"/>
      <c r="GW110" s="466"/>
      <c r="GX110" s="466"/>
      <c r="GY110" s="466"/>
      <c r="GZ110" s="466"/>
      <c r="HA110" s="466"/>
      <c r="HB110" s="466"/>
      <c r="HC110" s="466"/>
      <c r="HD110" s="466"/>
      <c r="HE110" s="844"/>
      <c r="HF110" s="844"/>
      <c r="HG110" s="844"/>
      <c r="HH110" s="844"/>
      <c r="HI110" s="844"/>
      <c r="HJ110" s="844"/>
      <c r="HK110" s="844"/>
      <c r="HL110" s="844"/>
      <c r="HM110" s="844"/>
      <c r="HN110" s="844"/>
      <c r="HO110" s="1575"/>
      <c r="HP110" s="466"/>
      <c r="HQ110" s="466"/>
      <c r="HR110" s="466"/>
      <c r="HS110" s="415"/>
      <c r="HT110" s="2292"/>
    </row>
    <row r="111" spans="3:228">
      <c r="C111" s="466"/>
      <c r="D111" s="466"/>
      <c r="E111" s="3850"/>
      <c r="F111" s="516"/>
      <c r="G111" s="513"/>
      <c r="H111" s="525"/>
      <c r="I111" s="525"/>
      <c r="J111" s="523"/>
      <c r="K111" s="519"/>
      <c r="L111" s="466"/>
      <c r="M111" s="516"/>
      <c r="N111" s="513"/>
      <c r="O111" s="513"/>
      <c r="P111" s="510"/>
      <c r="Q111" s="510"/>
      <c r="R111" s="510"/>
      <c r="S111" s="510"/>
      <c r="T111" s="510"/>
      <c r="U111" s="510"/>
      <c r="V111" s="510"/>
      <c r="W111" s="510"/>
      <c r="X111" s="510"/>
      <c r="Y111" s="510"/>
      <c r="Z111" s="510"/>
      <c r="AA111" s="510"/>
      <c r="AB111" s="510"/>
      <c r="AC111" s="510"/>
      <c r="AD111" s="510"/>
      <c r="AE111" s="510"/>
      <c r="AF111" s="510"/>
      <c r="AG111" s="510"/>
      <c r="AH111" s="510"/>
      <c r="AI111" s="510"/>
      <c r="AJ111" s="510"/>
      <c r="AK111" s="510"/>
      <c r="AL111" s="510"/>
      <c r="AM111" s="510"/>
      <c r="AN111" s="510"/>
      <c r="AO111" s="510"/>
      <c r="AP111" s="510"/>
      <c r="AQ111" s="510"/>
      <c r="AR111" s="510"/>
      <c r="AS111" s="510"/>
      <c r="AT111" s="510"/>
      <c r="AU111" s="510"/>
      <c r="AV111" s="510"/>
      <c r="AW111" s="510"/>
      <c r="AX111" s="510"/>
      <c r="AY111" s="510"/>
      <c r="AZ111" s="466"/>
      <c r="BA111" s="466"/>
      <c r="BB111" s="466"/>
      <c r="BC111" s="466"/>
      <c r="BD111" s="466"/>
      <c r="BE111" s="466"/>
      <c r="BF111" s="466"/>
      <c r="BG111" s="466"/>
      <c r="BH111" s="466"/>
      <c r="BI111" s="466"/>
      <c r="BJ111" s="466"/>
      <c r="BK111" s="466"/>
      <c r="BL111" s="466"/>
      <c r="BM111" s="518"/>
      <c r="BN111" s="524"/>
      <c r="BO111" s="518"/>
      <c r="BP111" s="518"/>
      <c r="BQ111" s="518"/>
      <c r="BR111" s="466"/>
      <c r="BS111" s="466"/>
      <c r="BT111" s="466"/>
      <c r="BU111" s="466"/>
      <c r="BV111" s="466"/>
      <c r="BW111" s="466"/>
      <c r="BX111" s="466"/>
      <c r="BY111" s="466"/>
      <c r="BZ111" s="466"/>
      <c r="CA111" s="466"/>
      <c r="CB111" s="466"/>
      <c r="CC111" s="466"/>
      <c r="CD111" s="466"/>
      <c r="CE111" s="466"/>
      <c r="CF111" s="466"/>
      <c r="CG111" s="466"/>
      <c r="CH111" s="466"/>
      <c r="CI111" s="466"/>
      <c r="CJ111" s="466"/>
      <c r="CK111" s="466"/>
      <c r="CL111" s="466"/>
      <c r="CM111" s="466"/>
      <c r="CN111" s="466"/>
      <c r="CO111" s="466"/>
      <c r="CP111" s="466"/>
      <c r="CQ111" s="466"/>
      <c r="CR111" s="466"/>
      <c r="CS111" s="466"/>
      <c r="CT111" s="466"/>
      <c r="CU111" s="466"/>
      <c r="CV111" s="466"/>
      <c r="CW111" s="466"/>
      <c r="CX111" s="466"/>
      <c r="CY111" s="466"/>
      <c r="CZ111" s="466"/>
      <c r="DA111" s="466"/>
      <c r="DB111" s="466"/>
      <c r="DC111" s="466"/>
      <c r="DD111" s="466"/>
      <c r="DE111" s="466"/>
      <c r="DF111" s="466"/>
      <c r="DG111" s="466"/>
      <c r="DH111" s="1520"/>
      <c r="DI111" s="1520"/>
      <c r="DJ111" s="1520"/>
      <c r="DK111" s="1520"/>
      <c r="DL111" s="1520"/>
      <c r="DM111" s="1520"/>
      <c r="DN111" s="1520"/>
      <c r="DO111" s="1520"/>
      <c r="DP111" s="1520"/>
      <c r="DQ111" s="1520"/>
      <c r="DR111" s="1520"/>
      <c r="DS111" s="1520"/>
      <c r="DT111" s="1520"/>
      <c r="DU111" s="1520"/>
      <c r="DV111" s="1520"/>
      <c r="DW111" s="1520"/>
      <c r="DX111" s="1520"/>
      <c r="DY111" s="1520"/>
      <c r="DZ111" s="1520"/>
      <c r="EA111" s="1520"/>
      <c r="EB111" s="1520"/>
      <c r="EC111" s="1520"/>
      <c r="ED111" s="1520"/>
      <c r="EE111" s="1520"/>
      <c r="EF111" s="1520"/>
      <c r="EG111" s="1520"/>
      <c r="EH111" s="1520"/>
      <c r="EI111" s="1520"/>
      <c r="EJ111" s="1520"/>
      <c r="EK111" s="1520"/>
      <c r="EL111" s="1520"/>
      <c r="EM111" s="1520"/>
      <c r="EN111" s="1520"/>
      <c r="EO111" s="1520"/>
      <c r="EP111" s="1520"/>
      <c r="EQ111" s="1520"/>
      <c r="ER111" s="1520"/>
      <c r="ES111" s="1520"/>
      <c r="ET111" s="1520"/>
      <c r="EU111" s="1520"/>
      <c r="EV111" s="1520"/>
      <c r="EW111" s="1520"/>
      <c r="EX111" s="1520"/>
      <c r="EY111" s="1520"/>
      <c r="EZ111" s="1520"/>
      <c r="FA111" s="1520"/>
      <c r="FB111" s="1520"/>
      <c r="FC111" s="1520"/>
      <c r="FD111" s="2434"/>
      <c r="FE111" s="466"/>
      <c r="FF111" s="466"/>
      <c r="FG111" s="466"/>
      <c r="FH111" s="466"/>
      <c r="FI111" s="466"/>
      <c r="FJ111" s="466"/>
      <c r="FK111" s="466"/>
      <c r="FL111" s="466"/>
      <c r="FM111" s="466"/>
      <c r="FN111" s="466"/>
      <c r="FO111" s="466"/>
      <c r="FP111" s="466"/>
      <c r="FQ111" s="466"/>
      <c r="FR111" s="466"/>
      <c r="FS111" s="466"/>
      <c r="FT111" s="466"/>
      <c r="FU111" s="466"/>
      <c r="FV111" s="466"/>
      <c r="FW111" s="466"/>
      <c r="FX111" s="466"/>
      <c r="FY111" s="466"/>
      <c r="FZ111" s="466"/>
      <c r="GA111" s="466"/>
      <c r="GB111" s="466"/>
      <c r="GC111" s="466"/>
      <c r="GD111" s="466"/>
      <c r="GE111" s="466"/>
      <c r="GF111" s="466"/>
      <c r="GG111" s="466"/>
      <c r="GH111" s="466"/>
      <c r="GI111" s="466"/>
      <c r="GJ111" s="466"/>
      <c r="GK111" s="466"/>
      <c r="GL111" s="466"/>
      <c r="GM111" s="466"/>
      <c r="GN111" s="466"/>
      <c r="GO111" s="1564"/>
      <c r="GP111" s="1564"/>
      <c r="GQ111" s="1564"/>
      <c r="GR111" s="1564"/>
      <c r="GS111" s="1565"/>
      <c r="GT111" s="1565"/>
      <c r="GU111" s="1526"/>
      <c r="GV111" s="466"/>
      <c r="GW111" s="466"/>
      <c r="GX111" s="466"/>
      <c r="GY111" s="466"/>
      <c r="GZ111" s="466"/>
      <c r="HA111" s="466"/>
      <c r="HB111" s="466"/>
      <c r="HC111" s="466"/>
      <c r="HD111" s="466"/>
      <c r="HE111" s="844"/>
      <c r="HF111" s="844"/>
      <c r="HG111" s="844"/>
      <c r="HH111" s="844"/>
      <c r="HI111" s="844"/>
      <c r="HJ111" s="844"/>
      <c r="HK111" s="844"/>
      <c r="HL111" s="844"/>
      <c r="HM111" s="844"/>
      <c r="HN111" s="844"/>
      <c r="HO111" s="1575"/>
      <c r="HP111" s="466"/>
      <c r="HQ111" s="466"/>
      <c r="HR111" s="466"/>
      <c r="HS111" s="415"/>
      <c r="HT111" s="2292"/>
    </row>
    <row r="112" spans="3:228">
      <c r="C112" s="466"/>
      <c r="D112" s="466"/>
      <c r="E112" s="3850"/>
      <c r="F112" s="516"/>
      <c r="G112" s="513"/>
      <c r="H112" s="525"/>
      <c r="I112" s="525"/>
      <c r="J112" s="523"/>
      <c r="K112" s="519"/>
      <c r="L112" s="466"/>
      <c r="M112" s="516"/>
      <c r="N112" s="513"/>
      <c r="O112" s="513"/>
      <c r="P112" s="510"/>
      <c r="Q112" s="510"/>
      <c r="R112" s="510"/>
      <c r="S112" s="510"/>
      <c r="T112" s="510"/>
      <c r="U112" s="510"/>
      <c r="V112" s="510"/>
      <c r="W112" s="510"/>
      <c r="X112" s="510"/>
      <c r="Y112" s="510"/>
      <c r="Z112" s="510"/>
      <c r="AA112" s="510"/>
      <c r="AB112" s="510"/>
      <c r="AC112" s="510"/>
      <c r="AD112" s="510"/>
      <c r="AE112" s="510"/>
      <c r="AF112" s="510"/>
      <c r="AG112" s="510"/>
      <c r="AH112" s="510"/>
      <c r="AI112" s="510"/>
      <c r="AJ112" s="510"/>
      <c r="AK112" s="510"/>
      <c r="AL112" s="510"/>
      <c r="AM112" s="510"/>
      <c r="AN112" s="510"/>
      <c r="AO112" s="510"/>
      <c r="AP112" s="510"/>
      <c r="AQ112" s="510"/>
      <c r="AR112" s="510"/>
      <c r="AS112" s="510"/>
      <c r="AT112" s="510"/>
      <c r="AU112" s="510"/>
      <c r="AV112" s="510"/>
      <c r="AW112" s="510"/>
      <c r="AX112" s="510"/>
      <c r="AY112" s="510"/>
      <c r="AZ112" s="466"/>
      <c r="BA112" s="466"/>
      <c r="BB112" s="466"/>
      <c r="BC112" s="466"/>
      <c r="BD112" s="466"/>
      <c r="BE112" s="466"/>
      <c r="BF112" s="466"/>
      <c r="BG112" s="466"/>
      <c r="BH112" s="466"/>
      <c r="BI112" s="466"/>
      <c r="BJ112" s="466"/>
      <c r="BK112" s="466"/>
      <c r="BL112" s="466"/>
      <c r="BM112" s="518"/>
      <c r="BN112" s="524"/>
      <c r="BO112" s="518"/>
      <c r="BP112" s="518"/>
      <c r="BQ112" s="518"/>
      <c r="BR112" s="466"/>
      <c r="BS112" s="466"/>
      <c r="BT112" s="466"/>
      <c r="BU112" s="466"/>
      <c r="BV112" s="466"/>
      <c r="BW112" s="466"/>
      <c r="BX112" s="466"/>
      <c r="BY112" s="466"/>
      <c r="BZ112" s="466"/>
      <c r="CA112" s="466"/>
      <c r="CB112" s="466"/>
      <c r="CC112" s="466"/>
      <c r="CD112" s="466"/>
      <c r="CE112" s="466"/>
      <c r="CF112" s="466"/>
      <c r="CG112" s="466"/>
      <c r="CH112" s="466"/>
      <c r="CI112" s="466"/>
      <c r="CJ112" s="466"/>
      <c r="CK112" s="466"/>
      <c r="CL112" s="466"/>
      <c r="CM112" s="466"/>
      <c r="CN112" s="466"/>
      <c r="CO112" s="466"/>
      <c r="CP112" s="466"/>
      <c r="CQ112" s="466"/>
      <c r="CR112" s="466"/>
      <c r="CS112" s="466"/>
      <c r="CT112" s="466"/>
      <c r="CU112" s="466"/>
      <c r="CV112" s="466"/>
      <c r="CW112" s="466"/>
      <c r="CX112" s="466"/>
      <c r="CY112" s="466"/>
      <c r="CZ112" s="466"/>
      <c r="DA112" s="466"/>
      <c r="DB112" s="466"/>
      <c r="DC112" s="466"/>
      <c r="DD112" s="466"/>
      <c r="DE112" s="466"/>
      <c r="DF112" s="466"/>
      <c r="DG112" s="466"/>
      <c r="DH112" s="1520"/>
      <c r="DI112" s="1520"/>
      <c r="DJ112" s="1520"/>
      <c r="DK112" s="1520"/>
      <c r="DL112" s="1520"/>
      <c r="DM112" s="1520"/>
      <c r="DN112" s="1520"/>
      <c r="DO112" s="1520"/>
      <c r="DP112" s="1520"/>
      <c r="DQ112" s="1520"/>
      <c r="DR112" s="1520"/>
      <c r="DS112" s="1520"/>
      <c r="DT112" s="1520"/>
      <c r="DU112" s="1520"/>
      <c r="DV112" s="1520"/>
      <c r="DW112" s="1520"/>
      <c r="DX112" s="1520"/>
      <c r="DY112" s="1520"/>
      <c r="DZ112" s="1520"/>
      <c r="EA112" s="1520"/>
      <c r="EB112" s="1520"/>
      <c r="EC112" s="1520"/>
      <c r="ED112" s="1520"/>
      <c r="EE112" s="1520"/>
      <c r="EF112" s="1520"/>
      <c r="EG112" s="1520"/>
      <c r="EH112" s="1520"/>
      <c r="EI112" s="1520"/>
      <c r="EJ112" s="1520"/>
      <c r="EK112" s="1520"/>
      <c r="EL112" s="1520"/>
      <c r="EM112" s="1520"/>
      <c r="EN112" s="1520"/>
      <c r="EO112" s="1520"/>
      <c r="EP112" s="1520"/>
      <c r="EQ112" s="1520"/>
      <c r="ER112" s="1520"/>
      <c r="ES112" s="1520"/>
      <c r="ET112" s="1520"/>
      <c r="EU112" s="1520"/>
      <c r="EV112" s="1520"/>
      <c r="EW112" s="1520"/>
      <c r="EX112" s="1520"/>
      <c r="EY112" s="1520"/>
      <c r="EZ112" s="1520"/>
      <c r="FA112" s="1520"/>
      <c r="FB112" s="1520"/>
      <c r="FC112" s="1520"/>
      <c r="FD112" s="2434"/>
      <c r="FE112" s="466"/>
      <c r="FF112" s="466"/>
      <c r="FG112" s="466"/>
      <c r="FH112" s="466"/>
      <c r="FI112" s="466"/>
      <c r="FJ112" s="466"/>
      <c r="FK112" s="466"/>
      <c r="FL112" s="466"/>
      <c r="FM112" s="466"/>
      <c r="FN112" s="466"/>
      <c r="FO112" s="466"/>
      <c r="FP112" s="466"/>
      <c r="FQ112" s="466"/>
      <c r="FR112" s="466"/>
      <c r="FS112" s="466"/>
      <c r="FT112" s="466"/>
      <c r="FU112" s="466"/>
      <c r="FV112" s="466"/>
      <c r="FW112" s="466"/>
      <c r="FX112" s="466"/>
      <c r="FY112" s="466"/>
      <c r="FZ112" s="466"/>
      <c r="GA112" s="466"/>
      <c r="GB112" s="466"/>
      <c r="GC112" s="466"/>
      <c r="GD112" s="466"/>
      <c r="GE112" s="466"/>
      <c r="GF112" s="466"/>
      <c r="GG112" s="466"/>
      <c r="GH112" s="466"/>
      <c r="GI112" s="466"/>
      <c r="GJ112" s="466"/>
      <c r="GK112" s="466"/>
      <c r="GL112" s="466"/>
      <c r="GM112" s="466"/>
      <c r="GN112" s="466"/>
      <c r="GO112" s="1564"/>
      <c r="GP112" s="1564"/>
      <c r="GQ112" s="1564"/>
      <c r="GR112" s="1564"/>
      <c r="GS112" s="1565"/>
      <c r="GT112" s="1565"/>
      <c r="GU112" s="1526"/>
      <c r="GV112" s="466"/>
      <c r="GW112" s="466"/>
      <c r="GX112" s="466"/>
      <c r="GY112" s="466"/>
      <c r="GZ112" s="466"/>
      <c r="HA112" s="466"/>
      <c r="HB112" s="466"/>
      <c r="HC112" s="466"/>
      <c r="HD112" s="466"/>
      <c r="HE112" s="844"/>
      <c r="HF112" s="844"/>
      <c r="HG112" s="844"/>
      <c r="HH112" s="844"/>
      <c r="HI112" s="844"/>
      <c r="HJ112" s="844"/>
      <c r="HK112" s="844"/>
      <c r="HL112" s="844"/>
      <c r="HM112" s="844"/>
      <c r="HN112" s="844"/>
      <c r="HO112" s="1575"/>
      <c r="HP112" s="466"/>
      <c r="HQ112" s="466"/>
      <c r="HR112" s="466"/>
      <c r="HS112" s="415"/>
      <c r="HT112" s="2292"/>
    </row>
    <row r="113" spans="3:228">
      <c r="C113" s="466"/>
      <c r="D113" s="466"/>
      <c r="E113" s="3850"/>
      <c r="F113" s="516"/>
      <c r="G113" s="513"/>
      <c r="H113" s="525"/>
      <c r="I113" s="525"/>
      <c r="J113" s="523"/>
      <c r="K113" s="519"/>
      <c r="L113" s="466"/>
      <c r="M113" s="516"/>
      <c r="N113" s="513"/>
      <c r="O113" s="513"/>
      <c r="P113" s="510"/>
      <c r="Q113" s="510"/>
      <c r="R113" s="510"/>
      <c r="S113" s="510"/>
      <c r="T113" s="510"/>
      <c r="U113" s="510"/>
      <c r="V113" s="510"/>
      <c r="W113" s="510"/>
      <c r="X113" s="510"/>
      <c r="Y113" s="510"/>
      <c r="Z113" s="510"/>
      <c r="AA113" s="510"/>
      <c r="AB113" s="510"/>
      <c r="AC113" s="510"/>
      <c r="AD113" s="510"/>
      <c r="AE113" s="510"/>
      <c r="AF113" s="510"/>
      <c r="AG113" s="510"/>
      <c r="AH113" s="510"/>
      <c r="AI113" s="510"/>
      <c r="AJ113" s="510"/>
      <c r="AK113" s="510"/>
      <c r="AL113" s="510"/>
      <c r="AM113" s="510"/>
      <c r="AN113" s="510"/>
      <c r="AO113" s="510"/>
      <c r="AP113" s="510"/>
      <c r="AQ113" s="510"/>
      <c r="AR113" s="510"/>
      <c r="AS113" s="510"/>
      <c r="AT113" s="510"/>
      <c r="AU113" s="510"/>
      <c r="AV113" s="510"/>
      <c r="AW113" s="510"/>
      <c r="AX113" s="510"/>
      <c r="AY113" s="510"/>
      <c r="AZ113" s="466"/>
      <c r="BA113" s="466"/>
      <c r="BB113" s="466"/>
      <c r="BC113" s="466"/>
      <c r="BD113" s="466"/>
      <c r="BE113" s="466"/>
      <c r="BF113" s="466"/>
      <c r="BG113" s="466"/>
      <c r="BH113" s="466"/>
      <c r="BI113" s="466"/>
      <c r="BJ113" s="466"/>
      <c r="BK113" s="466"/>
      <c r="BL113" s="466"/>
      <c r="BM113" s="518"/>
      <c r="BN113" s="524"/>
      <c r="BO113" s="518"/>
      <c r="BP113" s="518"/>
      <c r="BQ113" s="518"/>
      <c r="BR113" s="466"/>
      <c r="BS113" s="466"/>
      <c r="BT113" s="466"/>
      <c r="BU113" s="466"/>
      <c r="BV113" s="466"/>
      <c r="BW113" s="466"/>
      <c r="BX113" s="466"/>
      <c r="BY113" s="466"/>
      <c r="BZ113" s="466"/>
      <c r="CA113" s="466"/>
      <c r="CB113" s="466"/>
      <c r="CC113" s="466"/>
      <c r="CD113" s="466"/>
      <c r="CE113" s="466"/>
      <c r="CF113" s="466"/>
      <c r="CG113" s="466"/>
      <c r="CH113" s="466"/>
      <c r="CI113" s="466"/>
      <c r="CJ113" s="466"/>
      <c r="CK113" s="466"/>
      <c r="CL113" s="466"/>
      <c r="CM113" s="466"/>
      <c r="CN113" s="466"/>
      <c r="CO113" s="466"/>
      <c r="CP113" s="466"/>
      <c r="CQ113" s="466"/>
      <c r="CR113" s="466"/>
      <c r="CS113" s="466"/>
      <c r="CT113" s="466"/>
      <c r="CU113" s="466"/>
      <c r="CV113" s="466"/>
      <c r="CW113" s="466"/>
      <c r="CX113" s="466"/>
      <c r="CY113" s="466"/>
      <c r="CZ113" s="466"/>
      <c r="DA113" s="466"/>
      <c r="DB113" s="466"/>
      <c r="DC113" s="466"/>
      <c r="DD113" s="466"/>
      <c r="DE113" s="466"/>
      <c r="DF113" s="466"/>
      <c r="DG113" s="466"/>
      <c r="DH113" s="1520"/>
      <c r="DI113" s="1520"/>
      <c r="DJ113" s="1520"/>
      <c r="DK113" s="1520"/>
      <c r="DL113" s="1520"/>
      <c r="DM113" s="1520"/>
      <c r="DN113" s="1520"/>
      <c r="DO113" s="1520"/>
      <c r="DP113" s="1520"/>
      <c r="DQ113" s="1520"/>
      <c r="DR113" s="1520"/>
      <c r="DS113" s="1520"/>
      <c r="DT113" s="1520"/>
      <c r="DU113" s="1520"/>
      <c r="DV113" s="1520"/>
      <c r="DW113" s="1520"/>
      <c r="DX113" s="1520"/>
      <c r="DY113" s="1520"/>
      <c r="DZ113" s="1520"/>
      <c r="EA113" s="1520"/>
      <c r="EB113" s="1520"/>
      <c r="EC113" s="1520"/>
      <c r="ED113" s="1520"/>
      <c r="EE113" s="1520"/>
      <c r="EF113" s="1520"/>
      <c r="EG113" s="1520"/>
      <c r="EH113" s="1520"/>
      <c r="EI113" s="1520"/>
      <c r="EJ113" s="1520"/>
      <c r="EK113" s="1520"/>
      <c r="EL113" s="1520"/>
      <c r="EM113" s="1520"/>
      <c r="EN113" s="1520"/>
      <c r="EO113" s="1520"/>
      <c r="EP113" s="1520"/>
      <c r="EQ113" s="1520"/>
      <c r="ER113" s="1520"/>
      <c r="ES113" s="1520"/>
      <c r="ET113" s="1520"/>
      <c r="EU113" s="1520"/>
      <c r="EV113" s="1520"/>
      <c r="EW113" s="1520"/>
      <c r="EX113" s="1520"/>
      <c r="EY113" s="1520"/>
      <c r="EZ113" s="1520"/>
      <c r="FA113" s="1520"/>
      <c r="FB113" s="1520"/>
      <c r="FC113" s="1520"/>
      <c r="FD113" s="2434"/>
      <c r="FE113" s="466"/>
      <c r="FF113" s="466"/>
      <c r="FG113" s="466"/>
      <c r="FH113" s="466"/>
      <c r="FI113" s="466"/>
      <c r="FJ113" s="466"/>
      <c r="FK113" s="466"/>
      <c r="FL113" s="466"/>
      <c r="FM113" s="466"/>
      <c r="FN113" s="466"/>
      <c r="FO113" s="466"/>
      <c r="FP113" s="466"/>
      <c r="FQ113" s="466"/>
      <c r="FR113" s="466"/>
      <c r="FS113" s="466"/>
      <c r="FT113" s="466"/>
      <c r="FU113" s="466"/>
      <c r="FV113" s="466"/>
      <c r="FW113" s="466"/>
      <c r="FX113" s="466"/>
      <c r="FY113" s="466"/>
      <c r="FZ113" s="466"/>
      <c r="GA113" s="466"/>
      <c r="GB113" s="466"/>
      <c r="GC113" s="466"/>
      <c r="GD113" s="466"/>
      <c r="GE113" s="466"/>
      <c r="GF113" s="466"/>
      <c r="GG113" s="466"/>
      <c r="GH113" s="466"/>
      <c r="GI113" s="466"/>
      <c r="GJ113" s="466"/>
      <c r="GK113" s="466"/>
      <c r="GL113" s="466"/>
      <c r="GM113" s="466"/>
      <c r="GN113" s="466"/>
      <c r="GO113" s="1564"/>
      <c r="GP113" s="1564"/>
      <c r="GQ113" s="1564"/>
      <c r="GR113" s="1564"/>
      <c r="GS113" s="1565"/>
      <c r="GT113" s="1565"/>
      <c r="GU113" s="1526"/>
      <c r="GV113" s="466"/>
      <c r="GW113" s="466"/>
      <c r="GX113" s="466"/>
      <c r="GY113" s="466"/>
      <c r="GZ113" s="466"/>
      <c r="HA113" s="466"/>
      <c r="HB113" s="466"/>
      <c r="HC113" s="466"/>
      <c r="HD113" s="466"/>
      <c r="HE113" s="844"/>
      <c r="HF113" s="844"/>
      <c r="HG113" s="844"/>
      <c r="HH113" s="844"/>
      <c r="HI113" s="844"/>
      <c r="HJ113" s="844"/>
      <c r="HK113" s="844"/>
      <c r="HL113" s="844"/>
      <c r="HM113" s="844"/>
      <c r="HN113" s="844"/>
      <c r="HO113" s="1575"/>
      <c r="HP113" s="466"/>
      <c r="HQ113" s="466"/>
      <c r="HR113" s="466"/>
      <c r="HS113" s="415"/>
      <c r="HT113" s="2292"/>
    </row>
    <row r="114" spans="3:228">
      <c r="C114" s="466"/>
      <c r="D114" s="466"/>
      <c r="E114" s="3850"/>
      <c r="F114" s="516"/>
      <c r="G114" s="513"/>
      <c r="H114" s="525"/>
      <c r="I114" s="525"/>
      <c r="J114" s="523"/>
      <c r="K114" s="519"/>
      <c r="L114" s="466"/>
      <c r="M114" s="516"/>
      <c r="N114" s="513"/>
      <c r="O114" s="513"/>
      <c r="P114" s="510"/>
      <c r="Q114" s="510"/>
      <c r="R114" s="510"/>
      <c r="S114" s="510"/>
      <c r="T114" s="510"/>
      <c r="U114" s="510"/>
      <c r="V114" s="510"/>
      <c r="W114" s="510"/>
      <c r="X114" s="510"/>
      <c r="Y114" s="510"/>
      <c r="Z114" s="510"/>
      <c r="AA114" s="510"/>
      <c r="AB114" s="510"/>
      <c r="AC114" s="510"/>
      <c r="AD114" s="510"/>
      <c r="AE114" s="510"/>
      <c r="AF114" s="510"/>
      <c r="AG114" s="510"/>
      <c r="AH114" s="510"/>
      <c r="AI114" s="510"/>
      <c r="AJ114" s="510"/>
      <c r="AK114" s="510"/>
      <c r="AL114" s="510"/>
      <c r="AM114" s="510"/>
      <c r="AN114" s="510"/>
      <c r="AO114" s="510"/>
      <c r="AP114" s="510"/>
      <c r="AQ114" s="510"/>
      <c r="AR114" s="510"/>
      <c r="AS114" s="510"/>
      <c r="AT114" s="510"/>
      <c r="AU114" s="510"/>
      <c r="AV114" s="510"/>
      <c r="AW114" s="510"/>
      <c r="AX114" s="510"/>
      <c r="AY114" s="510"/>
      <c r="AZ114" s="466"/>
      <c r="BA114" s="466"/>
      <c r="BB114" s="466"/>
      <c r="BC114" s="466"/>
      <c r="BD114" s="466"/>
      <c r="BE114" s="466"/>
      <c r="BF114" s="466"/>
      <c r="BG114" s="466"/>
      <c r="BH114" s="466"/>
      <c r="BI114" s="466"/>
      <c r="BJ114" s="466"/>
      <c r="BK114" s="466"/>
      <c r="BL114" s="466"/>
      <c r="BM114" s="518"/>
      <c r="BN114" s="524"/>
      <c r="BO114" s="518"/>
      <c r="BP114" s="518"/>
      <c r="BQ114" s="518"/>
      <c r="BR114" s="466"/>
      <c r="BS114" s="466"/>
      <c r="BT114" s="466"/>
      <c r="BU114" s="466"/>
      <c r="BV114" s="466"/>
      <c r="BW114" s="466"/>
      <c r="BX114" s="466"/>
      <c r="BY114" s="466"/>
      <c r="BZ114" s="466"/>
      <c r="CA114" s="466"/>
      <c r="CB114" s="466"/>
      <c r="CC114" s="466"/>
      <c r="CD114" s="466"/>
      <c r="CE114" s="466"/>
      <c r="CF114" s="466"/>
      <c r="CG114" s="466"/>
      <c r="CH114" s="466"/>
      <c r="CI114" s="466"/>
      <c r="CJ114" s="466"/>
      <c r="CK114" s="466"/>
      <c r="CL114" s="466"/>
      <c r="CM114" s="466"/>
      <c r="CN114" s="466"/>
      <c r="CO114" s="466"/>
      <c r="CP114" s="466"/>
      <c r="CQ114" s="466"/>
      <c r="CR114" s="466"/>
      <c r="CS114" s="466"/>
      <c r="CT114" s="466"/>
      <c r="CU114" s="466"/>
      <c r="CV114" s="466"/>
      <c r="CW114" s="466"/>
      <c r="CX114" s="466"/>
      <c r="CY114" s="466"/>
      <c r="CZ114" s="466"/>
      <c r="DA114" s="466"/>
      <c r="DB114" s="466"/>
      <c r="DC114" s="466"/>
      <c r="DD114" s="466"/>
      <c r="DE114" s="466"/>
      <c r="DF114" s="466"/>
      <c r="DG114" s="466"/>
      <c r="DH114" s="1520"/>
      <c r="DI114" s="1520"/>
      <c r="DJ114" s="1520"/>
      <c r="DK114" s="1520"/>
      <c r="DL114" s="1520"/>
      <c r="DM114" s="1520"/>
      <c r="DN114" s="1520"/>
      <c r="DO114" s="1520"/>
      <c r="DP114" s="1520"/>
      <c r="DQ114" s="1520"/>
      <c r="DR114" s="1520"/>
      <c r="DS114" s="1520"/>
      <c r="DT114" s="1520"/>
      <c r="DU114" s="1520"/>
      <c r="DV114" s="1520"/>
      <c r="DW114" s="1520"/>
      <c r="DX114" s="1520"/>
      <c r="DY114" s="1520"/>
      <c r="DZ114" s="1520"/>
      <c r="EA114" s="1520"/>
      <c r="EB114" s="1520"/>
      <c r="EC114" s="1520"/>
      <c r="ED114" s="1520"/>
      <c r="EE114" s="1520"/>
      <c r="EF114" s="1520"/>
      <c r="EG114" s="1520"/>
      <c r="EH114" s="1520"/>
      <c r="EI114" s="1520"/>
      <c r="EJ114" s="1520"/>
      <c r="EK114" s="1520"/>
      <c r="EL114" s="1520"/>
      <c r="EM114" s="1520"/>
      <c r="EN114" s="1520"/>
      <c r="EO114" s="1520"/>
      <c r="EP114" s="1520"/>
      <c r="EQ114" s="1520"/>
      <c r="ER114" s="1520"/>
      <c r="ES114" s="1520"/>
      <c r="ET114" s="1520"/>
      <c r="EU114" s="1520"/>
      <c r="EV114" s="1520"/>
      <c r="EW114" s="1520"/>
      <c r="EX114" s="1520"/>
      <c r="EY114" s="1520"/>
      <c r="EZ114" s="1520"/>
      <c r="FA114" s="1520"/>
      <c r="FB114" s="1520"/>
      <c r="FC114" s="1520"/>
      <c r="FD114" s="2434"/>
      <c r="FE114" s="466"/>
      <c r="FF114" s="466"/>
      <c r="FG114" s="466"/>
      <c r="FH114" s="466"/>
      <c r="FI114" s="466"/>
      <c r="FJ114" s="466"/>
      <c r="FK114" s="466"/>
      <c r="FL114" s="466"/>
      <c r="FM114" s="466"/>
      <c r="FN114" s="466"/>
      <c r="FO114" s="466"/>
      <c r="FP114" s="466"/>
      <c r="FQ114" s="466"/>
      <c r="FR114" s="466"/>
      <c r="FS114" s="466"/>
      <c r="FT114" s="466"/>
      <c r="FU114" s="466"/>
      <c r="FV114" s="466"/>
      <c r="FW114" s="466"/>
      <c r="FX114" s="466"/>
      <c r="FY114" s="466"/>
      <c r="FZ114" s="466"/>
      <c r="GA114" s="466"/>
      <c r="GB114" s="466"/>
      <c r="GC114" s="466"/>
      <c r="GD114" s="466"/>
      <c r="GE114" s="466"/>
      <c r="GF114" s="466"/>
      <c r="GG114" s="466"/>
      <c r="GH114" s="466"/>
      <c r="GI114" s="466"/>
      <c r="GJ114" s="466"/>
      <c r="GK114" s="466"/>
      <c r="GL114" s="466"/>
      <c r="GM114" s="466"/>
      <c r="GN114" s="466"/>
      <c r="GO114" s="1564"/>
      <c r="GP114" s="1564"/>
      <c r="GQ114" s="1564"/>
      <c r="GR114" s="1564"/>
      <c r="GS114" s="1565"/>
      <c r="GT114" s="1565"/>
      <c r="GU114" s="1526"/>
      <c r="GV114" s="466"/>
      <c r="GW114" s="466"/>
      <c r="GX114" s="466"/>
      <c r="GY114" s="466"/>
      <c r="GZ114" s="466"/>
      <c r="HA114" s="466"/>
      <c r="HB114" s="466"/>
      <c r="HC114" s="466"/>
      <c r="HD114" s="466"/>
      <c r="HE114" s="844"/>
      <c r="HF114" s="844"/>
      <c r="HG114" s="844"/>
      <c r="HH114" s="844"/>
      <c r="HI114" s="844"/>
      <c r="HJ114" s="844"/>
      <c r="HK114" s="844"/>
      <c r="HL114" s="844"/>
      <c r="HM114" s="844"/>
      <c r="HN114" s="844"/>
      <c r="HO114" s="1575"/>
      <c r="HP114" s="466"/>
      <c r="HQ114" s="466"/>
      <c r="HR114" s="466"/>
      <c r="HS114" s="415"/>
      <c r="HT114" s="2292"/>
    </row>
    <row r="115" spans="3:228">
      <c r="C115" s="466"/>
      <c r="D115" s="466"/>
      <c r="E115" s="3850"/>
      <c r="F115" s="516"/>
      <c r="G115" s="513"/>
      <c r="H115" s="525"/>
      <c r="I115" s="525"/>
      <c r="J115" s="523"/>
      <c r="K115" s="519"/>
      <c r="L115" s="466"/>
      <c r="M115" s="516"/>
      <c r="N115" s="513"/>
      <c r="O115" s="513"/>
      <c r="P115" s="510"/>
      <c r="Q115" s="510"/>
      <c r="R115" s="510"/>
      <c r="S115" s="510"/>
      <c r="T115" s="510"/>
      <c r="U115" s="510"/>
      <c r="V115" s="510"/>
      <c r="W115" s="510"/>
      <c r="X115" s="510"/>
      <c r="Y115" s="510"/>
      <c r="Z115" s="510"/>
      <c r="AA115" s="510"/>
      <c r="AB115" s="510"/>
      <c r="AC115" s="510"/>
      <c r="AD115" s="510"/>
      <c r="AE115" s="510"/>
      <c r="AF115" s="510"/>
      <c r="AG115" s="510"/>
      <c r="AH115" s="510"/>
      <c r="AI115" s="510"/>
      <c r="AJ115" s="510"/>
      <c r="AK115" s="510"/>
      <c r="AL115" s="510"/>
      <c r="AM115" s="510"/>
      <c r="AN115" s="510"/>
      <c r="AO115" s="510"/>
      <c r="AP115" s="510"/>
      <c r="AQ115" s="510"/>
      <c r="AR115" s="510"/>
      <c r="AS115" s="510"/>
      <c r="AT115" s="510"/>
      <c r="AU115" s="510"/>
      <c r="AV115" s="510"/>
      <c r="AW115" s="510"/>
      <c r="AX115" s="510"/>
      <c r="AY115" s="510"/>
      <c r="AZ115" s="466"/>
      <c r="BA115" s="466"/>
      <c r="BB115" s="466"/>
      <c r="BC115" s="466"/>
      <c r="BD115" s="466"/>
      <c r="BE115" s="466"/>
      <c r="BF115" s="466"/>
      <c r="BG115" s="466"/>
      <c r="BH115" s="466"/>
      <c r="BI115" s="466"/>
      <c r="BJ115" s="466"/>
      <c r="BK115" s="466"/>
      <c r="BL115" s="466"/>
      <c r="BM115" s="518"/>
      <c r="BN115" s="524"/>
      <c r="BO115" s="518"/>
      <c r="BP115" s="518"/>
      <c r="BQ115" s="518"/>
      <c r="BR115" s="466"/>
      <c r="BS115" s="466"/>
      <c r="BT115" s="466"/>
      <c r="BU115" s="466"/>
      <c r="BV115" s="466"/>
      <c r="BW115" s="466"/>
      <c r="BX115" s="466"/>
      <c r="BY115" s="466"/>
      <c r="BZ115" s="466"/>
      <c r="CA115" s="466"/>
      <c r="CB115" s="466"/>
      <c r="CC115" s="466"/>
      <c r="CD115" s="466"/>
      <c r="CE115" s="466"/>
      <c r="CF115" s="466"/>
      <c r="CG115" s="466"/>
      <c r="CH115" s="466"/>
      <c r="CI115" s="466"/>
      <c r="CJ115" s="466"/>
      <c r="CK115" s="466"/>
      <c r="CL115" s="466"/>
      <c r="CM115" s="466"/>
      <c r="CN115" s="466"/>
      <c r="CO115" s="466"/>
      <c r="CP115" s="466"/>
      <c r="CQ115" s="466"/>
      <c r="CR115" s="466"/>
      <c r="CS115" s="466"/>
      <c r="CT115" s="466"/>
      <c r="CU115" s="466"/>
      <c r="CV115" s="466"/>
      <c r="CW115" s="466"/>
      <c r="CX115" s="466"/>
      <c r="CY115" s="466"/>
      <c r="CZ115" s="466"/>
      <c r="DA115" s="466"/>
      <c r="DB115" s="466"/>
      <c r="DC115" s="466"/>
      <c r="DD115" s="466"/>
      <c r="DE115" s="466"/>
      <c r="DF115" s="466"/>
      <c r="DG115" s="466"/>
      <c r="DH115" s="1520"/>
      <c r="DI115" s="1520"/>
      <c r="DJ115" s="1520"/>
      <c r="DK115" s="1520"/>
      <c r="DL115" s="1520"/>
      <c r="DM115" s="1520"/>
      <c r="DN115" s="1520"/>
      <c r="DO115" s="1520"/>
      <c r="DP115" s="1520"/>
      <c r="DQ115" s="1520"/>
      <c r="DR115" s="1520"/>
      <c r="DS115" s="1520"/>
      <c r="DT115" s="1520"/>
      <c r="DU115" s="1520"/>
      <c r="DV115" s="1520"/>
      <c r="DW115" s="1520"/>
      <c r="DX115" s="1520"/>
      <c r="DY115" s="1520"/>
      <c r="DZ115" s="1520"/>
      <c r="EA115" s="1520"/>
      <c r="EB115" s="1520"/>
      <c r="EC115" s="1520"/>
      <c r="ED115" s="1520"/>
      <c r="EE115" s="1520"/>
      <c r="EF115" s="1520"/>
      <c r="EG115" s="1520"/>
      <c r="EH115" s="1520"/>
      <c r="EI115" s="1520"/>
      <c r="EJ115" s="1520"/>
      <c r="EK115" s="1520"/>
      <c r="EL115" s="1520"/>
      <c r="EM115" s="1520"/>
      <c r="EN115" s="1520"/>
      <c r="EO115" s="1520"/>
      <c r="EP115" s="1520"/>
      <c r="EQ115" s="1520"/>
      <c r="ER115" s="1520"/>
      <c r="ES115" s="1520"/>
      <c r="ET115" s="1520"/>
      <c r="EU115" s="1520"/>
      <c r="EV115" s="1520"/>
      <c r="EW115" s="1520"/>
      <c r="EX115" s="1520"/>
      <c r="EY115" s="1520"/>
      <c r="EZ115" s="1520"/>
      <c r="FA115" s="1520"/>
      <c r="FB115" s="1520"/>
      <c r="FC115" s="1520"/>
      <c r="FD115" s="2434"/>
      <c r="FE115" s="466"/>
      <c r="FF115" s="466"/>
      <c r="FG115" s="466"/>
      <c r="FH115" s="466"/>
      <c r="FI115" s="466"/>
      <c r="FJ115" s="466"/>
      <c r="FK115" s="466"/>
      <c r="FL115" s="466"/>
      <c r="FM115" s="466"/>
      <c r="FN115" s="466"/>
      <c r="FO115" s="466"/>
      <c r="FP115" s="466"/>
      <c r="FQ115" s="466"/>
      <c r="FR115" s="466"/>
      <c r="FS115" s="466"/>
      <c r="FT115" s="466"/>
      <c r="FU115" s="466"/>
      <c r="FV115" s="466"/>
      <c r="FW115" s="466"/>
      <c r="FX115" s="466"/>
      <c r="FY115" s="466"/>
      <c r="FZ115" s="466"/>
      <c r="GA115" s="466"/>
      <c r="GB115" s="466"/>
      <c r="GC115" s="466"/>
      <c r="GD115" s="466"/>
      <c r="GE115" s="466"/>
      <c r="GF115" s="466"/>
      <c r="GG115" s="466"/>
      <c r="GH115" s="466"/>
      <c r="GI115" s="466"/>
      <c r="GJ115" s="466"/>
      <c r="GK115" s="466"/>
      <c r="GL115" s="466"/>
      <c r="GM115" s="466"/>
      <c r="GN115" s="466"/>
      <c r="GO115" s="1564"/>
      <c r="GP115" s="1564"/>
      <c r="GQ115" s="1564"/>
      <c r="GR115" s="1564"/>
      <c r="GS115" s="1565"/>
      <c r="GT115" s="1565"/>
      <c r="GU115" s="1526"/>
      <c r="GV115" s="466"/>
      <c r="GW115" s="466"/>
      <c r="GX115" s="466"/>
      <c r="GY115" s="466"/>
      <c r="GZ115" s="466"/>
      <c r="HA115" s="466"/>
      <c r="HB115" s="466"/>
      <c r="HC115" s="466"/>
      <c r="HD115" s="466"/>
      <c r="HE115" s="844"/>
      <c r="HF115" s="844"/>
      <c r="HG115" s="844"/>
      <c r="HH115" s="844"/>
      <c r="HI115" s="844"/>
      <c r="HJ115" s="844"/>
      <c r="HK115" s="844"/>
      <c r="HL115" s="844"/>
      <c r="HM115" s="844"/>
      <c r="HN115" s="844"/>
      <c r="HO115" s="1575"/>
      <c r="HP115" s="466"/>
      <c r="HQ115" s="466"/>
      <c r="HR115" s="466"/>
      <c r="HS115" s="415"/>
      <c r="HT115" s="2292"/>
    </row>
    <row r="116" spans="3:228">
      <c r="C116" s="466"/>
      <c r="D116" s="466"/>
      <c r="E116" s="3850"/>
      <c r="F116" s="516"/>
      <c r="G116" s="513"/>
      <c r="H116" s="525"/>
      <c r="I116" s="525"/>
      <c r="J116" s="523"/>
      <c r="K116" s="519"/>
      <c r="L116" s="466"/>
      <c r="M116" s="516"/>
      <c r="N116" s="513"/>
      <c r="O116" s="513"/>
      <c r="P116" s="510"/>
      <c r="Q116" s="510"/>
      <c r="R116" s="510"/>
      <c r="S116" s="510"/>
      <c r="T116" s="510"/>
      <c r="U116" s="510"/>
      <c r="V116" s="510"/>
      <c r="W116" s="510"/>
      <c r="X116" s="510"/>
      <c r="Y116" s="510"/>
      <c r="Z116" s="510"/>
      <c r="AA116" s="510"/>
      <c r="AB116" s="510"/>
      <c r="AC116" s="510"/>
      <c r="AD116" s="510"/>
      <c r="AE116" s="510"/>
      <c r="AF116" s="510"/>
      <c r="AG116" s="510"/>
      <c r="AH116" s="510"/>
      <c r="AI116" s="510"/>
      <c r="AJ116" s="510"/>
      <c r="AK116" s="510"/>
      <c r="AL116" s="510"/>
      <c r="AM116" s="510"/>
      <c r="AN116" s="510"/>
      <c r="AO116" s="510"/>
      <c r="AP116" s="510"/>
      <c r="AQ116" s="510"/>
      <c r="AR116" s="510"/>
      <c r="AS116" s="510"/>
      <c r="AT116" s="510"/>
      <c r="AU116" s="510"/>
      <c r="AV116" s="510"/>
      <c r="AW116" s="510"/>
      <c r="AX116" s="510"/>
      <c r="AY116" s="510"/>
      <c r="AZ116" s="466"/>
      <c r="BA116" s="466"/>
      <c r="BB116" s="466"/>
      <c r="BC116" s="466"/>
      <c r="BD116" s="466"/>
      <c r="BE116" s="466"/>
      <c r="BF116" s="466"/>
      <c r="BG116" s="466"/>
      <c r="BH116" s="466"/>
      <c r="BI116" s="466"/>
      <c r="BJ116" s="466"/>
      <c r="BK116" s="466"/>
      <c r="BL116" s="466"/>
      <c r="BM116" s="518"/>
      <c r="BN116" s="524"/>
      <c r="BO116" s="518"/>
      <c r="BP116" s="518"/>
      <c r="BQ116" s="518"/>
      <c r="BR116" s="466"/>
      <c r="BS116" s="466"/>
      <c r="BT116" s="466"/>
      <c r="BU116" s="466"/>
      <c r="BV116" s="466"/>
      <c r="BW116" s="466"/>
      <c r="BX116" s="466"/>
      <c r="BY116" s="466"/>
      <c r="BZ116" s="466"/>
      <c r="CA116" s="466"/>
      <c r="CB116" s="466"/>
      <c r="CC116" s="466"/>
      <c r="CD116" s="466"/>
      <c r="CE116" s="466"/>
      <c r="CF116" s="466"/>
      <c r="CG116" s="466"/>
      <c r="CH116" s="466"/>
      <c r="CI116" s="466"/>
      <c r="CJ116" s="466"/>
      <c r="CK116" s="466"/>
      <c r="CL116" s="466"/>
      <c r="CM116" s="466"/>
      <c r="CN116" s="466"/>
      <c r="CO116" s="466"/>
      <c r="CP116" s="466"/>
      <c r="CQ116" s="466"/>
      <c r="CR116" s="466"/>
      <c r="CS116" s="466"/>
      <c r="CT116" s="466"/>
      <c r="CU116" s="466"/>
      <c r="CV116" s="466"/>
      <c r="CW116" s="466"/>
      <c r="CX116" s="466"/>
      <c r="CY116" s="466"/>
      <c r="CZ116" s="466"/>
      <c r="DA116" s="466"/>
      <c r="DB116" s="466"/>
      <c r="DC116" s="466"/>
      <c r="DD116" s="466"/>
      <c r="DE116" s="466"/>
      <c r="DF116" s="466"/>
      <c r="DG116" s="466"/>
      <c r="DH116" s="1520"/>
      <c r="DI116" s="1520"/>
      <c r="DJ116" s="1520"/>
      <c r="DK116" s="1520"/>
      <c r="DL116" s="1520"/>
      <c r="DM116" s="1520"/>
      <c r="DN116" s="1520"/>
      <c r="DO116" s="1520"/>
      <c r="DP116" s="1520"/>
      <c r="DQ116" s="1520"/>
      <c r="DR116" s="1520"/>
      <c r="DS116" s="1520"/>
      <c r="DT116" s="1520"/>
      <c r="DU116" s="1520"/>
      <c r="DV116" s="1520"/>
      <c r="DW116" s="1520"/>
      <c r="DX116" s="1520"/>
      <c r="DY116" s="1520"/>
      <c r="DZ116" s="1520"/>
      <c r="EA116" s="1520"/>
      <c r="EB116" s="1520"/>
      <c r="EC116" s="1520"/>
      <c r="ED116" s="1520"/>
      <c r="EE116" s="1520"/>
      <c r="EF116" s="1520"/>
      <c r="EG116" s="1520"/>
      <c r="EH116" s="1520"/>
      <c r="EI116" s="1520"/>
      <c r="EJ116" s="1520"/>
      <c r="EK116" s="1520"/>
      <c r="EL116" s="1520"/>
      <c r="EM116" s="1520"/>
      <c r="EN116" s="1520"/>
      <c r="EO116" s="1520"/>
      <c r="EP116" s="1520"/>
      <c r="EQ116" s="1520"/>
      <c r="ER116" s="1520"/>
      <c r="ES116" s="1520"/>
      <c r="ET116" s="1520"/>
      <c r="EU116" s="1520"/>
      <c r="EV116" s="1520"/>
      <c r="EW116" s="1520"/>
      <c r="EX116" s="1520"/>
      <c r="EY116" s="1520"/>
      <c r="EZ116" s="1520"/>
      <c r="FA116" s="1520"/>
      <c r="FB116" s="1520"/>
      <c r="FC116" s="1520"/>
      <c r="FD116" s="2434"/>
      <c r="FE116" s="466"/>
      <c r="FF116" s="466"/>
      <c r="FG116" s="466"/>
      <c r="FH116" s="466"/>
      <c r="FI116" s="466"/>
      <c r="FJ116" s="466"/>
      <c r="FK116" s="466"/>
      <c r="FL116" s="466"/>
      <c r="FM116" s="466"/>
      <c r="FN116" s="466"/>
      <c r="FO116" s="466"/>
      <c r="FP116" s="466"/>
      <c r="FQ116" s="466"/>
      <c r="FR116" s="466"/>
      <c r="FS116" s="466"/>
      <c r="FT116" s="466"/>
      <c r="FU116" s="466"/>
      <c r="FV116" s="466"/>
      <c r="FW116" s="466"/>
      <c r="FX116" s="466"/>
      <c r="FY116" s="466"/>
      <c r="FZ116" s="466"/>
      <c r="GA116" s="466"/>
      <c r="GB116" s="466"/>
      <c r="GC116" s="466"/>
      <c r="GD116" s="466"/>
      <c r="GE116" s="466"/>
      <c r="GF116" s="466"/>
      <c r="GG116" s="466"/>
      <c r="GH116" s="466"/>
      <c r="GI116" s="466"/>
      <c r="GJ116" s="466"/>
      <c r="GK116" s="466"/>
      <c r="GL116" s="466"/>
      <c r="GM116" s="466"/>
      <c r="GN116" s="466"/>
      <c r="GO116" s="1564"/>
      <c r="GP116" s="1564"/>
      <c r="GQ116" s="1564"/>
      <c r="GR116" s="1564"/>
      <c r="GS116" s="1565"/>
      <c r="GT116" s="1565"/>
      <c r="GU116" s="1526"/>
      <c r="GV116" s="466"/>
      <c r="GW116" s="466"/>
      <c r="GX116" s="466"/>
      <c r="GY116" s="466"/>
      <c r="GZ116" s="466"/>
      <c r="HA116" s="466"/>
      <c r="HB116" s="466"/>
      <c r="HC116" s="466"/>
      <c r="HD116" s="466"/>
      <c r="HE116" s="844"/>
      <c r="HF116" s="844"/>
      <c r="HG116" s="844"/>
      <c r="HH116" s="844"/>
      <c r="HI116" s="844"/>
      <c r="HJ116" s="844"/>
      <c r="HK116" s="844"/>
      <c r="HL116" s="844"/>
      <c r="HM116" s="844"/>
      <c r="HN116" s="844"/>
      <c r="HO116" s="1575"/>
      <c r="HP116" s="466"/>
      <c r="HQ116" s="466"/>
      <c r="HR116" s="466"/>
      <c r="HS116" s="415"/>
      <c r="HT116" s="2292"/>
    </row>
    <row r="117" spans="3:228">
      <c r="C117" s="466"/>
      <c r="D117" s="466"/>
      <c r="E117" s="3850"/>
      <c r="F117" s="516"/>
      <c r="G117" s="513"/>
      <c r="H117" s="525"/>
      <c r="I117" s="525"/>
      <c r="J117" s="523"/>
      <c r="K117" s="519"/>
      <c r="L117" s="466"/>
      <c r="M117" s="516"/>
      <c r="N117" s="513"/>
      <c r="O117" s="513"/>
      <c r="P117" s="510"/>
      <c r="Q117" s="510"/>
      <c r="R117" s="510"/>
      <c r="S117" s="510"/>
      <c r="T117" s="510"/>
      <c r="U117" s="510"/>
      <c r="V117" s="510"/>
      <c r="W117" s="510"/>
      <c r="X117" s="510"/>
      <c r="Y117" s="510"/>
      <c r="Z117" s="510"/>
      <c r="AA117" s="510"/>
      <c r="AB117" s="510"/>
      <c r="AC117" s="510"/>
      <c r="AD117" s="510"/>
      <c r="AE117" s="510"/>
      <c r="AF117" s="510"/>
      <c r="AG117" s="510"/>
      <c r="AH117" s="510"/>
      <c r="AI117" s="510"/>
      <c r="AJ117" s="510"/>
      <c r="AK117" s="510"/>
      <c r="AL117" s="510"/>
      <c r="AM117" s="510"/>
      <c r="AN117" s="510"/>
      <c r="AO117" s="510"/>
      <c r="AP117" s="510"/>
      <c r="AQ117" s="510"/>
      <c r="AR117" s="510"/>
      <c r="AS117" s="510"/>
      <c r="AT117" s="510"/>
      <c r="AU117" s="510"/>
      <c r="AV117" s="510"/>
      <c r="AW117" s="510"/>
      <c r="AX117" s="510"/>
      <c r="AY117" s="510"/>
      <c r="AZ117" s="466"/>
      <c r="BA117" s="466"/>
      <c r="BB117" s="466"/>
      <c r="BC117" s="466"/>
      <c r="BD117" s="466"/>
      <c r="BE117" s="466"/>
      <c r="BF117" s="466"/>
      <c r="BG117" s="466"/>
      <c r="BH117" s="466"/>
      <c r="BI117" s="466"/>
      <c r="BJ117" s="466"/>
      <c r="BK117" s="466"/>
      <c r="BL117" s="466"/>
      <c r="BM117" s="518"/>
      <c r="BN117" s="524"/>
      <c r="BO117" s="518"/>
      <c r="BP117" s="518"/>
      <c r="BQ117" s="518"/>
      <c r="BR117" s="466"/>
      <c r="BS117" s="466"/>
      <c r="BT117" s="466"/>
      <c r="BU117" s="466"/>
      <c r="BV117" s="466"/>
      <c r="BW117" s="466"/>
      <c r="BX117" s="466"/>
      <c r="BY117" s="466"/>
      <c r="BZ117" s="466"/>
      <c r="CA117" s="466"/>
      <c r="CB117" s="466"/>
      <c r="CC117" s="466"/>
      <c r="CD117" s="466"/>
      <c r="CE117" s="466"/>
      <c r="CF117" s="466"/>
      <c r="CG117" s="466"/>
      <c r="CH117" s="466"/>
      <c r="CI117" s="466"/>
      <c r="CJ117" s="466"/>
      <c r="CK117" s="466"/>
      <c r="CL117" s="466"/>
      <c r="CM117" s="466"/>
      <c r="CN117" s="466"/>
      <c r="CO117" s="466"/>
      <c r="CP117" s="466"/>
      <c r="CQ117" s="466"/>
      <c r="CR117" s="466"/>
      <c r="CS117" s="466"/>
      <c r="CT117" s="466"/>
      <c r="CU117" s="466"/>
      <c r="CV117" s="466"/>
      <c r="CW117" s="466"/>
      <c r="CX117" s="466"/>
      <c r="CY117" s="466"/>
      <c r="CZ117" s="466"/>
      <c r="DA117" s="466"/>
      <c r="DB117" s="466"/>
      <c r="DC117" s="466"/>
      <c r="DD117" s="466"/>
      <c r="DE117" s="466"/>
      <c r="DF117" s="466"/>
      <c r="DG117" s="466"/>
      <c r="DH117" s="1520"/>
      <c r="DI117" s="1520"/>
      <c r="DJ117" s="1520"/>
      <c r="DK117" s="1520"/>
      <c r="DL117" s="1520"/>
      <c r="DM117" s="1520"/>
      <c r="DN117" s="1520"/>
      <c r="DO117" s="1520"/>
      <c r="DP117" s="1520"/>
      <c r="DQ117" s="1520"/>
      <c r="DR117" s="1520"/>
      <c r="DS117" s="1520"/>
      <c r="DT117" s="1520"/>
      <c r="DU117" s="1520"/>
      <c r="DV117" s="1520"/>
      <c r="DW117" s="1520"/>
      <c r="DX117" s="1520"/>
      <c r="DY117" s="1520"/>
      <c r="DZ117" s="1520"/>
      <c r="EA117" s="1520"/>
      <c r="EB117" s="1520"/>
      <c r="EC117" s="1520"/>
      <c r="ED117" s="1520"/>
      <c r="EE117" s="1520"/>
      <c r="EF117" s="1520"/>
      <c r="EG117" s="1520"/>
      <c r="EH117" s="1520"/>
      <c r="EI117" s="1520"/>
      <c r="EJ117" s="1520"/>
      <c r="EK117" s="1520"/>
      <c r="EL117" s="1520"/>
      <c r="EM117" s="1520"/>
      <c r="EN117" s="1520"/>
      <c r="EO117" s="1520"/>
      <c r="EP117" s="1520"/>
      <c r="EQ117" s="1520"/>
      <c r="ER117" s="1520"/>
      <c r="ES117" s="1520"/>
      <c r="ET117" s="1520"/>
      <c r="EU117" s="1520"/>
      <c r="EV117" s="1520"/>
      <c r="EW117" s="1520"/>
      <c r="EX117" s="1520"/>
      <c r="EY117" s="1520"/>
      <c r="EZ117" s="1520"/>
      <c r="FA117" s="1520"/>
      <c r="FB117" s="1520"/>
      <c r="FC117" s="1520"/>
      <c r="FD117" s="2434"/>
      <c r="FE117" s="466"/>
      <c r="FF117" s="466"/>
      <c r="FG117" s="466"/>
      <c r="FH117" s="466"/>
      <c r="FI117" s="466"/>
      <c r="FJ117" s="466"/>
      <c r="FK117" s="466"/>
      <c r="FL117" s="466"/>
      <c r="FM117" s="466"/>
      <c r="FN117" s="466"/>
      <c r="FO117" s="466"/>
      <c r="FP117" s="466"/>
      <c r="FQ117" s="466"/>
      <c r="FR117" s="466"/>
      <c r="FS117" s="466"/>
      <c r="FT117" s="466"/>
      <c r="FU117" s="466"/>
      <c r="FV117" s="466"/>
      <c r="FW117" s="466"/>
      <c r="FX117" s="466"/>
      <c r="FY117" s="466"/>
      <c r="FZ117" s="466"/>
      <c r="GA117" s="466"/>
      <c r="GB117" s="466"/>
      <c r="GC117" s="466"/>
      <c r="GD117" s="466"/>
      <c r="GE117" s="466"/>
      <c r="GF117" s="466"/>
      <c r="GG117" s="466"/>
      <c r="GH117" s="466"/>
      <c r="GI117" s="466"/>
      <c r="GJ117" s="466"/>
      <c r="GK117" s="466"/>
      <c r="GL117" s="466"/>
      <c r="GM117" s="466"/>
      <c r="GN117" s="466"/>
      <c r="GO117" s="1564"/>
      <c r="GP117" s="1564"/>
      <c r="GQ117" s="1564"/>
      <c r="GR117" s="1564"/>
      <c r="GS117" s="1565"/>
      <c r="GT117" s="1565"/>
      <c r="GU117" s="1526"/>
      <c r="GV117" s="466"/>
      <c r="GW117" s="466"/>
      <c r="GX117" s="466"/>
      <c r="GY117" s="466"/>
      <c r="GZ117" s="466"/>
      <c r="HA117" s="466"/>
      <c r="HB117" s="466"/>
      <c r="HC117" s="466"/>
      <c r="HD117" s="466"/>
      <c r="HE117" s="844"/>
      <c r="HF117" s="844"/>
      <c r="HG117" s="844"/>
      <c r="HH117" s="844"/>
      <c r="HI117" s="844"/>
      <c r="HJ117" s="844"/>
      <c r="HK117" s="844"/>
      <c r="HL117" s="844"/>
      <c r="HM117" s="844"/>
      <c r="HN117" s="844"/>
      <c r="HO117" s="1575"/>
      <c r="HP117" s="466"/>
      <c r="HQ117" s="466"/>
      <c r="HR117" s="466"/>
      <c r="HS117" s="415"/>
      <c r="HT117" s="2292"/>
    </row>
    <row r="118" spans="3:228">
      <c r="C118" s="466"/>
      <c r="D118" s="466"/>
      <c r="E118" s="3850"/>
      <c r="F118" s="516"/>
      <c r="G118" s="513"/>
      <c r="H118" s="525"/>
      <c r="I118" s="525"/>
      <c r="J118" s="523"/>
      <c r="K118" s="519"/>
      <c r="L118" s="466"/>
      <c r="M118" s="516"/>
      <c r="N118" s="513"/>
      <c r="O118" s="513"/>
      <c r="P118" s="510"/>
      <c r="Q118" s="510"/>
      <c r="R118" s="510"/>
      <c r="S118" s="510"/>
      <c r="T118" s="510"/>
      <c r="U118" s="510"/>
      <c r="V118" s="510"/>
      <c r="W118" s="510"/>
      <c r="X118" s="510"/>
      <c r="Y118" s="510"/>
      <c r="Z118" s="510"/>
      <c r="AA118" s="510"/>
      <c r="AB118" s="510"/>
      <c r="AC118" s="510"/>
      <c r="AD118" s="510"/>
      <c r="AE118" s="510"/>
      <c r="AF118" s="510"/>
      <c r="AG118" s="510"/>
      <c r="AH118" s="510"/>
      <c r="AI118" s="510"/>
      <c r="AJ118" s="510"/>
      <c r="AK118" s="510"/>
      <c r="AL118" s="510"/>
      <c r="AM118" s="510"/>
      <c r="AN118" s="510"/>
      <c r="AO118" s="510"/>
      <c r="AP118" s="510"/>
      <c r="AQ118" s="510"/>
      <c r="AR118" s="510"/>
      <c r="AS118" s="510"/>
      <c r="AT118" s="510"/>
      <c r="AU118" s="510"/>
      <c r="AV118" s="510"/>
      <c r="AW118" s="510"/>
      <c r="AX118" s="510"/>
      <c r="AY118" s="510"/>
      <c r="AZ118" s="466"/>
      <c r="BA118" s="466"/>
      <c r="BB118" s="466"/>
      <c r="BC118" s="466"/>
      <c r="BD118" s="466"/>
      <c r="BE118" s="466"/>
      <c r="BF118" s="466"/>
      <c r="BG118" s="466"/>
      <c r="BH118" s="466"/>
      <c r="BI118" s="466"/>
      <c r="BJ118" s="466"/>
      <c r="BK118" s="466"/>
      <c r="BL118" s="466"/>
      <c r="BM118" s="518"/>
      <c r="BN118" s="524"/>
      <c r="BO118" s="518"/>
      <c r="BP118" s="518"/>
      <c r="BQ118" s="518"/>
      <c r="BR118" s="466"/>
      <c r="BS118" s="466"/>
      <c r="BT118" s="466"/>
      <c r="BU118" s="466"/>
      <c r="BV118" s="466"/>
      <c r="BW118" s="466"/>
      <c r="BX118" s="466"/>
      <c r="BY118" s="466"/>
      <c r="BZ118" s="466"/>
      <c r="CA118" s="466"/>
      <c r="CB118" s="466"/>
      <c r="CC118" s="466"/>
      <c r="CD118" s="466"/>
      <c r="CE118" s="466"/>
      <c r="CF118" s="466"/>
      <c r="CG118" s="466"/>
      <c r="CH118" s="466"/>
      <c r="CI118" s="466"/>
      <c r="CJ118" s="466"/>
      <c r="CK118" s="466"/>
      <c r="CL118" s="466"/>
      <c r="CM118" s="466"/>
      <c r="CN118" s="466"/>
      <c r="CO118" s="466"/>
      <c r="CP118" s="466"/>
      <c r="CQ118" s="466"/>
      <c r="CR118" s="466"/>
      <c r="CS118" s="466"/>
      <c r="CT118" s="466"/>
      <c r="CU118" s="466"/>
      <c r="CV118" s="466"/>
      <c r="CW118" s="466"/>
      <c r="CX118" s="466"/>
      <c r="CY118" s="466"/>
      <c r="CZ118" s="466"/>
      <c r="DA118" s="466"/>
      <c r="DB118" s="466"/>
      <c r="DC118" s="466"/>
      <c r="DD118" s="466"/>
      <c r="DE118" s="466"/>
      <c r="DF118" s="466"/>
      <c r="DG118" s="466"/>
      <c r="DH118" s="1520"/>
      <c r="DI118" s="1520"/>
      <c r="DJ118" s="1520"/>
      <c r="DK118" s="1520"/>
      <c r="DL118" s="1520"/>
      <c r="DM118" s="1520"/>
      <c r="DN118" s="1520"/>
      <c r="DO118" s="1520"/>
      <c r="DP118" s="1520"/>
      <c r="DQ118" s="1520"/>
      <c r="DR118" s="1520"/>
      <c r="DS118" s="1520"/>
      <c r="DT118" s="1520"/>
      <c r="DU118" s="1520"/>
      <c r="DV118" s="1520"/>
      <c r="DW118" s="1520"/>
      <c r="DX118" s="1520"/>
      <c r="DY118" s="1520"/>
      <c r="DZ118" s="1520"/>
      <c r="EA118" s="1520"/>
      <c r="EB118" s="1520"/>
      <c r="EC118" s="1520"/>
      <c r="ED118" s="1520"/>
      <c r="EE118" s="1520"/>
      <c r="EF118" s="1520"/>
      <c r="EG118" s="1520"/>
      <c r="EH118" s="1520"/>
      <c r="EI118" s="1520"/>
      <c r="EJ118" s="1520"/>
      <c r="EK118" s="1520"/>
      <c r="EL118" s="1520"/>
      <c r="EM118" s="1520"/>
      <c r="EN118" s="1520"/>
      <c r="EO118" s="1520"/>
      <c r="EP118" s="1520"/>
      <c r="EQ118" s="1520"/>
      <c r="ER118" s="1520"/>
      <c r="ES118" s="1520"/>
      <c r="ET118" s="1520"/>
      <c r="EU118" s="1520"/>
      <c r="EV118" s="1520"/>
      <c r="EW118" s="1520"/>
      <c r="EX118" s="1520"/>
      <c r="EY118" s="1520"/>
      <c r="EZ118" s="1520"/>
      <c r="FA118" s="1520"/>
      <c r="FB118" s="1520"/>
      <c r="FC118" s="1520"/>
      <c r="FD118" s="2434"/>
      <c r="FE118" s="466"/>
      <c r="FF118" s="466"/>
      <c r="FG118" s="466"/>
      <c r="FH118" s="466"/>
      <c r="FI118" s="466"/>
      <c r="FJ118" s="466"/>
      <c r="FK118" s="466"/>
      <c r="FL118" s="466"/>
      <c r="FM118" s="466"/>
      <c r="FN118" s="466"/>
      <c r="FO118" s="466"/>
      <c r="FP118" s="466"/>
      <c r="FQ118" s="466"/>
      <c r="FR118" s="466"/>
      <c r="FS118" s="466"/>
      <c r="FT118" s="466"/>
      <c r="FU118" s="466"/>
      <c r="FV118" s="466"/>
      <c r="FW118" s="466"/>
      <c r="FX118" s="466"/>
      <c r="FY118" s="466"/>
      <c r="FZ118" s="466"/>
      <c r="GA118" s="466"/>
      <c r="GB118" s="466"/>
      <c r="GC118" s="466"/>
      <c r="GD118" s="466"/>
      <c r="GE118" s="466"/>
      <c r="GF118" s="466"/>
      <c r="GG118" s="466"/>
      <c r="GH118" s="466"/>
      <c r="GI118" s="466"/>
      <c r="GJ118" s="466"/>
      <c r="GK118" s="466"/>
      <c r="GL118" s="466"/>
      <c r="GM118" s="466"/>
      <c r="GN118" s="466"/>
      <c r="GO118" s="1564"/>
      <c r="GP118" s="1564"/>
      <c r="GQ118" s="1564"/>
      <c r="GR118" s="1564"/>
      <c r="GS118" s="1565"/>
      <c r="GT118" s="1565"/>
      <c r="GU118" s="1526"/>
      <c r="GV118" s="466"/>
      <c r="GW118" s="466"/>
      <c r="GX118" s="466"/>
      <c r="GY118" s="466"/>
      <c r="GZ118" s="466"/>
      <c r="HA118" s="466"/>
      <c r="HB118" s="466"/>
      <c r="HC118" s="466"/>
      <c r="HD118" s="466"/>
      <c r="HE118" s="844"/>
      <c r="HF118" s="844"/>
      <c r="HG118" s="844"/>
      <c r="HH118" s="844"/>
      <c r="HI118" s="844"/>
      <c r="HJ118" s="844"/>
      <c r="HK118" s="844"/>
      <c r="HL118" s="844"/>
      <c r="HM118" s="844"/>
      <c r="HN118" s="844"/>
      <c r="HO118" s="1575"/>
      <c r="HP118" s="466"/>
      <c r="HQ118" s="466"/>
      <c r="HR118" s="466"/>
      <c r="HS118" s="415"/>
      <c r="HT118" s="2292"/>
    </row>
    <row r="119" spans="3:228">
      <c r="C119" s="466"/>
      <c r="D119" s="466"/>
      <c r="E119" s="3850"/>
      <c r="F119" s="516"/>
      <c r="G119" s="513"/>
      <c r="H119" s="525"/>
      <c r="I119" s="525"/>
      <c r="J119" s="523"/>
      <c r="K119" s="519"/>
      <c r="L119" s="466"/>
      <c r="M119" s="516"/>
      <c r="N119" s="513"/>
      <c r="O119" s="513"/>
      <c r="P119" s="510"/>
      <c r="Q119" s="510"/>
      <c r="R119" s="510"/>
      <c r="S119" s="510"/>
      <c r="T119" s="510"/>
      <c r="U119" s="510"/>
      <c r="V119" s="510"/>
      <c r="W119" s="510"/>
      <c r="X119" s="510"/>
      <c r="Y119" s="510"/>
      <c r="Z119" s="510"/>
      <c r="AA119" s="510"/>
      <c r="AB119" s="510"/>
      <c r="AC119" s="510"/>
      <c r="AD119" s="510"/>
      <c r="AE119" s="510"/>
      <c r="AF119" s="510"/>
      <c r="AG119" s="510"/>
      <c r="AH119" s="510"/>
      <c r="AI119" s="510"/>
      <c r="AJ119" s="510"/>
      <c r="AK119" s="510"/>
      <c r="AL119" s="510"/>
      <c r="AM119" s="510"/>
      <c r="AN119" s="510"/>
      <c r="AO119" s="510"/>
      <c r="AP119" s="510"/>
      <c r="AQ119" s="510"/>
      <c r="AR119" s="510"/>
      <c r="AS119" s="510"/>
      <c r="AT119" s="510"/>
      <c r="AU119" s="510"/>
      <c r="AV119" s="510"/>
      <c r="AW119" s="510"/>
      <c r="AX119" s="510"/>
      <c r="AY119" s="510"/>
      <c r="AZ119" s="466"/>
      <c r="BA119" s="466"/>
      <c r="BB119" s="466"/>
      <c r="BC119" s="466"/>
      <c r="BD119" s="466"/>
      <c r="BE119" s="466"/>
      <c r="BF119" s="466"/>
      <c r="BG119" s="466"/>
      <c r="BH119" s="466"/>
      <c r="BI119" s="466"/>
      <c r="BJ119" s="466"/>
      <c r="BK119" s="466"/>
      <c r="BL119" s="466"/>
      <c r="BM119" s="518"/>
      <c r="BN119" s="524"/>
      <c r="BO119" s="518"/>
      <c r="BP119" s="518"/>
      <c r="BQ119" s="518"/>
      <c r="BR119" s="466"/>
      <c r="BS119" s="466"/>
      <c r="BT119" s="466"/>
      <c r="BU119" s="466"/>
      <c r="BV119" s="466"/>
      <c r="BW119" s="466"/>
      <c r="BX119" s="466"/>
      <c r="BY119" s="466"/>
      <c r="BZ119" s="466"/>
      <c r="CA119" s="466"/>
      <c r="CB119" s="466"/>
      <c r="CC119" s="466"/>
      <c r="CD119" s="466"/>
      <c r="CE119" s="466"/>
      <c r="CF119" s="466"/>
      <c r="CG119" s="466"/>
      <c r="CH119" s="466"/>
      <c r="CI119" s="466"/>
      <c r="CJ119" s="466"/>
      <c r="CK119" s="466"/>
      <c r="CL119" s="466"/>
      <c r="CM119" s="466"/>
      <c r="CN119" s="466"/>
      <c r="CO119" s="466"/>
      <c r="CP119" s="466"/>
      <c r="CQ119" s="466"/>
      <c r="CR119" s="466"/>
      <c r="CS119" s="466"/>
      <c r="CT119" s="466"/>
      <c r="CU119" s="466"/>
      <c r="CV119" s="466"/>
      <c r="CW119" s="466"/>
      <c r="CX119" s="466"/>
      <c r="CY119" s="466"/>
      <c r="CZ119" s="466"/>
      <c r="DA119" s="466"/>
      <c r="DB119" s="466"/>
      <c r="DC119" s="466"/>
      <c r="DD119" s="466"/>
      <c r="DE119" s="466"/>
      <c r="DF119" s="466"/>
      <c r="DG119" s="466"/>
      <c r="DH119" s="1520"/>
      <c r="DI119" s="1520"/>
      <c r="DJ119" s="1520"/>
      <c r="DK119" s="1520"/>
      <c r="DL119" s="1520"/>
      <c r="DM119" s="1520"/>
      <c r="DN119" s="1520"/>
      <c r="DO119" s="1520"/>
      <c r="DP119" s="1520"/>
      <c r="DQ119" s="1520"/>
      <c r="DR119" s="1520"/>
      <c r="DS119" s="1520"/>
      <c r="DT119" s="1520"/>
      <c r="DU119" s="1520"/>
      <c r="DV119" s="1520"/>
      <c r="DW119" s="1520"/>
      <c r="DX119" s="1520"/>
      <c r="DY119" s="1520"/>
      <c r="DZ119" s="1520"/>
      <c r="EA119" s="1520"/>
      <c r="EB119" s="1520"/>
      <c r="EC119" s="1520"/>
      <c r="ED119" s="1520"/>
      <c r="EE119" s="1520"/>
      <c r="EF119" s="1520"/>
      <c r="EG119" s="1520"/>
      <c r="EH119" s="1520"/>
      <c r="EI119" s="1520"/>
      <c r="EJ119" s="1520"/>
      <c r="EK119" s="1520"/>
      <c r="EL119" s="1520"/>
      <c r="EM119" s="1520"/>
      <c r="EN119" s="1520"/>
      <c r="EO119" s="1520"/>
      <c r="EP119" s="1520"/>
      <c r="EQ119" s="1520"/>
      <c r="ER119" s="1520"/>
      <c r="ES119" s="1520"/>
      <c r="ET119" s="1520"/>
      <c r="EU119" s="1520"/>
      <c r="EV119" s="1520"/>
      <c r="EW119" s="1520"/>
      <c r="EX119" s="1520"/>
      <c r="EY119" s="1520"/>
      <c r="EZ119" s="1520"/>
      <c r="FA119" s="1520"/>
      <c r="FB119" s="1520"/>
      <c r="FC119" s="1520"/>
      <c r="FD119" s="2434"/>
      <c r="FE119" s="466"/>
      <c r="FF119" s="466"/>
      <c r="FG119" s="466"/>
      <c r="FH119" s="466"/>
      <c r="FI119" s="466"/>
      <c r="FJ119" s="466"/>
      <c r="FK119" s="466"/>
      <c r="FL119" s="466"/>
      <c r="FM119" s="466"/>
      <c r="FN119" s="466"/>
      <c r="FO119" s="466"/>
      <c r="FP119" s="466"/>
      <c r="FQ119" s="466"/>
      <c r="FR119" s="466"/>
      <c r="FS119" s="466"/>
      <c r="FT119" s="466"/>
      <c r="FU119" s="466"/>
      <c r="FV119" s="466"/>
      <c r="FW119" s="466"/>
      <c r="FX119" s="466"/>
      <c r="FY119" s="466"/>
      <c r="FZ119" s="466"/>
      <c r="GA119" s="466"/>
      <c r="GB119" s="466"/>
      <c r="GC119" s="466"/>
      <c r="GD119" s="466"/>
      <c r="GE119" s="466"/>
      <c r="GF119" s="466"/>
      <c r="GG119" s="466"/>
      <c r="GH119" s="466"/>
      <c r="GI119" s="466"/>
      <c r="GJ119" s="466"/>
      <c r="GK119" s="466"/>
      <c r="GL119" s="466"/>
      <c r="GM119" s="466"/>
      <c r="GN119" s="466"/>
      <c r="GO119" s="1564"/>
      <c r="GP119" s="1564"/>
      <c r="GQ119" s="1564"/>
      <c r="GR119" s="1564"/>
      <c r="GS119" s="1565"/>
      <c r="GT119" s="1565"/>
      <c r="GU119" s="1526"/>
      <c r="GV119" s="466"/>
      <c r="GW119" s="466"/>
      <c r="GX119" s="466"/>
      <c r="GY119" s="466"/>
      <c r="GZ119" s="466"/>
      <c r="HA119" s="466"/>
      <c r="HB119" s="466"/>
      <c r="HC119" s="466"/>
      <c r="HD119" s="466"/>
      <c r="HE119" s="844"/>
      <c r="HF119" s="844"/>
      <c r="HG119" s="844"/>
      <c r="HH119" s="844"/>
      <c r="HI119" s="844"/>
      <c r="HJ119" s="844"/>
      <c r="HK119" s="844"/>
      <c r="HL119" s="844"/>
      <c r="HM119" s="844"/>
      <c r="HN119" s="844"/>
      <c r="HO119" s="1575"/>
      <c r="HP119" s="466"/>
      <c r="HQ119" s="466"/>
      <c r="HR119" s="466"/>
      <c r="HS119" s="415"/>
      <c r="HT119" s="2292"/>
    </row>
    <row r="120" spans="3:228">
      <c r="C120" s="466"/>
      <c r="D120" s="466"/>
      <c r="E120" s="3850"/>
      <c r="F120" s="516"/>
      <c r="G120" s="513"/>
      <c r="H120" s="525"/>
      <c r="I120" s="525"/>
      <c r="J120" s="523"/>
      <c r="K120" s="519"/>
      <c r="L120" s="466"/>
      <c r="M120" s="516"/>
      <c r="N120" s="513"/>
      <c r="O120" s="513"/>
      <c r="P120" s="510"/>
      <c r="Q120" s="510"/>
      <c r="R120" s="510"/>
      <c r="S120" s="510"/>
      <c r="T120" s="510"/>
      <c r="U120" s="510"/>
      <c r="V120" s="510"/>
      <c r="W120" s="510"/>
      <c r="X120" s="510"/>
      <c r="Y120" s="510"/>
      <c r="Z120" s="510"/>
      <c r="AA120" s="510"/>
      <c r="AB120" s="510"/>
      <c r="AC120" s="510"/>
      <c r="AD120" s="510"/>
      <c r="AE120" s="510"/>
      <c r="AF120" s="510"/>
      <c r="AG120" s="510"/>
      <c r="AH120" s="510"/>
      <c r="AI120" s="510"/>
      <c r="AJ120" s="510"/>
      <c r="AK120" s="510"/>
      <c r="AL120" s="510"/>
      <c r="AM120" s="510"/>
      <c r="AN120" s="510"/>
      <c r="AO120" s="510"/>
      <c r="AP120" s="510"/>
      <c r="AQ120" s="510"/>
      <c r="AR120" s="510"/>
      <c r="AS120" s="510"/>
      <c r="AT120" s="510"/>
      <c r="AU120" s="510"/>
      <c r="AV120" s="510"/>
      <c r="AW120" s="510"/>
      <c r="AX120" s="510"/>
      <c r="AY120" s="510"/>
      <c r="AZ120" s="466"/>
      <c r="BA120" s="466"/>
      <c r="BB120" s="466"/>
      <c r="BC120" s="466"/>
      <c r="BD120" s="466"/>
      <c r="BE120" s="466"/>
      <c r="BF120" s="466"/>
      <c r="BG120" s="466"/>
      <c r="BH120" s="466"/>
      <c r="BI120" s="466"/>
      <c r="BJ120" s="466"/>
      <c r="BK120" s="466"/>
      <c r="BL120" s="466"/>
      <c r="BM120" s="518"/>
      <c r="BN120" s="524"/>
      <c r="BO120" s="518"/>
      <c r="BP120" s="518"/>
      <c r="BQ120" s="518"/>
      <c r="BR120" s="466"/>
      <c r="BS120" s="466"/>
      <c r="BT120" s="466"/>
      <c r="BU120" s="466"/>
      <c r="BV120" s="466"/>
      <c r="BW120" s="466"/>
      <c r="BX120" s="466"/>
      <c r="BY120" s="466"/>
      <c r="BZ120" s="466"/>
      <c r="CA120" s="466"/>
      <c r="CB120" s="466"/>
      <c r="CC120" s="466"/>
      <c r="CD120" s="466"/>
      <c r="CE120" s="466"/>
      <c r="CF120" s="466"/>
      <c r="CG120" s="466"/>
      <c r="CH120" s="466"/>
      <c r="CI120" s="466"/>
      <c r="CJ120" s="466"/>
      <c r="CK120" s="466"/>
      <c r="CL120" s="466"/>
      <c r="CM120" s="466"/>
      <c r="CN120" s="466"/>
      <c r="CO120" s="466"/>
      <c r="CP120" s="466"/>
      <c r="CQ120" s="466"/>
      <c r="CR120" s="466"/>
      <c r="CS120" s="466"/>
      <c r="CT120" s="466"/>
      <c r="CU120" s="466"/>
      <c r="CV120" s="466"/>
      <c r="CW120" s="466"/>
      <c r="CX120" s="466"/>
      <c r="CY120" s="466"/>
      <c r="CZ120" s="466"/>
      <c r="DA120" s="466"/>
      <c r="DB120" s="466"/>
      <c r="DC120" s="466"/>
      <c r="DD120" s="466"/>
      <c r="DE120" s="466"/>
      <c r="DF120" s="466"/>
      <c r="DG120" s="466"/>
      <c r="DH120" s="1520"/>
      <c r="DI120" s="1520"/>
      <c r="DJ120" s="1520"/>
      <c r="DK120" s="1520"/>
      <c r="DL120" s="1520"/>
      <c r="DM120" s="1520"/>
      <c r="DN120" s="1520"/>
      <c r="DO120" s="1520"/>
      <c r="DP120" s="1520"/>
      <c r="DQ120" s="1520"/>
      <c r="DR120" s="1520"/>
      <c r="DS120" s="1520"/>
      <c r="DT120" s="1520"/>
      <c r="DU120" s="1520"/>
      <c r="DV120" s="1520"/>
      <c r="DW120" s="1520"/>
      <c r="DX120" s="1520"/>
      <c r="DY120" s="1520"/>
      <c r="DZ120" s="1520"/>
      <c r="EA120" s="1520"/>
      <c r="EB120" s="1520"/>
      <c r="EC120" s="1520"/>
      <c r="ED120" s="1520"/>
      <c r="EE120" s="1520"/>
      <c r="EF120" s="1520"/>
      <c r="EG120" s="1520"/>
      <c r="EH120" s="1520"/>
      <c r="EI120" s="1520"/>
      <c r="EJ120" s="1520"/>
      <c r="EK120" s="1520"/>
      <c r="EL120" s="1520"/>
      <c r="EM120" s="1520"/>
      <c r="EN120" s="1520"/>
      <c r="EO120" s="1520"/>
      <c r="EP120" s="1520"/>
      <c r="EQ120" s="1520"/>
      <c r="ER120" s="1520"/>
      <c r="ES120" s="1520"/>
      <c r="ET120" s="1520"/>
      <c r="EU120" s="1520"/>
      <c r="EV120" s="1520"/>
      <c r="EW120" s="1520"/>
      <c r="EX120" s="1520"/>
      <c r="EY120" s="1520"/>
      <c r="EZ120" s="1520"/>
      <c r="FA120" s="1520"/>
      <c r="FB120" s="1520"/>
      <c r="FC120" s="1520"/>
      <c r="FD120" s="2434"/>
      <c r="FE120" s="466"/>
      <c r="FF120" s="466"/>
      <c r="FG120" s="466"/>
      <c r="FH120" s="466"/>
      <c r="FI120" s="466"/>
      <c r="FJ120" s="466"/>
      <c r="FK120" s="466"/>
      <c r="FL120" s="466"/>
      <c r="FM120" s="466"/>
      <c r="FN120" s="466"/>
      <c r="FO120" s="466"/>
      <c r="FP120" s="466"/>
      <c r="FQ120" s="466"/>
      <c r="FR120" s="466"/>
      <c r="FS120" s="466"/>
      <c r="FT120" s="466"/>
      <c r="FU120" s="466"/>
      <c r="FV120" s="466"/>
      <c r="FW120" s="466"/>
      <c r="FX120" s="466"/>
      <c r="FY120" s="466"/>
      <c r="FZ120" s="466"/>
      <c r="GA120" s="466"/>
      <c r="GB120" s="466"/>
      <c r="GC120" s="466"/>
      <c r="GD120" s="466"/>
      <c r="GE120" s="466"/>
      <c r="GF120" s="466"/>
      <c r="GG120" s="466"/>
      <c r="GH120" s="466"/>
      <c r="GI120" s="466"/>
      <c r="GJ120" s="466"/>
      <c r="GK120" s="466"/>
      <c r="GL120" s="466"/>
      <c r="GM120" s="466"/>
      <c r="GN120" s="466"/>
      <c r="GO120" s="1564"/>
      <c r="GP120" s="1564"/>
      <c r="GQ120" s="1564"/>
      <c r="GR120" s="1564"/>
      <c r="GS120" s="1565"/>
      <c r="GT120" s="1565"/>
      <c r="GU120" s="1526"/>
      <c r="GV120" s="466"/>
      <c r="GW120" s="466"/>
      <c r="GX120" s="466"/>
      <c r="GY120" s="466"/>
      <c r="GZ120" s="466"/>
      <c r="HA120" s="466"/>
      <c r="HB120" s="466"/>
      <c r="HC120" s="466"/>
      <c r="HD120" s="466"/>
      <c r="HE120" s="844"/>
      <c r="HF120" s="844"/>
      <c r="HG120" s="844"/>
      <c r="HH120" s="844"/>
      <c r="HI120" s="844"/>
      <c r="HJ120" s="844"/>
      <c r="HK120" s="844"/>
      <c r="HL120" s="844"/>
      <c r="HM120" s="844"/>
      <c r="HN120" s="844"/>
      <c r="HO120" s="1575"/>
      <c r="HP120" s="466"/>
      <c r="HQ120" s="466"/>
      <c r="HR120" s="466"/>
      <c r="HS120" s="415"/>
      <c r="HT120" s="2292"/>
    </row>
    <row r="121" spans="3:228">
      <c r="C121" s="466"/>
      <c r="D121" s="466"/>
      <c r="E121" s="3850"/>
      <c r="F121" s="516"/>
      <c r="G121" s="513"/>
      <c r="H121" s="525"/>
      <c r="I121" s="525"/>
      <c r="J121" s="523"/>
      <c r="K121" s="519"/>
      <c r="L121" s="466"/>
      <c r="M121" s="516"/>
      <c r="N121" s="513"/>
      <c r="O121" s="513"/>
      <c r="P121" s="510"/>
      <c r="Q121" s="510"/>
      <c r="R121" s="510"/>
      <c r="S121" s="510"/>
      <c r="T121" s="510"/>
      <c r="U121" s="510"/>
      <c r="V121" s="510"/>
      <c r="W121" s="510"/>
      <c r="X121" s="510"/>
      <c r="Y121" s="510"/>
      <c r="Z121" s="510"/>
      <c r="AA121" s="510"/>
      <c r="AB121" s="510"/>
      <c r="AC121" s="510"/>
      <c r="AD121" s="510"/>
      <c r="AE121" s="510"/>
      <c r="AF121" s="510"/>
      <c r="AG121" s="510"/>
      <c r="AH121" s="510"/>
      <c r="AI121" s="510"/>
      <c r="AJ121" s="510"/>
      <c r="AK121" s="510"/>
      <c r="AL121" s="510"/>
      <c r="AM121" s="510"/>
      <c r="AN121" s="510"/>
      <c r="AO121" s="510"/>
      <c r="AP121" s="510"/>
      <c r="AQ121" s="510"/>
      <c r="AR121" s="510"/>
      <c r="AS121" s="510"/>
      <c r="AT121" s="510"/>
      <c r="AU121" s="510"/>
      <c r="AV121" s="510"/>
      <c r="AW121" s="510"/>
      <c r="AX121" s="510"/>
      <c r="AY121" s="510"/>
      <c r="AZ121" s="466"/>
      <c r="BA121" s="466"/>
      <c r="BB121" s="466"/>
      <c r="BC121" s="466"/>
      <c r="BD121" s="466"/>
      <c r="BE121" s="466"/>
      <c r="BF121" s="466"/>
      <c r="BG121" s="466"/>
      <c r="BH121" s="466"/>
      <c r="BI121" s="466"/>
      <c r="BJ121" s="466"/>
      <c r="BK121" s="466"/>
      <c r="BL121" s="466"/>
      <c r="BM121" s="518"/>
      <c r="BN121" s="524"/>
      <c r="BO121" s="518"/>
      <c r="BP121" s="518"/>
      <c r="BQ121" s="518"/>
      <c r="BR121" s="466"/>
      <c r="BS121" s="466"/>
      <c r="BT121" s="466"/>
      <c r="BU121" s="466"/>
      <c r="BV121" s="466"/>
      <c r="BW121" s="466"/>
      <c r="BX121" s="466"/>
      <c r="BY121" s="466"/>
      <c r="BZ121" s="466"/>
      <c r="CA121" s="466"/>
      <c r="CB121" s="466"/>
      <c r="CC121" s="466"/>
      <c r="CD121" s="466"/>
      <c r="CE121" s="466"/>
      <c r="CF121" s="466"/>
      <c r="CG121" s="466"/>
      <c r="CH121" s="466"/>
      <c r="CI121" s="466"/>
      <c r="CJ121" s="466"/>
      <c r="CK121" s="466"/>
      <c r="CL121" s="466"/>
      <c r="CM121" s="466"/>
      <c r="CN121" s="466"/>
      <c r="CO121" s="466"/>
      <c r="CP121" s="466"/>
      <c r="CQ121" s="466"/>
      <c r="CR121" s="466"/>
      <c r="CS121" s="466"/>
      <c r="CT121" s="466"/>
      <c r="CU121" s="466"/>
      <c r="CV121" s="466"/>
      <c r="CW121" s="466"/>
      <c r="CX121" s="466"/>
      <c r="CY121" s="466"/>
      <c r="CZ121" s="466"/>
      <c r="DA121" s="466"/>
      <c r="DB121" s="466"/>
      <c r="DC121" s="466"/>
      <c r="DD121" s="466"/>
      <c r="DE121" s="466"/>
      <c r="DF121" s="466"/>
      <c r="DG121" s="466"/>
      <c r="DH121" s="1520"/>
      <c r="DI121" s="1520"/>
      <c r="DJ121" s="1520"/>
      <c r="DK121" s="1520"/>
      <c r="DL121" s="1520"/>
      <c r="DM121" s="1520"/>
      <c r="DN121" s="1520"/>
      <c r="DO121" s="1520"/>
      <c r="DP121" s="1520"/>
      <c r="DQ121" s="1520"/>
      <c r="DR121" s="1520"/>
      <c r="DS121" s="1520"/>
      <c r="DT121" s="1520"/>
      <c r="DU121" s="1520"/>
      <c r="DV121" s="1520"/>
      <c r="DW121" s="1520"/>
      <c r="DX121" s="1520"/>
      <c r="DY121" s="1520"/>
      <c r="DZ121" s="1520"/>
      <c r="EA121" s="1520"/>
      <c r="EB121" s="1520"/>
      <c r="EC121" s="1520"/>
      <c r="ED121" s="1520"/>
      <c r="EE121" s="1520"/>
      <c r="EF121" s="1520"/>
      <c r="EG121" s="1520"/>
      <c r="EH121" s="1520"/>
      <c r="EI121" s="1520"/>
      <c r="EJ121" s="1520"/>
      <c r="EK121" s="1520"/>
      <c r="EL121" s="1520"/>
      <c r="EM121" s="1520"/>
      <c r="EN121" s="1520"/>
      <c r="EO121" s="1520"/>
      <c r="EP121" s="1520"/>
      <c r="EQ121" s="1520"/>
      <c r="ER121" s="1520"/>
      <c r="ES121" s="1520"/>
      <c r="ET121" s="1520"/>
      <c r="EU121" s="1520"/>
      <c r="EV121" s="1520"/>
      <c r="EW121" s="1520"/>
      <c r="EX121" s="1520"/>
      <c r="EY121" s="1520"/>
      <c r="EZ121" s="1520"/>
      <c r="FA121" s="1520"/>
      <c r="FB121" s="1520"/>
      <c r="FC121" s="1520"/>
      <c r="FD121" s="2434"/>
      <c r="FE121" s="466"/>
      <c r="FF121" s="466"/>
      <c r="FG121" s="466"/>
      <c r="FH121" s="466"/>
      <c r="FI121" s="466"/>
      <c r="FJ121" s="466"/>
      <c r="FK121" s="466"/>
      <c r="FL121" s="466"/>
      <c r="FM121" s="466"/>
      <c r="FN121" s="466"/>
      <c r="FO121" s="466"/>
      <c r="FP121" s="466"/>
      <c r="FQ121" s="466"/>
      <c r="FR121" s="466"/>
      <c r="FS121" s="466"/>
      <c r="FT121" s="466"/>
      <c r="FU121" s="466"/>
      <c r="FV121" s="466"/>
      <c r="FW121" s="466"/>
      <c r="FX121" s="466"/>
      <c r="FY121" s="466"/>
      <c r="FZ121" s="466"/>
      <c r="GA121" s="466"/>
      <c r="GB121" s="466"/>
      <c r="GC121" s="466"/>
      <c r="GD121" s="466"/>
      <c r="GE121" s="466"/>
      <c r="GF121" s="466"/>
      <c r="GG121" s="466"/>
      <c r="GH121" s="466"/>
      <c r="GI121" s="466"/>
      <c r="GJ121" s="466"/>
      <c r="GK121" s="466"/>
      <c r="GL121" s="466"/>
      <c r="GM121" s="466"/>
      <c r="GN121" s="466"/>
      <c r="GO121" s="1564"/>
      <c r="GP121" s="1564"/>
      <c r="GQ121" s="1564"/>
      <c r="GR121" s="1564"/>
      <c r="GS121" s="1565"/>
      <c r="GT121" s="1565"/>
      <c r="GU121" s="1526"/>
      <c r="GV121" s="466"/>
      <c r="GW121" s="466"/>
      <c r="GX121" s="466"/>
      <c r="GY121" s="466"/>
      <c r="GZ121" s="466"/>
      <c r="HA121" s="466"/>
      <c r="HB121" s="466"/>
      <c r="HC121" s="466"/>
      <c r="HD121" s="466"/>
      <c r="HE121" s="844"/>
      <c r="HF121" s="844"/>
      <c r="HG121" s="844"/>
      <c r="HH121" s="844"/>
      <c r="HI121" s="844"/>
      <c r="HJ121" s="844"/>
      <c r="HK121" s="844"/>
      <c r="HL121" s="844"/>
      <c r="HM121" s="844"/>
      <c r="HN121" s="844"/>
      <c r="HO121" s="1575"/>
      <c r="HP121" s="466"/>
      <c r="HQ121" s="466"/>
      <c r="HR121" s="466"/>
      <c r="HS121" s="415"/>
      <c r="HT121" s="2292"/>
    </row>
    <row r="122" spans="3:228">
      <c r="C122" s="466"/>
      <c r="D122" s="466"/>
      <c r="E122" s="3850"/>
      <c r="F122" s="516"/>
      <c r="G122" s="513"/>
      <c r="H122" s="525"/>
      <c r="I122" s="525"/>
      <c r="J122" s="523"/>
      <c r="K122" s="519"/>
      <c r="L122" s="466"/>
      <c r="M122" s="516"/>
      <c r="N122" s="513"/>
      <c r="O122" s="513"/>
      <c r="P122" s="510"/>
      <c r="Q122" s="510"/>
      <c r="R122" s="510"/>
      <c r="S122" s="510"/>
      <c r="T122" s="510"/>
      <c r="U122" s="510"/>
      <c r="V122" s="510"/>
      <c r="W122" s="510"/>
      <c r="X122" s="510"/>
      <c r="Y122" s="510"/>
      <c r="Z122" s="510"/>
      <c r="AA122" s="510"/>
      <c r="AB122" s="510"/>
      <c r="AC122" s="510"/>
      <c r="AD122" s="510"/>
      <c r="AE122" s="510"/>
      <c r="AF122" s="510"/>
      <c r="AG122" s="510"/>
      <c r="AH122" s="510"/>
      <c r="AI122" s="510"/>
      <c r="AJ122" s="510"/>
      <c r="AK122" s="510"/>
      <c r="AL122" s="510"/>
      <c r="AM122" s="510"/>
      <c r="AN122" s="510"/>
      <c r="AO122" s="510"/>
      <c r="AP122" s="510"/>
      <c r="AQ122" s="510"/>
      <c r="AR122" s="510"/>
      <c r="AS122" s="510"/>
      <c r="AT122" s="510"/>
      <c r="AU122" s="510"/>
      <c r="AV122" s="510"/>
      <c r="AW122" s="510"/>
      <c r="AX122" s="510"/>
      <c r="AY122" s="510"/>
      <c r="AZ122" s="466"/>
      <c r="BA122" s="466"/>
      <c r="BB122" s="466"/>
      <c r="BC122" s="466"/>
      <c r="BD122" s="466"/>
      <c r="BE122" s="466"/>
      <c r="BF122" s="466"/>
      <c r="BG122" s="466"/>
      <c r="BH122" s="466"/>
      <c r="BI122" s="466"/>
      <c r="BJ122" s="466"/>
      <c r="BK122" s="466"/>
      <c r="BL122" s="466"/>
      <c r="BM122" s="518"/>
      <c r="BN122" s="524"/>
      <c r="BO122" s="518"/>
      <c r="BP122" s="518"/>
      <c r="BQ122" s="518"/>
      <c r="BR122" s="466"/>
      <c r="BS122" s="466"/>
      <c r="BT122" s="466"/>
      <c r="BU122" s="466"/>
      <c r="BV122" s="466"/>
      <c r="BW122" s="466"/>
      <c r="BX122" s="466"/>
      <c r="BY122" s="466"/>
      <c r="BZ122" s="466"/>
      <c r="CA122" s="466"/>
      <c r="CB122" s="466"/>
      <c r="CC122" s="466"/>
      <c r="CD122" s="466"/>
      <c r="CE122" s="466"/>
      <c r="CF122" s="466"/>
      <c r="CG122" s="466"/>
      <c r="CH122" s="466"/>
      <c r="CI122" s="466"/>
      <c r="CJ122" s="466"/>
      <c r="CK122" s="466"/>
      <c r="CL122" s="466"/>
      <c r="CM122" s="466"/>
      <c r="CN122" s="466"/>
      <c r="CO122" s="466"/>
      <c r="CP122" s="466"/>
      <c r="CQ122" s="466"/>
      <c r="CR122" s="466"/>
      <c r="CS122" s="466"/>
      <c r="CT122" s="466"/>
      <c r="CU122" s="466"/>
      <c r="CV122" s="466"/>
      <c r="CW122" s="466"/>
      <c r="CX122" s="466"/>
      <c r="CY122" s="466"/>
      <c r="CZ122" s="466"/>
      <c r="DA122" s="466"/>
      <c r="DB122" s="466"/>
      <c r="DC122" s="466"/>
      <c r="DD122" s="466"/>
      <c r="DE122" s="466"/>
      <c r="DF122" s="466"/>
      <c r="DG122" s="466"/>
      <c r="DH122" s="1520"/>
      <c r="DI122" s="1520"/>
      <c r="DJ122" s="1520"/>
      <c r="DK122" s="1520"/>
      <c r="DL122" s="1520"/>
      <c r="DM122" s="1520"/>
      <c r="DN122" s="1520"/>
      <c r="DO122" s="1520"/>
      <c r="DP122" s="1520"/>
      <c r="DQ122" s="1520"/>
      <c r="DR122" s="1520"/>
      <c r="DS122" s="1520"/>
      <c r="DT122" s="1520"/>
      <c r="DU122" s="1520"/>
      <c r="DV122" s="1520"/>
      <c r="DW122" s="1520"/>
      <c r="DX122" s="1520"/>
      <c r="DY122" s="1520"/>
      <c r="DZ122" s="1520"/>
      <c r="EA122" s="1520"/>
      <c r="EB122" s="1520"/>
      <c r="EC122" s="1520"/>
      <c r="ED122" s="1520"/>
      <c r="EE122" s="1520"/>
      <c r="EF122" s="1520"/>
      <c r="EG122" s="1520"/>
      <c r="EH122" s="1520"/>
      <c r="EI122" s="1520"/>
      <c r="EJ122" s="1520"/>
      <c r="EK122" s="1520"/>
      <c r="EL122" s="1520"/>
      <c r="EM122" s="1520"/>
      <c r="EN122" s="1520"/>
      <c r="EO122" s="1520"/>
      <c r="EP122" s="1520"/>
      <c r="EQ122" s="1520"/>
      <c r="ER122" s="1520"/>
      <c r="ES122" s="1520"/>
      <c r="ET122" s="1520"/>
      <c r="EU122" s="1520"/>
      <c r="EV122" s="1520"/>
      <c r="EW122" s="1520"/>
      <c r="EX122" s="1520"/>
      <c r="EY122" s="1520"/>
      <c r="EZ122" s="1520"/>
      <c r="FA122" s="1520"/>
      <c r="FB122" s="1520"/>
      <c r="FC122" s="1520"/>
      <c r="FD122" s="2434"/>
      <c r="FE122" s="466"/>
      <c r="FF122" s="466"/>
      <c r="FG122" s="466"/>
      <c r="FH122" s="466"/>
      <c r="FI122" s="466"/>
      <c r="FJ122" s="466"/>
      <c r="FK122" s="466"/>
      <c r="FL122" s="466"/>
      <c r="FM122" s="466"/>
      <c r="FN122" s="466"/>
      <c r="FO122" s="466"/>
      <c r="FP122" s="466"/>
      <c r="FQ122" s="466"/>
      <c r="FR122" s="466"/>
      <c r="FS122" s="466"/>
      <c r="FT122" s="466"/>
      <c r="FU122" s="466"/>
      <c r="FV122" s="466"/>
      <c r="FW122" s="466"/>
      <c r="FX122" s="466"/>
      <c r="FY122" s="466"/>
      <c r="FZ122" s="466"/>
      <c r="GA122" s="466"/>
      <c r="GB122" s="466"/>
      <c r="GC122" s="466"/>
      <c r="GD122" s="466"/>
      <c r="GE122" s="466"/>
      <c r="GF122" s="466"/>
      <c r="GG122" s="466"/>
      <c r="GH122" s="466"/>
      <c r="GI122" s="466"/>
      <c r="GJ122" s="466"/>
      <c r="GK122" s="466"/>
      <c r="GL122" s="466"/>
      <c r="GM122" s="466"/>
      <c r="GN122" s="466"/>
      <c r="GO122" s="1564"/>
      <c r="GP122" s="1564"/>
      <c r="GQ122" s="1564"/>
      <c r="GR122" s="1564"/>
      <c r="GS122" s="1565"/>
      <c r="GT122" s="1565"/>
      <c r="GU122" s="1526"/>
      <c r="GV122" s="466"/>
      <c r="GW122" s="466"/>
      <c r="GX122" s="466"/>
      <c r="GY122" s="466"/>
      <c r="GZ122" s="466"/>
      <c r="HA122" s="466"/>
      <c r="HB122" s="466"/>
      <c r="HC122" s="466"/>
      <c r="HD122" s="466"/>
      <c r="HE122" s="844"/>
      <c r="HF122" s="844"/>
      <c r="HG122" s="844"/>
      <c r="HH122" s="844"/>
      <c r="HI122" s="844"/>
      <c r="HJ122" s="844"/>
      <c r="HK122" s="844"/>
      <c r="HL122" s="844"/>
      <c r="HM122" s="844"/>
      <c r="HN122" s="844"/>
      <c r="HO122" s="1575"/>
      <c r="HP122" s="466"/>
      <c r="HQ122" s="466"/>
      <c r="HR122" s="466"/>
      <c r="HS122" s="415"/>
      <c r="HT122" s="2292"/>
    </row>
    <row r="123" spans="3:228">
      <c r="C123" s="466"/>
      <c r="D123" s="466"/>
      <c r="E123" s="3850"/>
      <c r="F123" s="516"/>
      <c r="G123" s="513"/>
      <c r="H123" s="525"/>
      <c r="I123" s="525"/>
      <c r="J123" s="523"/>
      <c r="K123" s="519"/>
      <c r="L123" s="466"/>
      <c r="M123" s="516"/>
      <c r="N123" s="513"/>
      <c r="O123" s="513"/>
      <c r="P123" s="510"/>
      <c r="Q123" s="510"/>
      <c r="R123" s="510"/>
      <c r="S123" s="510"/>
      <c r="T123" s="510"/>
      <c r="U123" s="510"/>
      <c r="V123" s="510"/>
      <c r="W123" s="510"/>
      <c r="X123" s="510"/>
      <c r="Y123" s="510"/>
      <c r="Z123" s="510"/>
      <c r="AA123" s="510"/>
      <c r="AB123" s="510"/>
      <c r="AC123" s="510"/>
      <c r="AD123" s="510"/>
      <c r="AE123" s="510"/>
      <c r="AF123" s="510"/>
      <c r="AG123" s="510"/>
      <c r="AH123" s="510"/>
      <c r="AI123" s="510"/>
      <c r="AJ123" s="510"/>
      <c r="AK123" s="510"/>
      <c r="AL123" s="510"/>
      <c r="AM123" s="510"/>
      <c r="AN123" s="510"/>
      <c r="AO123" s="510"/>
      <c r="AP123" s="510"/>
      <c r="AQ123" s="510"/>
      <c r="AR123" s="510"/>
      <c r="AS123" s="510"/>
      <c r="AT123" s="510"/>
      <c r="AU123" s="510"/>
      <c r="AV123" s="510"/>
      <c r="AW123" s="510"/>
      <c r="AX123" s="510"/>
      <c r="AY123" s="510"/>
      <c r="AZ123" s="466"/>
      <c r="BA123" s="466"/>
      <c r="BB123" s="466"/>
      <c r="BC123" s="466"/>
      <c r="BD123" s="466"/>
      <c r="BE123" s="466"/>
      <c r="BF123" s="466"/>
      <c r="BG123" s="466"/>
      <c r="BH123" s="466"/>
      <c r="BI123" s="466"/>
      <c r="BJ123" s="466"/>
      <c r="BK123" s="466"/>
      <c r="BL123" s="466"/>
      <c r="BM123" s="518"/>
      <c r="BN123" s="524"/>
      <c r="BO123" s="518"/>
      <c r="BP123" s="518"/>
      <c r="BQ123" s="518"/>
      <c r="BR123" s="466"/>
      <c r="BS123" s="466"/>
      <c r="BT123" s="466"/>
      <c r="BU123" s="466"/>
      <c r="BV123" s="466"/>
      <c r="BW123" s="466"/>
      <c r="BX123" s="466"/>
      <c r="BY123" s="466"/>
      <c r="BZ123" s="466"/>
      <c r="CA123" s="466"/>
      <c r="CB123" s="466"/>
      <c r="CC123" s="466"/>
      <c r="CD123" s="466"/>
      <c r="CE123" s="466"/>
      <c r="CF123" s="466"/>
      <c r="CG123" s="466"/>
      <c r="CH123" s="466"/>
      <c r="CI123" s="466"/>
      <c r="CJ123" s="466"/>
      <c r="CK123" s="466"/>
      <c r="CL123" s="466"/>
      <c r="CM123" s="466"/>
      <c r="CN123" s="466"/>
      <c r="CO123" s="466"/>
      <c r="CP123" s="466"/>
      <c r="CQ123" s="466"/>
      <c r="CR123" s="466"/>
      <c r="CS123" s="466"/>
      <c r="CT123" s="466"/>
      <c r="CU123" s="466"/>
      <c r="CV123" s="466"/>
      <c r="CW123" s="466"/>
      <c r="CX123" s="466"/>
      <c r="CY123" s="466"/>
      <c r="CZ123" s="466"/>
      <c r="DA123" s="466"/>
      <c r="DB123" s="466"/>
      <c r="DC123" s="466"/>
      <c r="DD123" s="466"/>
      <c r="DE123" s="466"/>
      <c r="DF123" s="466"/>
      <c r="DG123" s="466"/>
      <c r="DH123" s="1520"/>
      <c r="DI123" s="1520"/>
      <c r="DJ123" s="1520"/>
      <c r="DK123" s="1520"/>
      <c r="DL123" s="1520"/>
      <c r="DM123" s="1520"/>
      <c r="DN123" s="1520"/>
      <c r="DO123" s="1520"/>
      <c r="DP123" s="1520"/>
      <c r="DQ123" s="1520"/>
      <c r="DR123" s="1520"/>
      <c r="DS123" s="1520"/>
      <c r="DT123" s="1520"/>
      <c r="DU123" s="1520"/>
      <c r="DV123" s="1520"/>
      <c r="DW123" s="1520"/>
      <c r="DX123" s="1520"/>
      <c r="DY123" s="1520"/>
      <c r="DZ123" s="1520"/>
      <c r="EA123" s="1520"/>
      <c r="EB123" s="1520"/>
      <c r="EC123" s="1520"/>
      <c r="ED123" s="1520"/>
      <c r="EE123" s="1520"/>
      <c r="EF123" s="1520"/>
      <c r="EG123" s="1520"/>
      <c r="EH123" s="1520"/>
      <c r="EI123" s="1520"/>
      <c r="EJ123" s="1520"/>
      <c r="EK123" s="1520"/>
      <c r="EL123" s="1520"/>
      <c r="EM123" s="1520"/>
      <c r="EN123" s="1520"/>
      <c r="EO123" s="1520"/>
      <c r="EP123" s="1520"/>
      <c r="EQ123" s="1520"/>
      <c r="ER123" s="1520"/>
      <c r="ES123" s="1520"/>
      <c r="ET123" s="1520"/>
      <c r="EU123" s="1520"/>
      <c r="EV123" s="1520"/>
      <c r="EW123" s="1520"/>
      <c r="EX123" s="1520"/>
      <c r="EY123" s="1520"/>
      <c r="EZ123" s="1520"/>
      <c r="FA123" s="1520"/>
      <c r="FB123" s="1520"/>
      <c r="FC123" s="1520"/>
      <c r="FD123" s="2434"/>
      <c r="FE123" s="466"/>
      <c r="FF123" s="466"/>
      <c r="FG123" s="466"/>
      <c r="FH123" s="466"/>
      <c r="FI123" s="466"/>
      <c r="FJ123" s="466"/>
      <c r="FK123" s="466"/>
      <c r="FL123" s="466"/>
      <c r="FM123" s="466"/>
      <c r="FN123" s="466"/>
      <c r="FO123" s="466"/>
      <c r="FP123" s="466"/>
      <c r="FQ123" s="466"/>
      <c r="FR123" s="466"/>
      <c r="FS123" s="466"/>
      <c r="FT123" s="466"/>
      <c r="FU123" s="466"/>
      <c r="FV123" s="466"/>
      <c r="FW123" s="466"/>
      <c r="FX123" s="466"/>
      <c r="FY123" s="466"/>
      <c r="FZ123" s="466"/>
      <c r="GA123" s="466"/>
      <c r="GB123" s="466"/>
      <c r="GC123" s="466"/>
      <c r="GD123" s="466"/>
      <c r="GE123" s="466"/>
      <c r="GF123" s="466"/>
      <c r="GG123" s="466"/>
      <c r="GH123" s="466"/>
      <c r="GI123" s="466"/>
      <c r="GJ123" s="466"/>
      <c r="GK123" s="466"/>
      <c r="GL123" s="466"/>
      <c r="GM123" s="466"/>
      <c r="GN123" s="466"/>
      <c r="GO123" s="1564"/>
      <c r="GP123" s="1564"/>
      <c r="GQ123" s="1564"/>
      <c r="GR123" s="1564"/>
      <c r="GS123" s="1565"/>
      <c r="GT123" s="1565"/>
      <c r="GU123" s="1526"/>
      <c r="GV123" s="466"/>
      <c r="GW123" s="466"/>
      <c r="GX123" s="466"/>
      <c r="GY123" s="466"/>
      <c r="GZ123" s="466"/>
      <c r="HA123" s="466"/>
      <c r="HB123" s="466"/>
      <c r="HC123" s="466"/>
      <c r="HD123" s="466"/>
      <c r="HE123" s="844"/>
      <c r="HF123" s="844"/>
      <c r="HG123" s="844"/>
      <c r="HH123" s="844"/>
      <c r="HI123" s="844"/>
      <c r="HJ123" s="844"/>
      <c r="HK123" s="844"/>
      <c r="HL123" s="844"/>
      <c r="HM123" s="844"/>
      <c r="HN123" s="844"/>
      <c r="HO123" s="1575"/>
      <c r="HP123" s="466"/>
      <c r="HQ123" s="466"/>
      <c r="HR123" s="466"/>
      <c r="HS123" s="415"/>
      <c r="HT123" s="2292"/>
    </row>
    <row r="124" spans="3:228">
      <c r="C124" s="466"/>
      <c r="D124" s="466"/>
      <c r="E124" s="3850"/>
      <c r="F124" s="516"/>
      <c r="G124" s="513"/>
      <c r="H124" s="525"/>
      <c r="I124" s="525"/>
      <c r="J124" s="523"/>
      <c r="K124" s="519"/>
      <c r="L124" s="466"/>
      <c r="M124" s="516"/>
      <c r="N124" s="513"/>
      <c r="O124" s="513"/>
      <c r="P124" s="510"/>
      <c r="Q124" s="510"/>
      <c r="R124" s="510"/>
      <c r="S124" s="510"/>
      <c r="T124" s="510"/>
      <c r="U124" s="510"/>
      <c r="V124" s="510"/>
      <c r="W124" s="510"/>
      <c r="X124" s="510"/>
      <c r="Y124" s="510"/>
      <c r="Z124" s="510"/>
      <c r="AA124" s="510"/>
      <c r="AB124" s="510"/>
      <c r="AC124" s="510"/>
      <c r="AD124" s="510"/>
      <c r="AE124" s="510"/>
      <c r="AF124" s="510"/>
      <c r="AG124" s="510"/>
      <c r="AH124" s="510"/>
      <c r="AI124" s="510"/>
      <c r="AJ124" s="510"/>
      <c r="AK124" s="510"/>
      <c r="AL124" s="510"/>
      <c r="AM124" s="510"/>
      <c r="AN124" s="510"/>
      <c r="AO124" s="510"/>
      <c r="AP124" s="510"/>
      <c r="AQ124" s="510"/>
      <c r="AR124" s="510"/>
      <c r="AS124" s="510"/>
      <c r="AT124" s="510"/>
      <c r="AU124" s="510"/>
      <c r="AV124" s="510"/>
      <c r="AW124" s="510"/>
      <c r="AX124" s="510"/>
      <c r="AY124" s="510"/>
      <c r="AZ124" s="466"/>
      <c r="BA124" s="466"/>
      <c r="BB124" s="466"/>
      <c r="BC124" s="466"/>
      <c r="BD124" s="466"/>
      <c r="BE124" s="466"/>
      <c r="BF124" s="466"/>
      <c r="BG124" s="466"/>
      <c r="BH124" s="466"/>
      <c r="BI124" s="466"/>
      <c r="BJ124" s="466"/>
      <c r="BK124" s="466"/>
      <c r="BL124" s="466"/>
      <c r="BM124" s="518"/>
      <c r="BN124" s="524"/>
      <c r="BO124" s="518"/>
      <c r="BP124" s="518"/>
      <c r="BQ124" s="518"/>
      <c r="BR124" s="466"/>
      <c r="BS124" s="466"/>
      <c r="BT124" s="466"/>
      <c r="BU124" s="466"/>
      <c r="BV124" s="466"/>
      <c r="BW124" s="466"/>
      <c r="BX124" s="466"/>
      <c r="BY124" s="466"/>
      <c r="BZ124" s="466"/>
      <c r="CA124" s="466"/>
      <c r="CB124" s="466"/>
      <c r="CC124" s="466"/>
      <c r="CD124" s="466"/>
      <c r="CE124" s="466"/>
      <c r="CF124" s="466"/>
      <c r="CG124" s="466"/>
      <c r="CH124" s="466"/>
      <c r="CI124" s="466"/>
      <c r="CJ124" s="466"/>
      <c r="CK124" s="466"/>
      <c r="CL124" s="466"/>
      <c r="CM124" s="466"/>
      <c r="CN124" s="466"/>
      <c r="CO124" s="466"/>
      <c r="CP124" s="466"/>
      <c r="CQ124" s="466"/>
      <c r="CR124" s="466"/>
      <c r="CS124" s="466"/>
      <c r="CT124" s="466"/>
      <c r="CU124" s="466"/>
      <c r="CV124" s="466"/>
      <c r="CW124" s="466"/>
      <c r="CX124" s="466"/>
      <c r="CY124" s="466"/>
      <c r="CZ124" s="466"/>
      <c r="DA124" s="466"/>
      <c r="DB124" s="466"/>
      <c r="DC124" s="466"/>
      <c r="DD124" s="466"/>
      <c r="DE124" s="466"/>
      <c r="DF124" s="466"/>
      <c r="DG124" s="466"/>
      <c r="DH124" s="1520"/>
      <c r="DI124" s="1520"/>
      <c r="DJ124" s="1520"/>
      <c r="DK124" s="1520"/>
      <c r="DL124" s="1520"/>
      <c r="DM124" s="1520"/>
      <c r="DN124" s="1520"/>
      <c r="DO124" s="1520"/>
      <c r="DP124" s="1520"/>
      <c r="DQ124" s="1520"/>
      <c r="DR124" s="1520"/>
      <c r="DS124" s="1520"/>
      <c r="DT124" s="1520"/>
      <c r="DU124" s="1520"/>
      <c r="DV124" s="1520"/>
      <c r="DW124" s="1520"/>
      <c r="DX124" s="1520"/>
      <c r="DY124" s="1520"/>
      <c r="DZ124" s="1520"/>
      <c r="EA124" s="1520"/>
      <c r="EB124" s="1520"/>
      <c r="EC124" s="1520"/>
      <c r="ED124" s="1520"/>
      <c r="EE124" s="1520"/>
      <c r="EF124" s="1520"/>
      <c r="EG124" s="1520"/>
      <c r="EH124" s="1520"/>
      <c r="EI124" s="1520"/>
      <c r="EJ124" s="1520"/>
      <c r="EK124" s="1520"/>
      <c r="EL124" s="1520"/>
      <c r="EM124" s="1520"/>
      <c r="EN124" s="1520"/>
      <c r="EO124" s="1520"/>
      <c r="EP124" s="1520"/>
      <c r="EQ124" s="1520"/>
      <c r="ER124" s="1520"/>
      <c r="ES124" s="1520"/>
      <c r="ET124" s="1520"/>
      <c r="EU124" s="1520"/>
      <c r="EV124" s="1520"/>
      <c r="EW124" s="1520"/>
      <c r="EX124" s="1520"/>
      <c r="EY124" s="1520"/>
      <c r="EZ124" s="1520"/>
      <c r="FA124" s="1520"/>
      <c r="FB124" s="1520"/>
      <c r="FC124" s="1520"/>
      <c r="FD124" s="2434"/>
      <c r="FE124" s="466"/>
      <c r="FF124" s="466"/>
      <c r="FG124" s="466"/>
      <c r="FH124" s="466"/>
      <c r="FI124" s="466"/>
      <c r="FJ124" s="466"/>
      <c r="FK124" s="466"/>
      <c r="FL124" s="466"/>
      <c r="FM124" s="466"/>
      <c r="FN124" s="466"/>
      <c r="FO124" s="466"/>
      <c r="FP124" s="466"/>
      <c r="FQ124" s="466"/>
      <c r="FR124" s="466"/>
      <c r="FS124" s="466"/>
      <c r="FT124" s="466"/>
      <c r="FU124" s="466"/>
      <c r="FV124" s="466"/>
      <c r="FW124" s="466"/>
      <c r="FX124" s="466"/>
      <c r="FY124" s="466"/>
      <c r="FZ124" s="466"/>
      <c r="GA124" s="466"/>
      <c r="GB124" s="466"/>
      <c r="GC124" s="466"/>
      <c r="GD124" s="466"/>
      <c r="GE124" s="466"/>
      <c r="GF124" s="466"/>
      <c r="GG124" s="466"/>
      <c r="GH124" s="466"/>
      <c r="GI124" s="466"/>
      <c r="GJ124" s="466"/>
      <c r="GK124" s="466"/>
      <c r="GL124" s="466"/>
      <c r="GM124" s="466"/>
      <c r="GN124" s="466"/>
      <c r="GO124" s="1564"/>
      <c r="GP124" s="1564"/>
      <c r="GQ124" s="1564"/>
      <c r="GR124" s="1564"/>
      <c r="GS124" s="1565"/>
      <c r="GT124" s="1565"/>
      <c r="GU124" s="1526"/>
      <c r="GV124" s="466"/>
      <c r="GW124" s="466"/>
      <c r="GX124" s="466"/>
      <c r="GY124" s="466"/>
      <c r="GZ124" s="466"/>
      <c r="HA124" s="466"/>
      <c r="HB124" s="466"/>
      <c r="HC124" s="466"/>
      <c r="HD124" s="466"/>
      <c r="HE124" s="844"/>
      <c r="HF124" s="844"/>
      <c r="HG124" s="844"/>
      <c r="HH124" s="844"/>
      <c r="HI124" s="844"/>
      <c r="HJ124" s="844"/>
      <c r="HK124" s="844"/>
      <c r="HL124" s="844"/>
      <c r="HM124" s="844"/>
      <c r="HN124" s="844"/>
      <c r="HO124" s="1575"/>
      <c r="HP124" s="466"/>
      <c r="HQ124" s="466"/>
      <c r="HR124" s="466"/>
      <c r="HS124" s="415"/>
      <c r="HT124" s="2292"/>
    </row>
    <row r="125" spans="3:228">
      <c r="C125" s="466"/>
      <c r="D125" s="466"/>
      <c r="E125" s="3850"/>
      <c r="F125" s="516"/>
      <c r="G125" s="513"/>
      <c r="H125" s="525"/>
      <c r="I125" s="525"/>
      <c r="J125" s="523"/>
      <c r="K125" s="519"/>
      <c r="L125" s="466"/>
      <c r="M125" s="516"/>
      <c r="N125" s="513"/>
      <c r="O125" s="513"/>
      <c r="P125" s="510"/>
      <c r="Q125" s="510"/>
      <c r="R125" s="510"/>
      <c r="S125" s="510"/>
      <c r="T125" s="510"/>
      <c r="U125" s="510"/>
      <c r="V125" s="510"/>
      <c r="W125" s="510"/>
      <c r="X125" s="510"/>
      <c r="Y125" s="510"/>
      <c r="Z125" s="510"/>
      <c r="AA125" s="510"/>
      <c r="AB125" s="510"/>
      <c r="AC125" s="510"/>
      <c r="AD125" s="510"/>
      <c r="AE125" s="510"/>
      <c r="AF125" s="510"/>
      <c r="AG125" s="510"/>
      <c r="AH125" s="510"/>
      <c r="AI125" s="510"/>
      <c r="AJ125" s="510"/>
      <c r="AK125" s="510"/>
      <c r="AL125" s="510"/>
      <c r="AM125" s="510"/>
      <c r="AN125" s="510"/>
      <c r="AO125" s="510"/>
      <c r="AP125" s="510"/>
      <c r="AQ125" s="510"/>
      <c r="AR125" s="510"/>
      <c r="AS125" s="510"/>
      <c r="AT125" s="510"/>
      <c r="AU125" s="510"/>
      <c r="AV125" s="510"/>
      <c r="AW125" s="510"/>
      <c r="AX125" s="510"/>
      <c r="AY125" s="510"/>
      <c r="AZ125" s="466"/>
      <c r="BA125" s="466"/>
      <c r="BB125" s="466"/>
      <c r="BC125" s="466"/>
      <c r="BD125" s="466"/>
      <c r="BE125" s="466"/>
      <c r="BF125" s="466"/>
      <c r="BG125" s="466"/>
      <c r="BH125" s="466"/>
      <c r="BI125" s="466"/>
      <c r="BJ125" s="466"/>
      <c r="BK125" s="466"/>
      <c r="BL125" s="466"/>
      <c r="BM125" s="518"/>
      <c r="BN125" s="524"/>
      <c r="BO125" s="518"/>
      <c r="BP125" s="518"/>
      <c r="BQ125" s="518"/>
      <c r="BR125" s="466"/>
      <c r="BS125" s="466"/>
      <c r="BT125" s="466"/>
      <c r="BU125" s="466"/>
      <c r="BV125" s="466"/>
      <c r="BW125" s="466"/>
      <c r="BX125" s="466"/>
      <c r="BY125" s="466"/>
      <c r="BZ125" s="466"/>
      <c r="CA125" s="466"/>
      <c r="CB125" s="466"/>
      <c r="CC125" s="466"/>
      <c r="CD125" s="466"/>
      <c r="CE125" s="466"/>
      <c r="CF125" s="466"/>
      <c r="CG125" s="466"/>
      <c r="CH125" s="466"/>
      <c r="CI125" s="466"/>
      <c r="CJ125" s="466"/>
      <c r="CK125" s="466"/>
      <c r="CL125" s="466"/>
      <c r="CM125" s="466"/>
      <c r="CN125" s="466"/>
      <c r="CO125" s="466"/>
      <c r="CP125" s="466"/>
      <c r="CQ125" s="466"/>
      <c r="CR125" s="466"/>
      <c r="CS125" s="466"/>
      <c r="CT125" s="466"/>
      <c r="CU125" s="466"/>
      <c r="CV125" s="466"/>
      <c r="CW125" s="466"/>
      <c r="CX125" s="466"/>
      <c r="CY125" s="466"/>
      <c r="CZ125" s="466"/>
      <c r="DA125" s="466"/>
      <c r="DB125" s="466"/>
      <c r="DC125" s="466"/>
      <c r="DD125" s="466"/>
      <c r="DE125" s="466"/>
      <c r="DF125" s="466"/>
      <c r="DG125" s="466"/>
      <c r="DH125" s="1520"/>
      <c r="DI125" s="1520"/>
      <c r="DJ125" s="1520"/>
      <c r="DK125" s="1520"/>
      <c r="DL125" s="1520"/>
      <c r="DM125" s="1520"/>
      <c r="DN125" s="1520"/>
      <c r="DO125" s="1520"/>
      <c r="DP125" s="1520"/>
      <c r="DQ125" s="1520"/>
      <c r="DR125" s="1520"/>
      <c r="DS125" s="1520"/>
      <c r="DT125" s="1520"/>
      <c r="DU125" s="1520"/>
      <c r="DV125" s="1520"/>
      <c r="DW125" s="1520"/>
      <c r="DX125" s="1520"/>
      <c r="DY125" s="1520"/>
      <c r="DZ125" s="1520"/>
      <c r="EA125" s="1520"/>
      <c r="EB125" s="1520"/>
      <c r="EC125" s="1520"/>
      <c r="ED125" s="1520"/>
      <c r="EE125" s="1520"/>
      <c r="EF125" s="1520"/>
      <c r="EG125" s="1520"/>
      <c r="EH125" s="1520"/>
      <c r="EI125" s="1520"/>
      <c r="EJ125" s="1520"/>
      <c r="EK125" s="1520"/>
      <c r="EL125" s="1520"/>
      <c r="EM125" s="1520"/>
      <c r="EN125" s="1520"/>
      <c r="EO125" s="1520"/>
      <c r="EP125" s="1520"/>
      <c r="EQ125" s="1520"/>
      <c r="ER125" s="1520"/>
      <c r="ES125" s="1520"/>
      <c r="ET125" s="1520"/>
      <c r="EU125" s="1520"/>
      <c r="EV125" s="1520"/>
      <c r="EW125" s="1520"/>
      <c r="EX125" s="1520"/>
      <c r="EY125" s="1520"/>
      <c r="EZ125" s="1520"/>
      <c r="FA125" s="1520"/>
      <c r="FB125" s="1520"/>
      <c r="FC125" s="1520"/>
      <c r="FD125" s="2434"/>
      <c r="FE125" s="466"/>
      <c r="FF125" s="466"/>
      <c r="FG125" s="466"/>
      <c r="FH125" s="466"/>
      <c r="FI125" s="466"/>
      <c r="FJ125" s="466"/>
      <c r="FK125" s="466"/>
      <c r="FL125" s="466"/>
      <c r="FM125" s="466"/>
      <c r="FN125" s="466"/>
      <c r="FO125" s="466"/>
      <c r="FP125" s="466"/>
      <c r="FQ125" s="466"/>
      <c r="FR125" s="466"/>
      <c r="FS125" s="466"/>
      <c r="FT125" s="466"/>
      <c r="FU125" s="466"/>
      <c r="FV125" s="466"/>
      <c r="FW125" s="466"/>
      <c r="FX125" s="466"/>
      <c r="FY125" s="466"/>
      <c r="FZ125" s="466"/>
      <c r="GA125" s="466"/>
      <c r="GB125" s="466"/>
      <c r="GC125" s="466"/>
      <c r="GD125" s="466"/>
      <c r="GE125" s="466"/>
      <c r="GF125" s="466"/>
      <c r="GG125" s="466"/>
      <c r="GH125" s="466"/>
      <c r="GI125" s="466"/>
      <c r="GJ125" s="466"/>
      <c r="GK125" s="466"/>
      <c r="GL125" s="466"/>
      <c r="GM125" s="466"/>
      <c r="GN125" s="466"/>
      <c r="GO125" s="1564"/>
      <c r="GP125" s="1564"/>
      <c r="GQ125" s="1564"/>
      <c r="GR125" s="1564"/>
      <c r="GS125" s="1565"/>
      <c r="GT125" s="1565"/>
      <c r="GU125" s="1526"/>
      <c r="GV125" s="466"/>
      <c r="GW125" s="466"/>
      <c r="GX125" s="466"/>
      <c r="GY125" s="466"/>
      <c r="GZ125" s="466"/>
      <c r="HA125" s="466"/>
      <c r="HB125" s="466"/>
      <c r="HC125" s="466"/>
      <c r="HD125" s="466"/>
      <c r="HE125" s="844"/>
      <c r="HF125" s="844"/>
      <c r="HG125" s="844"/>
      <c r="HH125" s="844"/>
      <c r="HI125" s="844"/>
      <c r="HJ125" s="844"/>
      <c r="HK125" s="844"/>
      <c r="HL125" s="844"/>
      <c r="HM125" s="844"/>
      <c r="HN125" s="844"/>
      <c r="HO125" s="1575"/>
      <c r="HP125" s="466"/>
      <c r="HQ125" s="466"/>
      <c r="HR125" s="466"/>
      <c r="HS125" s="415"/>
      <c r="HT125" s="2292"/>
    </row>
    <row r="126" spans="3:228">
      <c r="C126" s="466"/>
      <c r="D126" s="466"/>
      <c r="E126" s="3850"/>
      <c r="F126" s="516"/>
      <c r="G126" s="513"/>
      <c r="H126" s="525"/>
      <c r="I126" s="525"/>
      <c r="J126" s="523"/>
      <c r="K126" s="519"/>
      <c r="L126" s="466"/>
      <c r="M126" s="516"/>
      <c r="N126" s="513"/>
      <c r="O126" s="513"/>
      <c r="P126" s="510"/>
      <c r="Q126" s="510"/>
      <c r="R126" s="510"/>
      <c r="S126" s="510"/>
      <c r="T126" s="510"/>
      <c r="U126" s="510"/>
      <c r="V126" s="510"/>
      <c r="W126" s="510"/>
      <c r="X126" s="510"/>
      <c r="Y126" s="510"/>
      <c r="Z126" s="510"/>
      <c r="AA126" s="510"/>
      <c r="AB126" s="510"/>
      <c r="AC126" s="510"/>
      <c r="AD126" s="510"/>
      <c r="AE126" s="510"/>
      <c r="AF126" s="510"/>
      <c r="AG126" s="510"/>
      <c r="AH126" s="510"/>
      <c r="AI126" s="510"/>
      <c r="AJ126" s="510"/>
      <c r="AK126" s="510"/>
      <c r="AL126" s="510"/>
      <c r="AM126" s="510"/>
      <c r="AN126" s="510"/>
      <c r="AO126" s="510"/>
      <c r="AP126" s="510"/>
      <c r="AQ126" s="510"/>
      <c r="AR126" s="510"/>
      <c r="AS126" s="510"/>
      <c r="AT126" s="510"/>
      <c r="AU126" s="510"/>
      <c r="AV126" s="510"/>
      <c r="AW126" s="510"/>
      <c r="AX126" s="510"/>
      <c r="AY126" s="510"/>
      <c r="AZ126" s="466"/>
      <c r="BA126" s="466"/>
      <c r="BB126" s="466"/>
      <c r="BC126" s="466"/>
      <c r="BD126" s="466"/>
      <c r="BE126" s="466"/>
      <c r="BF126" s="466"/>
      <c r="BG126" s="466"/>
      <c r="BH126" s="466"/>
      <c r="BI126" s="466"/>
      <c r="BJ126" s="466"/>
      <c r="BK126" s="466"/>
      <c r="BL126" s="466"/>
      <c r="BM126" s="518"/>
      <c r="BN126" s="524"/>
      <c r="BO126" s="518"/>
      <c r="BP126" s="518"/>
      <c r="BQ126" s="518"/>
      <c r="BR126" s="466"/>
      <c r="BS126" s="466"/>
      <c r="BT126" s="466"/>
      <c r="BU126" s="466"/>
      <c r="BV126" s="466"/>
      <c r="BW126" s="466"/>
      <c r="BX126" s="466"/>
      <c r="BY126" s="466"/>
      <c r="BZ126" s="466"/>
      <c r="CA126" s="466"/>
      <c r="CB126" s="466"/>
      <c r="CC126" s="466"/>
      <c r="CD126" s="466"/>
      <c r="CE126" s="466"/>
      <c r="CF126" s="466"/>
      <c r="CG126" s="466"/>
      <c r="CH126" s="466"/>
      <c r="CI126" s="466"/>
      <c r="CJ126" s="466"/>
      <c r="CK126" s="466"/>
      <c r="CL126" s="466"/>
      <c r="CM126" s="466"/>
      <c r="CN126" s="466"/>
      <c r="CO126" s="466"/>
      <c r="CP126" s="466"/>
      <c r="CQ126" s="466"/>
      <c r="CR126" s="466"/>
      <c r="CS126" s="466"/>
      <c r="CT126" s="466"/>
      <c r="CU126" s="466"/>
      <c r="CV126" s="466"/>
      <c r="CW126" s="466"/>
      <c r="CX126" s="466"/>
      <c r="CY126" s="466"/>
      <c r="CZ126" s="466"/>
      <c r="DA126" s="466"/>
      <c r="DB126" s="466"/>
      <c r="DC126" s="466"/>
      <c r="DD126" s="466"/>
      <c r="DE126" s="466"/>
      <c r="DF126" s="466"/>
      <c r="DG126" s="466"/>
      <c r="DH126" s="1520"/>
      <c r="DI126" s="1520"/>
      <c r="DJ126" s="1520"/>
      <c r="DK126" s="1520"/>
      <c r="DL126" s="1520"/>
      <c r="DM126" s="1520"/>
      <c r="DN126" s="1520"/>
      <c r="DO126" s="1520"/>
      <c r="DP126" s="1520"/>
      <c r="DQ126" s="1520"/>
      <c r="DR126" s="1520"/>
      <c r="DS126" s="1520"/>
      <c r="DT126" s="1520"/>
      <c r="DU126" s="1520"/>
      <c r="DV126" s="1520"/>
      <c r="DW126" s="1520"/>
      <c r="DX126" s="1520"/>
      <c r="DY126" s="1520"/>
      <c r="DZ126" s="1520"/>
      <c r="EA126" s="1520"/>
      <c r="EB126" s="1520"/>
      <c r="EC126" s="1520"/>
      <c r="ED126" s="1520"/>
      <c r="EE126" s="1520"/>
      <c r="EF126" s="1520"/>
      <c r="EG126" s="1520"/>
      <c r="EH126" s="1520"/>
      <c r="EI126" s="1520"/>
      <c r="EJ126" s="1520"/>
      <c r="EK126" s="1520"/>
      <c r="EL126" s="1520"/>
      <c r="EM126" s="1520"/>
      <c r="EN126" s="1520"/>
      <c r="EO126" s="1520"/>
      <c r="EP126" s="1520"/>
      <c r="EQ126" s="1520"/>
      <c r="ER126" s="1520"/>
      <c r="ES126" s="1520"/>
      <c r="ET126" s="1520"/>
      <c r="EU126" s="1520"/>
      <c r="EV126" s="1520"/>
      <c r="EW126" s="1520"/>
      <c r="EX126" s="1520"/>
      <c r="EY126" s="1520"/>
      <c r="EZ126" s="1520"/>
      <c r="FA126" s="1520"/>
      <c r="FB126" s="1520"/>
      <c r="FC126" s="1520"/>
      <c r="FD126" s="2434"/>
      <c r="FE126" s="466"/>
      <c r="FF126" s="466"/>
      <c r="FG126" s="466"/>
      <c r="FH126" s="466"/>
      <c r="FI126" s="466"/>
      <c r="FJ126" s="466"/>
      <c r="FK126" s="466"/>
      <c r="FL126" s="466"/>
      <c r="FM126" s="466"/>
      <c r="FN126" s="466"/>
      <c r="FO126" s="466"/>
      <c r="FP126" s="466"/>
      <c r="FQ126" s="466"/>
      <c r="FR126" s="466"/>
      <c r="FS126" s="466"/>
      <c r="FT126" s="466"/>
      <c r="FU126" s="466"/>
      <c r="FV126" s="466"/>
      <c r="FW126" s="466"/>
      <c r="FX126" s="466"/>
      <c r="FY126" s="466"/>
      <c r="FZ126" s="466"/>
      <c r="GA126" s="466"/>
      <c r="GB126" s="466"/>
      <c r="GC126" s="466"/>
      <c r="GD126" s="466"/>
      <c r="GE126" s="466"/>
      <c r="GF126" s="466"/>
      <c r="GG126" s="466"/>
      <c r="GH126" s="466"/>
      <c r="GI126" s="466"/>
      <c r="GJ126" s="466"/>
      <c r="GK126" s="466"/>
      <c r="GL126" s="466"/>
      <c r="GM126" s="466"/>
      <c r="GN126" s="466"/>
      <c r="GO126" s="1564"/>
      <c r="GP126" s="1564"/>
      <c r="GQ126" s="1564"/>
      <c r="GR126" s="1564"/>
      <c r="GS126" s="1565"/>
      <c r="GT126" s="1565"/>
      <c r="GU126" s="1526"/>
      <c r="GV126" s="466"/>
      <c r="GW126" s="466"/>
      <c r="GX126" s="466"/>
      <c r="GY126" s="466"/>
      <c r="GZ126" s="466"/>
      <c r="HA126" s="466"/>
      <c r="HB126" s="466"/>
      <c r="HC126" s="466"/>
      <c r="HD126" s="466"/>
      <c r="HE126" s="844"/>
      <c r="HF126" s="844"/>
      <c r="HG126" s="844"/>
      <c r="HH126" s="844"/>
      <c r="HI126" s="844"/>
      <c r="HJ126" s="844"/>
      <c r="HK126" s="844"/>
      <c r="HL126" s="844"/>
      <c r="HM126" s="844"/>
      <c r="HN126" s="844"/>
      <c r="HO126" s="1575"/>
      <c r="HP126" s="466"/>
      <c r="HQ126" s="466"/>
      <c r="HR126" s="466"/>
      <c r="HS126" s="415"/>
      <c r="HT126" s="2292"/>
    </row>
    <row r="127" spans="3:228">
      <c r="C127" s="466"/>
      <c r="D127" s="466"/>
      <c r="E127" s="3850"/>
      <c r="F127" s="516"/>
      <c r="G127" s="513"/>
      <c r="H127" s="525"/>
      <c r="I127" s="525"/>
      <c r="J127" s="523"/>
      <c r="K127" s="519"/>
      <c r="L127" s="466"/>
      <c r="M127" s="516"/>
      <c r="N127" s="513"/>
      <c r="O127" s="513"/>
      <c r="P127" s="510"/>
      <c r="Q127" s="510"/>
      <c r="R127" s="510"/>
      <c r="S127" s="510"/>
      <c r="T127" s="510"/>
      <c r="U127" s="510"/>
      <c r="V127" s="510"/>
      <c r="W127" s="510"/>
      <c r="X127" s="510"/>
      <c r="Y127" s="510"/>
      <c r="Z127" s="510"/>
      <c r="AA127" s="510"/>
      <c r="AB127" s="510"/>
      <c r="AC127" s="510"/>
      <c r="AD127" s="510"/>
      <c r="AE127" s="510"/>
      <c r="AF127" s="510"/>
      <c r="AG127" s="510"/>
      <c r="AH127" s="510"/>
      <c r="AI127" s="510"/>
      <c r="AJ127" s="510"/>
      <c r="AK127" s="510"/>
      <c r="AL127" s="510"/>
      <c r="AM127" s="510"/>
      <c r="AN127" s="510"/>
      <c r="AO127" s="510"/>
      <c r="AP127" s="510"/>
      <c r="AQ127" s="510"/>
      <c r="AR127" s="510"/>
      <c r="AS127" s="510"/>
      <c r="AT127" s="510"/>
      <c r="AU127" s="510"/>
      <c r="AV127" s="510"/>
      <c r="AW127" s="510"/>
      <c r="AX127" s="510"/>
      <c r="AY127" s="510"/>
      <c r="AZ127" s="466"/>
      <c r="BA127" s="466"/>
      <c r="BB127" s="466"/>
      <c r="BC127" s="466"/>
      <c r="BD127" s="466"/>
      <c r="BE127" s="466"/>
      <c r="BF127" s="466"/>
      <c r="BG127" s="466"/>
      <c r="BH127" s="466"/>
      <c r="BI127" s="466"/>
      <c r="BJ127" s="466"/>
      <c r="BK127" s="466"/>
      <c r="BL127" s="466"/>
      <c r="BM127" s="518"/>
      <c r="BN127" s="524"/>
      <c r="BO127" s="518"/>
      <c r="BP127" s="518"/>
      <c r="BQ127" s="518"/>
      <c r="BR127" s="466"/>
      <c r="BS127" s="466"/>
      <c r="BT127" s="466"/>
      <c r="BU127" s="466"/>
      <c r="BV127" s="466"/>
      <c r="BW127" s="466"/>
      <c r="BX127" s="466"/>
      <c r="BY127" s="466"/>
      <c r="BZ127" s="466"/>
      <c r="CA127" s="466"/>
      <c r="CB127" s="466"/>
      <c r="CC127" s="466"/>
      <c r="CD127" s="466"/>
      <c r="CE127" s="466"/>
      <c r="CF127" s="466"/>
      <c r="CG127" s="466"/>
      <c r="CH127" s="466"/>
      <c r="CI127" s="466"/>
      <c r="CJ127" s="466"/>
      <c r="CK127" s="466"/>
      <c r="CL127" s="466"/>
      <c r="CM127" s="466"/>
      <c r="CN127" s="466"/>
      <c r="CO127" s="466"/>
      <c r="CP127" s="466"/>
      <c r="CQ127" s="466"/>
      <c r="CR127" s="466"/>
      <c r="CS127" s="466"/>
      <c r="CT127" s="466"/>
      <c r="CU127" s="466"/>
      <c r="CV127" s="466"/>
      <c r="CW127" s="466"/>
      <c r="CX127" s="466"/>
      <c r="CY127" s="466"/>
      <c r="CZ127" s="466"/>
      <c r="DA127" s="466"/>
      <c r="DB127" s="466"/>
      <c r="DC127" s="466"/>
      <c r="DD127" s="466"/>
      <c r="DE127" s="466"/>
      <c r="DF127" s="466"/>
      <c r="DG127" s="466"/>
      <c r="DH127" s="1520"/>
      <c r="DI127" s="1520"/>
      <c r="DJ127" s="1520"/>
      <c r="DK127" s="1520"/>
      <c r="DL127" s="1520"/>
      <c r="DM127" s="1520"/>
      <c r="DN127" s="1520"/>
      <c r="DO127" s="1520"/>
      <c r="DP127" s="1520"/>
      <c r="DQ127" s="1520"/>
      <c r="DR127" s="1520"/>
      <c r="DS127" s="1520"/>
      <c r="DT127" s="1520"/>
      <c r="DU127" s="1520"/>
      <c r="DV127" s="1520"/>
      <c r="DW127" s="1520"/>
      <c r="DX127" s="1520"/>
      <c r="DY127" s="1520"/>
      <c r="DZ127" s="1520"/>
      <c r="EA127" s="1520"/>
      <c r="EB127" s="1520"/>
      <c r="EC127" s="1520"/>
      <c r="ED127" s="1520"/>
      <c r="EE127" s="1520"/>
      <c r="EF127" s="1520"/>
      <c r="EG127" s="1520"/>
      <c r="EH127" s="1520"/>
      <c r="EI127" s="1520"/>
      <c r="EJ127" s="1520"/>
      <c r="EK127" s="1520"/>
      <c r="EL127" s="1520"/>
      <c r="EM127" s="1520"/>
      <c r="EN127" s="1520"/>
      <c r="EO127" s="1520"/>
      <c r="EP127" s="1520"/>
      <c r="EQ127" s="1520"/>
      <c r="ER127" s="1520"/>
      <c r="ES127" s="1520"/>
      <c r="ET127" s="1520"/>
      <c r="EU127" s="1520"/>
      <c r="EV127" s="1520"/>
      <c r="EW127" s="1520"/>
      <c r="EX127" s="1520"/>
      <c r="EY127" s="1520"/>
      <c r="EZ127" s="1520"/>
      <c r="FA127" s="1520"/>
      <c r="FB127" s="1520"/>
      <c r="FC127" s="1520"/>
      <c r="FD127" s="2434"/>
      <c r="FE127" s="466"/>
      <c r="FF127" s="466"/>
      <c r="FG127" s="466"/>
      <c r="FH127" s="466"/>
      <c r="FI127" s="466"/>
      <c r="FJ127" s="466"/>
      <c r="FK127" s="466"/>
      <c r="FL127" s="466"/>
      <c r="FM127" s="466"/>
      <c r="FN127" s="466"/>
      <c r="FO127" s="466"/>
      <c r="FP127" s="466"/>
      <c r="FQ127" s="466"/>
      <c r="FR127" s="466"/>
      <c r="FS127" s="466"/>
      <c r="FT127" s="466"/>
      <c r="FU127" s="466"/>
      <c r="FV127" s="466"/>
      <c r="FW127" s="466"/>
      <c r="FX127" s="466"/>
      <c r="FY127" s="466"/>
      <c r="FZ127" s="466"/>
      <c r="GA127" s="466"/>
      <c r="GB127" s="466"/>
      <c r="GC127" s="466"/>
      <c r="GD127" s="466"/>
      <c r="GE127" s="466"/>
      <c r="GF127" s="466"/>
      <c r="GG127" s="466"/>
      <c r="GH127" s="466"/>
      <c r="GI127" s="466"/>
      <c r="GJ127" s="466"/>
      <c r="GK127" s="466"/>
      <c r="GL127" s="466"/>
      <c r="GM127" s="466"/>
      <c r="GN127" s="466"/>
      <c r="GO127" s="1564"/>
      <c r="GP127" s="1564"/>
      <c r="GQ127" s="1564"/>
      <c r="GR127" s="1564"/>
      <c r="GS127" s="1565"/>
      <c r="GT127" s="1565"/>
      <c r="GU127" s="1526"/>
      <c r="GV127" s="466"/>
      <c r="GW127" s="466"/>
      <c r="GX127" s="466"/>
      <c r="GY127" s="466"/>
      <c r="GZ127" s="466"/>
      <c r="HA127" s="466"/>
      <c r="HB127" s="466"/>
      <c r="HC127" s="466"/>
      <c r="HD127" s="466"/>
      <c r="HE127" s="844"/>
      <c r="HF127" s="844"/>
      <c r="HG127" s="844"/>
      <c r="HH127" s="844"/>
      <c r="HI127" s="844"/>
      <c r="HJ127" s="844"/>
      <c r="HK127" s="844"/>
      <c r="HL127" s="844"/>
      <c r="HM127" s="844"/>
      <c r="HN127" s="844"/>
      <c r="HO127" s="1575"/>
      <c r="HP127" s="466"/>
      <c r="HQ127" s="466"/>
      <c r="HR127" s="466"/>
      <c r="HS127" s="415"/>
      <c r="HT127" s="2292"/>
    </row>
    <row r="128" spans="3:228">
      <c r="C128" s="466"/>
      <c r="D128" s="466"/>
      <c r="E128" s="3850"/>
      <c r="F128" s="516"/>
      <c r="G128" s="513"/>
      <c r="H128" s="525"/>
      <c r="I128" s="525"/>
      <c r="J128" s="523"/>
      <c r="K128" s="519"/>
      <c r="L128" s="466"/>
      <c r="M128" s="516"/>
      <c r="N128" s="513"/>
      <c r="O128" s="513"/>
      <c r="P128" s="510"/>
      <c r="Q128" s="510"/>
      <c r="R128" s="510"/>
      <c r="S128" s="510"/>
      <c r="T128" s="510"/>
      <c r="U128" s="510"/>
      <c r="V128" s="510"/>
      <c r="W128" s="510"/>
      <c r="X128" s="510"/>
      <c r="Y128" s="510"/>
      <c r="Z128" s="510"/>
      <c r="AA128" s="510"/>
      <c r="AB128" s="510"/>
      <c r="AC128" s="510"/>
      <c r="AD128" s="510"/>
      <c r="AE128" s="510"/>
      <c r="AF128" s="510"/>
      <c r="AG128" s="510"/>
      <c r="AH128" s="510"/>
      <c r="AI128" s="510"/>
      <c r="AJ128" s="510"/>
      <c r="AK128" s="510"/>
      <c r="AL128" s="510"/>
      <c r="AM128" s="510"/>
      <c r="AN128" s="510"/>
      <c r="AO128" s="510"/>
      <c r="AP128" s="510"/>
      <c r="AQ128" s="510"/>
      <c r="AR128" s="510"/>
      <c r="AS128" s="510"/>
      <c r="AT128" s="510"/>
      <c r="AU128" s="510"/>
      <c r="AV128" s="510"/>
      <c r="AW128" s="510"/>
      <c r="AX128" s="510"/>
      <c r="AY128" s="510"/>
      <c r="AZ128" s="466"/>
      <c r="BA128" s="466"/>
      <c r="BB128" s="466"/>
      <c r="BC128" s="466"/>
      <c r="BD128" s="466"/>
      <c r="BE128" s="466"/>
      <c r="BF128" s="466"/>
      <c r="BG128" s="466"/>
      <c r="BH128" s="466"/>
      <c r="BI128" s="466"/>
      <c r="BJ128" s="466"/>
      <c r="BK128" s="466"/>
      <c r="BL128" s="466"/>
      <c r="BM128" s="518"/>
      <c r="BN128" s="524"/>
      <c r="BO128" s="518"/>
      <c r="BP128" s="518"/>
      <c r="BQ128" s="518"/>
      <c r="BR128" s="466"/>
      <c r="BS128" s="466"/>
      <c r="BT128" s="466"/>
      <c r="BU128" s="466"/>
      <c r="BV128" s="466"/>
      <c r="BW128" s="466"/>
      <c r="BX128" s="466"/>
      <c r="BY128" s="466"/>
      <c r="BZ128" s="466"/>
      <c r="CA128" s="466"/>
      <c r="CB128" s="466"/>
      <c r="CC128" s="466"/>
      <c r="CD128" s="466"/>
      <c r="CE128" s="466"/>
      <c r="CF128" s="466"/>
      <c r="CG128" s="466"/>
      <c r="CH128" s="466"/>
      <c r="CI128" s="466"/>
      <c r="CJ128" s="466"/>
      <c r="CK128" s="466"/>
      <c r="CL128" s="466"/>
      <c r="CM128" s="466"/>
      <c r="CN128" s="466"/>
      <c r="CO128" s="466"/>
      <c r="CP128" s="466"/>
      <c r="CQ128" s="466"/>
      <c r="CR128" s="466"/>
      <c r="CS128" s="466"/>
      <c r="CT128" s="466"/>
      <c r="CU128" s="466"/>
      <c r="CV128" s="466"/>
      <c r="CW128" s="466"/>
      <c r="CX128" s="466"/>
      <c r="CY128" s="466"/>
      <c r="CZ128" s="466"/>
      <c r="DA128" s="466"/>
      <c r="DB128" s="466"/>
      <c r="DC128" s="466"/>
      <c r="DD128" s="466"/>
      <c r="DE128" s="466"/>
      <c r="DF128" s="466"/>
      <c r="DG128" s="466"/>
      <c r="DH128" s="1520"/>
      <c r="DI128" s="1520"/>
      <c r="DJ128" s="1520"/>
      <c r="DK128" s="1520"/>
      <c r="DL128" s="1520"/>
      <c r="DM128" s="1520"/>
      <c r="DN128" s="1520"/>
      <c r="DO128" s="1520"/>
      <c r="DP128" s="1520"/>
      <c r="DQ128" s="1520"/>
      <c r="DR128" s="1520"/>
      <c r="DS128" s="1520"/>
      <c r="DT128" s="1520"/>
      <c r="DU128" s="1520"/>
      <c r="DV128" s="1520"/>
      <c r="DW128" s="1520"/>
      <c r="DX128" s="1520"/>
      <c r="DY128" s="1520"/>
      <c r="DZ128" s="1520"/>
      <c r="EA128" s="1520"/>
      <c r="EB128" s="1520"/>
      <c r="EC128" s="1520"/>
      <c r="ED128" s="1520"/>
      <c r="EE128" s="1520"/>
      <c r="EF128" s="1520"/>
      <c r="EG128" s="1520"/>
      <c r="EH128" s="1520"/>
      <c r="EI128" s="1520"/>
      <c r="EJ128" s="1520"/>
      <c r="EK128" s="1520"/>
      <c r="EL128" s="1520"/>
      <c r="EM128" s="1520"/>
      <c r="EN128" s="1520"/>
      <c r="EO128" s="1520"/>
      <c r="EP128" s="1520"/>
      <c r="EQ128" s="1520"/>
      <c r="ER128" s="1520"/>
      <c r="ES128" s="1520"/>
      <c r="ET128" s="1520"/>
      <c r="EU128" s="1520"/>
      <c r="EV128" s="1520"/>
      <c r="EW128" s="1520"/>
      <c r="EX128" s="1520"/>
      <c r="EY128" s="1520"/>
      <c r="EZ128" s="1520"/>
      <c r="FA128" s="1520"/>
      <c r="FB128" s="1520"/>
      <c r="FC128" s="1520"/>
      <c r="FD128" s="2434"/>
      <c r="FE128" s="466"/>
      <c r="FF128" s="466"/>
      <c r="FG128" s="466"/>
      <c r="FH128" s="466"/>
      <c r="FI128" s="466"/>
      <c r="FJ128" s="466"/>
      <c r="FK128" s="466"/>
      <c r="FL128" s="466"/>
      <c r="FM128" s="466"/>
      <c r="FN128" s="466"/>
      <c r="FO128" s="466"/>
      <c r="FP128" s="466"/>
      <c r="FQ128" s="466"/>
      <c r="FR128" s="466"/>
      <c r="FS128" s="466"/>
      <c r="FT128" s="466"/>
      <c r="FU128" s="466"/>
      <c r="FV128" s="466"/>
      <c r="FW128" s="466"/>
      <c r="FX128" s="466"/>
      <c r="FY128" s="466"/>
      <c r="FZ128" s="466"/>
      <c r="GA128" s="466"/>
      <c r="GB128" s="466"/>
      <c r="GC128" s="466"/>
      <c r="GD128" s="466"/>
      <c r="GE128" s="466"/>
      <c r="GF128" s="466"/>
      <c r="GG128" s="466"/>
      <c r="GH128" s="466"/>
      <c r="GI128" s="466"/>
      <c r="GJ128" s="466"/>
      <c r="GK128" s="466"/>
      <c r="GL128" s="466"/>
      <c r="GM128" s="466"/>
      <c r="GN128" s="466"/>
      <c r="GO128" s="1564"/>
      <c r="GP128" s="1564"/>
      <c r="GQ128" s="1564"/>
      <c r="GR128" s="1564"/>
      <c r="GS128" s="1565"/>
      <c r="GT128" s="1565"/>
      <c r="GU128" s="1526"/>
      <c r="GV128" s="466"/>
      <c r="GW128" s="466"/>
      <c r="GX128" s="466"/>
      <c r="GY128" s="466"/>
      <c r="GZ128" s="466"/>
      <c r="HA128" s="466"/>
      <c r="HB128" s="466"/>
      <c r="HC128" s="466"/>
      <c r="HD128" s="466"/>
      <c r="HE128" s="844"/>
      <c r="HF128" s="844"/>
      <c r="HG128" s="844"/>
      <c r="HH128" s="844"/>
      <c r="HI128" s="844"/>
      <c r="HJ128" s="844"/>
      <c r="HK128" s="844"/>
      <c r="HL128" s="844"/>
      <c r="HM128" s="844"/>
      <c r="HN128" s="844"/>
      <c r="HO128" s="1575"/>
      <c r="HP128" s="466"/>
      <c r="HQ128" s="466"/>
      <c r="HR128" s="466"/>
      <c r="HS128" s="415"/>
      <c r="HT128" s="2292"/>
    </row>
    <row r="129" spans="3:228">
      <c r="C129" s="466"/>
      <c r="D129" s="466"/>
      <c r="E129" s="3850"/>
      <c r="F129" s="516"/>
      <c r="G129" s="513"/>
      <c r="H129" s="525"/>
      <c r="I129" s="525"/>
      <c r="J129" s="523"/>
      <c r="K129" s="519"/>
      <c r="L129" s="466"/>
      <c r="M129" s="516"/>
      <c r="N129" s="513"/>
      <c r="O129" s="513"/>
      <c r="P129" s="510"/>
      <c r="Q129" s="510"/>
      <c r="R129" s="510"/>
      <c r="S129" s="510"/>
      <c r="T129" s="510"/>
      <c r="U129" s="510"/>
      <c r="V129" s="510"/>
      <c r="W129" s="510"/>
      <c r="X129" s="510"/>
      <c r="Y129" s="510"/>
      <c r="Z129" s="510"/>
      <c r="AA129" s="510"/>
      <c r="AB129" s="510"/>
      <c r="AC129" s="510"/>
      <c r="AD129" s="510"/>
      <c r="AE129" s="510"/>
      <c r="AF129" s="510"/>
      <c r="AG129" s="510"/>
      <c r="AH129" s="510"/>
      <c r="AI129" s="510"/>
      <c r="AJ129" s="510"/>
      <c r="AK129" s="510"/>
      <c r="AL129" s="510"/>
      <c r="AM129" s="510"/>
      <c r="AN129" s="510"/>
      <c r="AO129" s="510"/>
      <c r="AP129" s="510"/>
      <c r="AQ129" s="510"/>
      <c r="AR129" s="510"/>
      <c r="AS129" s="510"/>
      <c r="AT129" s="510"/>
      <c r="AU129" s="510"/>
      <c r="AV129" s="510"/>
      <c r="AW129" s="510"/>
      <c r="AX129" s="510"/>
      <c r="AY129" s="510"/>
      <c r="AZ129" s="466"/>
      <c r="BA129" s="466"/>
      <c r="BB129" s="466"/>
      <c r="BC129" s="466"/>
      <c r="BD129" s="466"/>
      <c r="BE129" s="466"/>
      <c r="BF129" s="466"/>
      <c r="BG129" s="466"/>
      <c r="BH129" s="466"/>
      <c r="BI129" s="466"/>
      <c r="BJ129" s="466"/>
      <c r="BK129" s="466"/>
      <c r="BL129" s="466"/>
      <c r="BM129" s="518"/>
      <c r="BN129" s="524"/>
      <c r="BO129" s="518"/>
      <c r="BP129" s="518"/>
      <c r="BQ129" s="518"/>
      <c r="BR129" s="466"/>
      <c r="BS129" s="466"/>
      <c r="BT129" s="466"/>
      <c r="BU129" s="466"/>
      <c r="BV129" s="466"/>
      <c r="BW129" s="466"/>
      <c r="BX129" s="466"/>
      <c r="BY129" s="466"/>
      <c r="BZ129" s="466"/>
      <c r="CA129" s="466"/>
      <c r="CB129" s="466"/>
      <c r="CC129" s="466"/>
      <c r="CD129" s="466"/>
      <c r="CE129" s="466"/>
      <c r="CF129" s="466"/>
      <c r="CG129" s="466"/>
      <c r="CH129" s="466"/>
      <c r="CI129" s="466"/>
      <c r="CJ129" s="466"/>
      <c r="CK129" s="466"/>
      <c r="CL129" s="466"/>
      <c r="CM129" s="466"/>
      <c r="CN129" s="466"/>
      <c r="CO129" s="466"/>
      <c r="CP129" s="466"/>
      <c r="CQ129" s="466"/>
      <c r="CR129" s="466"/>
      <c r="CS129" s="466"/>
      <c r="CT129" s="466"/>
      <c r="CU129" s="466"/>
      <c r="CV129" s="466"/>
      <c r="CW129" s="466"/>
      <c r="CX129" s="466"/>
      <c r="CY129" s="466"/>
      <c r="CZ129" s="466"/>
      <c r="DA129" s="466"/>
      <c r="DB129" s="466"/>
      <c r="DC129" s="466"/>
      <c r="DD129" s="466"/>
      <c r="DE129" s="466"/>
      <c r="DF129" s="466"/>
      <c r="DG129" s="466"/>
      <c r="DH129" s="1520"/>
      <c r="DI129" s="1520"/>
      <c r="DJ129" s="1520"/>
      <c r="DK129" s="1520"/>
      <c r="DL129" s="1520"/>
      <c r="DM129" s="1520"/>
      <c r="DN129" s="1520"/>
      <c r="DO129" s="1520"/>
      <c r="DP129" s="1520"/>
      <c r="DQ129" s="1520"/>
      <c r="DR129" s="1520"/>
      <c r="DS129" s="1520"/>
      <c r="DT129" s="1520"/>
      <c r="DU129" s="1520"/>
      <c r="DV129" s="1520"/>
      <c r="DW129" s="1520"/>
      <c r="DX129" s="1520"/>
      <c r="DY129" s="1520"/>
      <c r="DZ129" s="1520"/>
      <c r="EA129" s="1520"/>
      <c r="EB129" s="1520"/>
      <c r="EC129" s="1520"/>
      <c r="ED129" s="1520"/>
      <c r="EE129" s="1520"/>
      <c r="EF129" s="1520"/>
      <c r="EG129" s="1520"/>
      <c r="EH129" s="1520"/>
      <c r="EI129" s="1520"/>
      <c r="EJ129" s="1520"/>
      <c r="EK129" s="1520"/>
      <c r="EL129" s="1520"/>
      <c r="EM129" s="1520"/>
      <c r="EN129" s="1520"/>
      <c r="EO129" s="1520"/>
      <c r="EP129" s="1520"/>
      <c r="EQ129" s="1520"/>
      <c r="ER129" s="1520"/>
      <c r="ES129" s="1520"/>
      <c r="ET129" s="1520"/>
      <c r="EU129" s="1520"/>
      <c r="EV129" s="1520"/>
      <c r="EW129" s="1520"/>
      <c r="EX129" s="1520"/>
      <c r="EY129" s="1520"/>
      <c r="EZ129" s="1520"/>
      <c r="FA129" s="1520"/>
      <c r="FB129" s="1520"/>
      <c r="FC129" s="1520"/>
      <c r="FD129" s="2434"/>
      <c r="FE129" s="466"/>
      <c r="FF129" s="466"/>
      <c r="FG129" s="466"/>
      <c r="FH129" s="466"/>
      <c r="FI129" s="466"/>
      <c r="FJ129" s="466"/>
      <c r="FK129" s="466"/>
      <c r="FL129" s="466"/>
      <c r="FM129" s="466"/>
      <c r="FN129" s="466"/>
      <c r="FO129" s="466"/>
      <c r="FP129" s="466"/>
      <c r="FQ129" s="466"/>
      <c r="FR129" s="466"/>
      <c r="FS129" s="466"/>
      <c r="FT129" s="466"/>
      <c r="FU129" s="466"/>
      <c r="FV129" s="466"/>
      <c r="FW129" s="466"/>
      <c r="FX129" s="466"/>
      <c r="FY129" s="466"/>
      <c r="FZ129" s="466"/>
      <c r="GA129" s="466"/>
      <c r="GB129" s="466"/>
      <c r="GC129" s="466"/>
      <c r="GD129" s="466"/>
      <c r="GE129" s="466"/>
      <c r="GF129" s="466"/>
      <c r="GG129" s="466"/>
      <c r="GH129" s="466"/>
      <c r="GI129" s="466"/>
      <c r="GJ129" s="466"/>
      <c r="GK129" s="466"/>
      <c r="GL129" s="466"/>
      <c r="GM129" s="466"/>
      <c r="GN129" s="466"/>
      <c r="GO129" s="1564"/>
      <c r="GP129" s="1564"/>
      <c r="GQ129" s="1564"/>
      <c r="GR129" s="1564"/>
      <c r="GS129" s="1565"/>
      <c r="GT129" s="1565"/>
      <c r="GU129" s="1526"/>
      <c r="GV129" s="466"/>
      <c r="GW129" s="466"/>
      <c r="GX129" s="466"/>
      <c r="GY129" s="466"/>
      <c r="GZ129" s="466"/>
      <c r="HA129" s="466"/>
      <c r="HB129" s="466"/>
      <c r="HC129" s="466"/>
      <c r="HD129" s="466"/>
      <c r="HE129" s="844"/>
      <c r="HF129" s="844"/>
      <c r="HG129" s="844"/>
      <c r="HH129" s="844"/>
      <c r="HI129" s="844"/>
      <c r="HJ129" s="844"/>
      <c r="HK129" s="844"/>
      <c r="HL129" s="844"/>
      <c r="HM129" s="844"/>
      <c r="HN129" s="844"/>
      <c r="HO129" s="1575"/>
      <c r="HP129" s="466"/>
      <c r="HQ129" s="466"/>
      <c r="HR129" s="466"/>
      <c r="HS129" s="415"/>
      <c r="HT129" s="2292"/>
    </row>
    <row r="130" spans="3:228">
      <c r="C130" s="466"/>
      <c r="D130" s="466"/>
      <c r="E130" s="3850"/>
      <c r="F130" s="516"/>
      <c r="G130" s="513"/>
      <c r="H130" s="525"/>
      <c r="I130" s="525"/>
      <c r="J130" s="523"/>
      <c r="K130" s="519"/>
      <c r="L130" s="466"/>
      <c r="M130" s="516"/>
      <c r="N130" s="513"/>
      <c r="O130" s="513"/>
      <c r="P130" s="510"/>
      <c r="Q130" s="510"/>
      <c r="R130" s="510"/>
      <c r="S130" s="510"/>
      <c r="T130" s="510"/>
      <c r="U130" s="510"/>
      <c r="V130" s="510"/>
      <c r="W130" s="510"/>
      <c r="X130" s="510"/>
      <c r="Y130" s="510"/>
      <c r="Z130" s="510"/>
      <c r="AA130" s="510"/>
      <c r="AB130" s="510"/>
      <c r="AC130" s="510"/>
      <c r="AD130" s="510"/>
      <c r="AE130" s="510"/>
      <c r="AF130" s="510"/>
      <c r="AG130" s="510"/>
      <c r="AH130" s="510"/>
      <c r="AI130" s="510"/>
      <c r="AJ130" s="510"/>
      <c r="AK130" s="510"/>
      <c r="AL130" s="510"/>
      <c r="AM130" s="510"/>
      <c r="AN130" s="510"/>
      <c r="AO130" s="510"/>
      <c r="AP130" s="510"/>
      <c r="AQ130" s="510"/>
      <c r="AR130" s="510"/>
      <c r="AS130" s="510"/>
      <c r="AT130" s="510"/>
      <c r="AU130" s="510"/>
      <c r="AV130" s="510"/>
      <c r="AW130" s="510"/>
      <c r="AX130" s="510"/>
      <c r="AY130" s="510"/>
      <c r="AZ130" s="466"/>
      <c r="BA130" s="466"/>
      <c r="BB130" s="466"/>
      <c r="BC130" s="466"/>
      <c r="BD130" s="466"/>
      <c r="BE130" s="466"/>
      <c r="BF130" s="466"/>
      <c r="BG130" s="466"/>
      <c r="BH130" s="466"/>
      <c r="BI130" s="466"/>
      <c r="BJ130" s="466"/>
      <c r="BK130" s="466"/>
      <c r="BL130" s="466"/>
      <c r="BM130" s="518"/>
      <c r="BN130" s="524"/>
      <c r="BO130" s="518"/>
      <c r="BP130" s="518"/>
      <c r="BQ130" s="518"/>
      <c r="BR130" s="466"/>
      <c r="BS130" s="466"/>
      <c r="BT130" s="466"/>
      <c r="BU130" s="466"/>
      <c r="BV130" s="466"/>
      <c r="BW130" s="466"/>
      <c r="BX130" s="466"/>
      <c r="BY130" s="466"/>
      <c r="BZ130" s="466"/>
      <c r="CA130" s="466"/>
      <c r="CB130" s="466"/>
      <c r="CC130" s="466"/>
      <c r="CD130" s="466"/>
      <c r="CE130" s="466"/>
      <c r="CF130" s="466"/>
      <c r="CG130" s="466"/>
      <c r="CH130" s="466"/>
      <c r="CI130" s="466"/>
      <c r="CJ130" s="466"/>
      <c r="CK130" s="466"/>
      <c r="CL130" s="466"/>
      <c r="CM130" s="466"/>
      <c r="CN130" s="466"/>
      <c r="CO130" s="466"/>
      <c r="CP130" s="466"/>
      <c r="CQ130" s="466"/>
      <c r="CR130" s="466"/>
      <c r="CS130" s="466"/>
      <c r="CT130" s="466"/>
      <c r="CU130" s="466"/>
      <c r="CV130" s="466"/>
      <c r="CW130" s="466"/>
      <c r="CX130" s="466"/>
      <c r="CY130" s="466"/>
      <c r="CZ130" s="466"/>
      <c r="DA130" s="466"/>
      <c r="DB130" s="466"/>
      <c r="DC130" s="466"/>
      <c r="DD130" s="466"/>
      <c r="DE130" s="466"/>
      <c r="DF130" s="466"/>
      <c r="DG130" s="466"/>
      <c r="DH130" s="1520"/>
      <c r="DI130" s="1520"/>
      <c r="DJ130" s="1520"/>
      <c r="DK130" s="1520"/>
      <c r="DL130" s="1520"/>
      <c r="DM130" s="1520"/>
      <c r="DN130" s="1520"/>
      <c r="DO130" s="1520"/>
      <c r="DP130" s="1520"/>
      <c r="DQ130" s="1520"/>
      <c r="DR130" s="1520"/>
      <c r="DS130" s="1520"/>
      <c r="DT130" s="1520"/>
      <c r="DU130" s="1520"/>
      <c r="DV130" s="1520"/>
      <c r="DW130" s="1520"/>
      <c r="DX130" s="1520"/>
      <c r="DY130" s="1520"/>
      <c r="DZ130" s="1520"/>
      <c r="EA130" s="1520"/>
      <c r="EB130" s="1520"/>
      <c r="EC130" s="1520"/>
      <c r="ED130" s="1520"/>
      <c r="EE130" s="1520"/>
      <c r="EF130" s="1520"/>
      <c r="EG130" s="1520"/>
      <c r="EH130" s="1520"/>
      <c r="EI130" s="1520"/>
      <c r="EJ130" s="1520"/>
      <c r="EK130" s="1520"/>
      <c r="EL130" s="1520"/>
      <c r="EM130" s="1520"/>
      <c r="EN130" s="1520"/>
      <c r="EO130" s="1520"/>
      <c r="EP130" s="1520"/>
      <c r="EQ130" s="1520"/>
      <c r="ER130" s="1520"/>
      <c r="ES130" s="1520"/>
      <c r="ET130" s="1520"/>
      <c r="EU130" s="1520"/>
      <c r="EV130" s="1520"/>
      <c r="EW130" s="1520"/>
      <c r="EX130" s="1520"/>
      <c r="EY130" s="1520"/>
      <c r="EZ130" s="1520"/>
      <c r="FA130" s="1520"/>
      <c r="FB130" s="1520"/>
      <c r="FC130" s="1520"/>
      <c r="FD130" s="2434"/>
      <c r="FE130" s="466"/>
      <c r="FF130" s="466"/>
      <c r="FG130" s="466"/>
      <c r="FH130" s="466"/>
      <c r="FI130" s="466"/>
      <c r="FJ130" s="466"/>
      <c r="FK130" s="466"/>
      <c r="FL130" s="466"/>
      <c r="FM130" s="466"/>
      <c r="FN130" s="466"/>
      <c r="FO130" s="466"/>
      <c r="FP130" s="466"/>
      <c r="FQ130" s="466"/>
      <c r="FR130" s="466"/>
      <c r="FS130" s="466"/>
      <c r="FT130" s="466"/>
      <c r="FU130" s="466"/>
      <c r="FV130" s="466"/>
      <c r="FW130" s="466"/>
      <c r="FX130" s="466"/>
      <c r="FY130" s="466"/>
      <c r="FZ130" s="466"/>
      <c r="GA130" s="466"/>
      <c r="GB130" s="466"/>
      <c r="GC130" s="466"/>
      <c r="GD130" s="466"/>
      <c r="GE130" s="466"/>
      <c r="GF130" s="466"/>
      <c r="GG130" s="466"/>
      <c r="GH130" s="466"/>
      <c r="GI130" s="466"/>
      <c r="GJ130" s="466"/>
      <c r="GK130" s="466"/>
      <c r="GL130" s="466"/>
      <c r="GM130" s="466"/>
      <c r="GN130" s="466"/>
      <c r="GO130" s="1564"/>
      <c r="GP130" s="1564"/>
      <c r="GQ130" s="1564"/>
      <c r="GR130" s="1564"/>
      <c r="GS130" s="1565"/>
      <c r="GT130" s="1565"/>
      <c r="GU130" s="1526"/>
      <c r="GV130" s="466"/>
      <c r="GW130" s="466"/>
      <c r="GX130" s="466"/>
      <c r="GY130" s="466"/>
      <c r="GZ130" s="466"/>
      <c r="HA130" s="466"/>
      <c r="HB130" s="466"/>
      <c r="HC130" s="466"/>
      <c r="HD130" s="466"/>
      <c r="HE130" s="844"/>
      <c r="HF130" s="844"/>
      <c r="HG130" s="844"/>
      <c r="HH130" s="844"/>
      <c r="HI130" s="844"/>
      <c r="HJ130" s="844"/>
      <c r="HK130" s="844"/>
      <c r="HL130" s="844"/>
      <c r="HM130" s="844"/>
      <c r="HN130" s="844"/>
      <c r="HO130" s="1575"/>
      <c r="HP130" s="466"/>
      <c r="HQ130" s="466"/>
      <c r="HR130" s="466"/>
      <c r="HS130" s="415"/>
      <c r="HT130" s="2292"/>
    </row>
    <row r="131" spans="3:228">
      <c r="C131" s="466"/>
      <c r="D131" s="466"/>
      <c r="E131" s="3850"/>
      <c r="F131" s="516"/>
      <c r="G131" s="513"/>
      <c r="H131" s="525"/>
      <c r="I131" s="525"/>
      <c r="J131" s="523"/>
      <c r="K131" s="519"/>
      <c r="L131" s="466"/>
      <c r="M131" s="516"/>
      <c r="N131" s="513"/>
      <c r="O131" s="513"/>
      <c r="P131" s="510"/>
      <c r="Q131" s="510"/>
      <c r="R131" s="510"/>
      <c r="S131" s="510"/>
      <c r="T131" s="510"/>
      <c r="U131" s="510"/>
      <c r="V131" s="510"/>
      <c r="W131" s="510"/>
      <c r="X131" s="510"/>
      <c r="Y131" s="510"/>
      <c r="Z131" s="510"/>
      <c r="AA131" s="510"/>
      <c r="AB131" s="510"/>
      <c r="AC131" s="510"/>
      <c r="AD131" s="510"/>
      <c r="AE131" s="510"/>
      <c r="AF131" s="510"/>
      <c r="AG131" s="510"/>
      <c r="AH131" s="510"/>
      <c r="AI131" s="510"/>
      <c r="AJ131" s="510"/>
      <c r="AK131" s="510"/>
      <c r="AL131" s="510"/>
      <c r="AM131" s="510"/>
      <c r="AN131" s="510"/>
      <c r="AO131" s="510"/>
      <c r="AP131" s="510"/>
      <c r="AQ131" s="510"/>
      <c r="AR131" s="510"/>
      <c r="AS131" s="510"/>
      <c r="AT131" s="510"/>
      <c r="AU131" s="510"/>
      <c r="AV131" s="510"/>
      <c r="AW131" s="510"/>
      <c r="AX131" s="510"/>
      <c r="AY131" s="510"/>
      <c r="AZ131" s="466"/>
      <c r="BA131" s="466"/>
      <c r="BB131" s="466"/>
      <c r="BC131" s="466"/>
      <c r="BD131" s="466"/>
      <c r="BE131" s="466"/>
      <c r="BF131" s="466"/>
      <c r="BG131" s="466"/>
      <c r="BH131" s="466"/>
      <c r="BI131" s="466"/>
      <c r="BJ131" s="466"/>
      <c r="BK131" s="466"/>
      <c r="BL131" s="466"/>
      <c r="BM131" s="518"/>
      <c r="BN131" s="524"/>
      <c r="BO131" s="518"/>
      <c r="BP131" s="518"/>
      <c r="BQ131" s="518"/>
      <c r="BR131" s="466"/>
      <c r="BS131" s="466"/>
      <c r="BT131" s="466"/>
      <c r="BU131" s="466"/>
      <c r="BV131" s="466"/>
      <c r="BW131" s="466"/>
      <c r="BX131" s="466"/>
      <c r="BY131" s="466"/>
      <c r="BZ131" s="466"/>
      <c r="CA131" s="466"/>
      <c r="CB131" s="466"/>
      <c r="CC131" s="466"/>
      <c r="CD131" s="466"/>
      <c r="CE131" s="466"/>
      <c r="CF131" s="466"/>
      <c r="CG131" s="466"/>
      <c r="CH131" s="466"/>
      <c r="CI131" s="466"/>
      <c r="CJ131" s="466"/>
      <c r="CK131" s="466"/>
      <c r="CL131" s="466"/>
      <c r="CM131" s="466"/>
      <c r="CN131" s="466"/>
      <c r="CO131" s="466"/>
      <c r="CP131" s="466"/>
      <c r="CQ131" s="466"/>
      <c r="CR131" s="466"/>
      <c r="CS131" s="466"/>
      <c r="CT131" s="466"/>
      <c r="CU131" s="466"/>
      <c r="CV131" s="466"/>
      <c r="CW131" s="466"/>
      <c r="CX131" s="466"/>
      <c r="CY131" s="466"/>
      <c r="CZ131" s="466"/>
      <c r="DA131" s="466"/>
      <c r="DB131" s="466"/>
      <c r="DC131" s="466"/>
      <c r="DD131" s="466"/>
      <c r="DE131" s="466"/>
      <c r="DF131" s="466"/>
      <c r="DG131" s="466"/>
      <c r="DH131" s="1520"/>
      <c r="DI131" s="1520"/>
      <c r="DJ131" s="1520"/>
      <c r="DK131" s="1520"/>
      <c r="DL131" s="1520"/>
      <c r="DM131" s="1520"/>
      <c r="DN131" s="1520"/>
      <c r="DO131" s="1520"/>
      <c r="DP131" s="1520"/>
      <c r="DQ131" s="1520"/>
      <c r="DR131" s="1520"/>
      <c r="DS131" s="1520"/>
      <c r="DT131" s="1520"/>
      <c r="DU131" s="1520"/>
      <c r="DV131" s="1520"/>
      <c r="DW131" s="1520"/>
      <c r="DX131" s="1520"/>
      <c r="DY131" s="1520"/>
      <c r="DZ131" s="1520"/>
      <c r="EA131" s="1520"/>
      <c r="EB131" s="1520"/>
      <c r="EC131" s="1520"/>
      <c r="ED131" s="1520"/>
      <c r="EE131" s="1520"/>
      <c r="EF131" s="1520"/>
      <c r="EG131" s="1520"/>
      <c r="EH131" s="1520"/>
      <c r="EI131" s="1520"/>
      <c r="EJ131" s="1520"/>
      <c r="EK131" s="1520"/>
      <c r="EL131" s="1520"/>
      <c r="EM131" s="1520"/>
      <c r="EN131" s="1520"/>
      <c r="EO131" s="1520"/>
      <c r="EP131" s="1520"/>
      <c r="EQ131" s="1520"/>
      <c r="ER131" s="1520"/>
      <c r="ES131" s="1520"/>
      <c r="ET131" s="1520"/>
      <c r="EU131" s="1520"/>
      <c r="EV131" s="1520"/>
      <c r="EW131" s="1520"/>
      <c r="EX131" s="1520"/>
      <c r="EY131" s="1520"/>
      <c r="EZ131" s="1520"/>
      <c r="FA131" s="1520"/>
      <c r="FB131" s="1520"/>
      <c r="FC131" s="1520"/>
      <c r="FD131" s="2434"/>
      <c r="FE131" s="466"/>
      <c r="FF131" s="466"/>
      <c r="FG131" s="466"/>
      <c r="FH131" s="466"/>
      <c r="FI131" s="466"/>
      <c r="FJ131" s="466"/>
      <c r="FK131" s="466"/>
      <c r="FL131" s="466"/>
      <c r="FM131" s="466"/>
      <c r="FN131" s="466"/>
      <c r="FO131" s="466"/>
      <c r="FP131" s="466"/>
      <c r="FQ131" s="466"/>
      <c r="FR131" s="466"/>
      <c r="FS131" s="466"/>
      <c r="FT131" s="466"/>
      <c r="FU131" s="466"/>
      <c r="FV131" s="466"/>
      <c r="FW131" s="466"/>
      <c r="FX131" s="466"/>
      <c r="FY131" s="466"/>
      <c r="FZ131" s="466"/>
      <c r="GA131" s="466"/>
      <c r="GB131" s="466"/>
      <c r="GC131" s="466"/>
      <c r="GD131" s="466"/>
      <c r="GE131" s="466"/>
      <c r="GF131" s="466"/>
      <c r="GG131" s="466"/>
      <c r="GH131" s="466"/>
      <c r="GI131" s="466"/>
      <c r="GJ131" s="466"/>
      <c r="GK131" s="466"/>
      <c r="GL131" s="466"/>
      <c r="GM131" s="466"/>
      <c r="GN131" s="466"/>
      <c r="GO131" s="1564"/>
      <c r="GP131" s="1564"/>
      <c r="GQ131" s="1564"/>
      <c r="GR131" s="1564"/>
      <c r="GS131" s="1565"/>
      <c r="GT131" s="1565"/>
      <c r="GU131" s="1526"/>
      <c r="GV131" s="466"/>
      <c r="GW131" s="466"/>
      <c r="GX131" s="466"/>
      <c r="GY131" s="466"/>
      <c r="GZ131" s="466"/>
      <c r="HA131" s="466"/>
      <c r="HB131" s="466"/>
      <c r="HC131" s="466"/>
      <c r="HD131" s="466"/>
      <c r="HE131" s="844"/>
      <c r="HF131" s="844"/>
      <c r="HG131" s="844"/>
      <c r="HH131" s="844"/>
      <c r="HI131" s="844"/>
      <c r="HJ131" s="844"/>
      <c r="HK131" s="844"/>
      <c r="HL131" s="844"/>
      <c r="HM131" s="844"/>
      <c r="HN131" s="844"/>
      <c r="HO131" s="1575"/>
      <c r="HP131" s="466"/>
      <c r="HQ131" s="466"/>
      <c r="HR131" s="466"/>
      <c r="HS131" s="415"/>
      <c r="HT131" s="2292"/>
    </row>
    <row r="132" spans="3:228">
      <c r="C132" s="466"/>
      <c r="D132" s="466"/>
      <c r="E132" s="3850"/>
      <c r="F132" s="516"/>
      <c r="G132" s="513"/>
      <c r="H132" s="525"/>
      <c r="I132" s="525"/>
      <c r="J132" s="523"/>
      <c r="K132" s="519"/>
      <c r="L132" s="466"/>
      <c r="M132" s="516"/>
      <c r="N132" s="513"/>
      <c r="O132" s="513"/>
      <c r="P132" s="510"/>
      <c r="Q132" s="510"/>
      <c r="R132" s="510"/>
      <c r="S132" s="510"/>
      <c r="T132" s="510"/>
      <c r="U132" s="510"/>
      <c r="V132" s="510"/>
      <c r="W132" s="510"/>
      <c r="X132" s="510"/>
      <c r="Y132" s="510"/>
      <c r="Z132" s="510"/>
      <c r="AA132" s="510"/>
      <c r="AB132" s="510"/>
      <c r="AC132" s="510"/>
      <c r="AD132" s="510"/>
      <c r="AE132" s="510"/>
      <c r="AF132" s="510"/>
      <c r="AG132" s="510"/>
      <c r="AH132" s="510"/>
      <c r="AI132" s="510"/>
      <c r="AJ132" s="510"/>
      <c r="AK132" s="510"/>
      <c r="AL132" s="510"/>
      <c r="AM132" s="510"/>
      <c r="AN132" s="510"/>
      <c r="AO132" s="510"/>
      <c r="AP132" s="510"/>
      <c r="AQ132" s="510"/>
      <c r="AR132" s="510"/>
      <c r="AS132" s="510"/>
      <c r="AT132" s="510"/>
      <c r="AU132" s="510"/>
      <c r="AV132" s="510"/>
      <c r="AW132" s="510"/>
      <c r="AX132" s="510"/>
      <c r="AY132" s="510"/>
      <c r="AZ132" s="466"/>
      <c r="BA132" s="466"/>
      <c r="BB132" s="466"/>
      <c r="BC132" s="466"/>
      <c r="BD132" s="466"/>
      <c r="BE132" s="466"/>
      <c r="BF132" s="466"/>
      <c r="BG132" s="466"/>
      <c r="BH132" s="466"/>
      <c r="BI132" s="466"/>
      <c r="BJ132" s="466"/>
      <c r="BK132" s="466"/>
      <c r="BL132" s="466"/>
      <c r="BM132" s="518"/>
      <c r="BN132" s="524"/>
      <c r="BO132" s="518"/>
      <c r="BP132" s="518"/>
      <c r="BQ132" s="518"/>
      <c r="BR132" s="466"/>
      <c r="BS132" s="466"/>
      <c r="BT132" s="466"/>
      <c r="BU132" s="466"/>
      <c r="BV132" s="466"/>
      <c r="BW132" s="466"/>
      <c r="BX132" s="466"/>
      <c r="BY132" s="466"/>
      <c r="BZ132" s="466"/>
      <c r="CA132" s="466"/>
      <c r="CB132" s="466"/>
      <c r="CC132" s="466"/>
      <c r="CD132" s="466"/>
      <c r="CE132" s="466"/>
      <c r="CF132" s="466"/>
      <c r="CG132" s="466"/>
      <c r="CH132" s="466"/>
      <c r="CI132" s="466"/>
      <c r="CJ132" s="466"/>
      <c r="CK132" s="466"/>
      <c r="CL132" s="466"/>
      <c r="CM132" s="466"/>
      <c r="CN132" s="466"/>
      <c r="CO132" s="466"/>
      <c r="CP132" s="466"/>
      <c r="CQ132" s="466"/>
      <c r="CR132" s="466"/>
      <c r="CS132" s="466"/>
      <c r="CT132" s="466"/>
      <c r="CU132" s="466"/>
      <c r="CV132" s="466"/>
      <c r="CW132" s="466"/>
      <c r="CX132" s="466"/>
      <c r="CY132" s="466"/>
      <c r="CZ132" s="466"/>
      <c r="DA132" s="466"/>
      <c r="DB132" s="466"/>
      <c r="DC132" s="466"/>
      <c r="DD132" s="466"/>
      <c r="DE132" s="466"/>
      <c r="DF132" s="466"/>
      <c r="DG132" s="466"/>
      <c r="DH132" s="1520"/>
      <c r="DI132" s="1520"/>
      <c r="DJ132" s="1520"/>
      <c r="DK132" s="1520"/>
      <c r="DL132" s="1520"/>
      <c r="DM132" s="1520"/>
      <c r="DN132" s="1520"/>
      <c r="DO132" s="1520"/>
      <c r="DP132" s="1520"/>
      <c r="DQ132" s="1520"/>
      <c r="DR132" s="1520"/>
      <c r="DS132" s="1520"/>
      <c r="DT132" s="1520"/>
      <c r="DU132" s="1520"/>
      <c r="DV132" s="1520"/>
      <c r="DW132" s="1520"/>
      <c r="DX132" s="1520"/>
      <c r="DY132" s="1520"/>
      <c r="DZ132" s="1520"/>
      <c r="EA132" s="1520"/>
      <c r="EB132" s="1520"/>
      <c r="EC132" s="1520"/>
      <c r="ED132" s="1520"/>
      <c r="EE132" s="1520"/>
      <c r="EF132" s="1520"/>
      <c r="EG132" s="1520"/>
      <c r="EH132" s="1520"/>
      <c r="EI132" s="1520"/>
      <c r="EJ132" s="1520"/>
      <c r="EK132" s="1520"/>
      <c r="EL132" s="1520"/>
      <c r="EM132" s="1520"/>
      <c r="EN132" s="1520"/>
      <c r="EO132" s="1520"/>
      <c r="EP132" s="1520"/>
      <c r="EQ132" s="1520"/>
      <c r="ER132" s="1520"/>
      <c r="ES132" s="1520"/>
      <c r="ET132" s="1520"/>
      <c r="EU132" s="1520"/>
      <c r="EV132" s="1520"/>
      <c r="EW132" s="1520"/>
      <c r="EX132" s="1520"/>
      <c r="EY132" s="1520"/>
      <c r="EZ132" s="1520"/>
      <c r="FA132" s="1520"/>
      <c r="FB132" s="1520"/>
      <c r="FC132" s="1520"/>
      <c r="FD132" s="2434"/>
      <c r="FE132" s="466"/>
      <c r="FF132" s="466"/>
      <c r="FG132" s="466"/>
      <c r="FH132" s="466"/>
      <c r="FI132" s="466"/>
      <c r="FJ132" s="466"/>
      <c r="FK132" s="466"/>
      <c r="FL132" s="466"/>
      <c r="FM132" s="466"/>
      <c r="FN132" s="466"/>
      <c r="FO132" s="466"/>
      <c r="FP132" s="466"/>
      <c r="FQ132" s="466"/>
      <c r="FR132" s="466"/>
      <c r="FS132" s="466"/>
      <c r="FT132" s="466"/>
      <c r="FU132" s="466"/>
      <c r="FV132" s="466"/>
      <c r="FW132" s="466"/>
      <c r="FX132" s="466"/>
      <c r="FY132" s="466"/>
      <c r="FZ132" s="466"/>
      <c r="GA132" s="466"/>
      <c r="GB132" s="466"/>
      <c r="GC132" s="466"/>
      <c r="GD132" s="466"/>
      <c r="GE132" s="466"/>
      <c r="GF132" s="466"/>
      <c r="GG132" s="466"/>
      <c r="GH132" s="466"/>
      <c r="GI132" s="466"/>
      <c r="GJ132" s="466"/>
      <c r="GK132" s="466"/>
      <c r="GL132" s="466"/>
      <c r="GM132" s="466"/>
      <c r="GN132" s="466"/>
      <c r="GO132" s="1564"/>
      <c r="GP132" s="1564"/>
      <c r="GQ132" s="1564"/>
      <c r="GR132" s="1564"/>
      <c r="GS132" s="1565"/>
      <c r="GT132" s="1565"/>
      <c r="GU132" s="1526"/>
      <c r="GV132" s="466"/>
      <c r="GW132" s="466"/>
      <c r="GX132" s="466"/>
      <c r="GY132" s="466"/>
      <c r="GZ132" s="466"/>
      <c r="HA132" s="466"/>
      <c r="HB132" s="466"/>
      <c r="HC132" s="466"/>
      <c r="HD132" s="466"/>
      <c r="HE132" s="844"/>
      <c r="HF132" s="844"/>
      <c r="HG132" s="844"/>
      <c r="HH132" s="844"/>
      <c r="HI132" s="844"/>
      <c r="HJ132" s="844"/>
      <c r="HK132" s="844"/>
      <c r="HL132" s="844"/>
      <c r="HM132" s="844"/>
      <c r="HN132" s="844"/>
      <c r="HO132" s="1575"/>
      <c r="HP132" s="466"/>
      <c r="HQ132" s="466"/>
      <c r="HR132" s="466"/>
      <c r="HS132" s="415"/>
      <c r="HT132" s="2292"/>
    </row>
    <row r="133" spans="3:228">
      <c r="C133" s="466"/>
      <c r="D133" s="466"/>
      <c r="E133" s="3850"/>
      <c r="F133" s="516"/>
      <c r="G133" s="513"/>
      <c r="H133" s="525"/>
      <c r="I133" s="525"/>
      <c r="J133" s="523"/>
      <c r="K133" s="519"/>
      <c r="L133" s="466"/>
      <c r="M133" s="516"/>
      <c r="N133" s="513"/>
      <c r="O133" s="513"/>
      <c r="P133" s="510"/>
      <c r="Q133" s="510"/>
      <c r="R133" s="510"/>
      <c r="S133" s="510"/>
      <c r="T133" s="510"/>
      <c r="U133" s="510"/>
      <c r="V133" s="510"/>
      <c r="W133" s="510"/>
      <c r="X133" s="510"/>
      <c r="Y133" s="510"/>
      <c r="Z133" s="510"/>
      <c r="AA133" s="510"/>
      <c r="AB133" s="510"/>
      <c r="AC133" s="510"/>
      <c r="AD133" s="510"/>
      <c r="AE133" s="510"/>
      <c r="AF133" s="510"/>
      <c r="AG133" s="510"/>
      <c r="AH133" s="510"/>
      <c r="AI133" s="510"/>
      <c r="AJ133" s="510"/>
      <c r="AK133" s="510"/>
      <c r="AL133" s="510"/>
      <c r="AM133" s="510"/>
      <c r="AN133" s="510"/>
      <c r="AO133" s="510"/>
      <c r="AP133" s="510"/>
      <c r="AQ133" s="510"/>
      <c r="AR133" s="510"/>
      <c r="AS133" s="510"/>
      <c r="AT133" s="510"/>
      <c r="AU133" s="510"/>
      <c r="AV133" s="510"/>
      <c r="AW133" s="510"/>
      <c r="AX133" s="510"/>
      <c r="AY133" s="510"/>
      <c r="AZ133" s="466"/>
      <c r="BA133" s="466"/>
      <c r="BB133" s="466"/>
      <c r="BC133" s="466"/>
      <c r="BD133" s="466"/>
      <c r="BE133" s="466"/>
      <c r="BF133" s="466"/>
      <c r="BG133" s="466"/>
      <c r="BH133" s="466"/>
      <c r="BI133" s="466"/>
      <c r="BJ133" s="466"/>
      <c r="BK133" s="466"/>
      <c r="BL133" s="466"/>
      <c r="BM133" s="518"/>
      <c r="BN133" s="524"/>
      <c r="BO133" s="518"/>
      <c r="BP133" s="518"/>
      <c r="BQ133" s="518"/>
      <c r="BR133" s="466"/>
      <c r="BS133" s="466"/>
      <c r="BT133" s="466"/>
      <c r="BU133" s="466"/>
      <c r="BV133" s="466"/>
      <c r="BW133" s="466"/>
      <c r="BX133" s="466"/>
      <c r="BY133" s="466"/>
      <c r="BZ133" s="466"/>
      <c r="CA133" s="466"/>
      <c r="CB133" s="466"/>
      <c r="CC133" s="466"/>
      <c r="CD133" s="466"/>
      <c r="CE133" s="466"/>
      <c r="CF133" s="466"/>
      <c r="CG133" s="466"/>
      <c r="CH133" s="466"/>
      <c r="CI133" s="466"/>
      <c r="CJ133" s="466"/>
      <c r="CK133" s="466"/>
      <c r="CL133" s="466"/>
      <c r="CM133" s="466"/>
      <c r="CN133" s="466"/>
      <c r="CO133" s="466"/>
      <c r="CP133" s="466"/>
      <c r="CQ133" s="466"/>
      <c r="CR133" s="466"/>
      <c r="CS133" s="466"/>
      <c r="CT133" s="466"/>
      <c r="CU133" s="466"/>
      <c r="CV133" s="466"/>
      <c r="CW133" s="466"/>
      <c r="CX133" s="466"/>
      <c r="CY133" s="466"/>
      <c r="CZ133" s="466"/>
      <c r="DA133" s="466"/>
      <c r="DB133" s="466"/>
      <c r="DC133" s="466"/>
      <c r="DD133" s="466"/>
      <c r="DE133" s="466"/>
      <c r="DF133" s="466"/>
      <c r="DG133" s="466"/>
      <c r="DH133" s="1520"/>
      <c r="DI133" s="1520"/>
      <c r="DJ133" s="1520"/>
      <c r="DK133" s="1520"/>
      <c r="DL133" s="1520"/>
      <c r="DM133" s="1520"/>
      <c r="DN133" s="1520"/>
      <c r="DO133" s="1520"/>
      <c r="DP133" s="1520"/>
      <c r="DQ133" s="1520"/>
      <c r="DR133" s="1520"/>
      <c r="DS133" s="1520"/>
      <c r="DT133" s="1520"/>
      <c r="DU133" s="1520"/>
      <c r="DV133" s="1520"/>
      <c r="DW133" s="1520"/>
      <c r="DX133" s="1520"/>
      <c r="DY133" s="1520"/>
      <c r="DZ133" s="1520"/>
      <c r="EA133" s="1520"/>
      <c r="EB133" s="1520"/>
      <c r="EC133" s="1520"/>
      <c r="ED133" s="1520"/>
      <c r="EE133" s="1520"/>
      <c r="EF133" s="1520"/>
      <c r="EG133" s="1520"/>
      <c r="EH133" s="1520"/>
      <c r="EI133" s="1520"/>
      <c r="EJ133" s="1520"/>
      <c r="EK133" s="1520"/>
      <c r="EL133" s="1520"/>
      <c r="EM133" s="1520"/>
      <c r="EN133" s="1520"/>
      <c r="EO133" s="1520"/>
      <c r="EP133" s="1520"/>
      <c r="EQ133" s="1520"/>
      <c r="ER133" s="1520"/>
      <c r="ES133" s="1520"/>
      <c r="ET133" s="1520"/>
      <c r="EU133" s="1520"/>
      <c r="EV133" s="1520"/>
      <c r="EW133" s="1520"/>
      <c r="EX133" s="1520"/>
      <c r="EY133" s="1520"/>
      <c r="EZ133" s="1520"/>
      <c r="FA133" s="1520"/>
      <c r="FB133" s="1520"/>
      <c r="FC133" s="1520"/>
      <c r="FD133" s="2434"/>
      <c r="FE133" s="466"/>
      <c r="FF133" s="466"/>
      <c r="FG133" s="466"/>
      <c r="FH133" s="466"/>
      <c r="FI133" s="466"/>
      <c r="FJ133" s="466"/>
      <c r="FK133" s="466"/>
      <c r="FL133" s="466"/>
      <c r="FM133" s="466"/>
      <c r="FN133" s="466"/>
      <c r="FO133" s="466"/>
      <c r="FP133" s="466"/>
      <c r="FQ133" s="466"/>
      <c r="FR133" s="466"/>
      <c r="FS133" s="466"/>
      <c r="FT133" s="466"/>
      <c r="FU133" s="466"/>
      <c r="FV133" s="466"/>
      <c r="FW133" s="466"/>
      <c r="FX133" s="466"/>
      <c r="FY133" s="466"/>
      <c r="FZ133" s="466"/>
      <c r="GA133" s="466"/>
      <c r="GB133" s="466"/>
      <c r="GC133" s="466"/>
      <c r="GD133" s="466"/>
      <c r="GE133" s="466"/>
      <c r="GF133" s="466"/>
      <c r="GG133" s="466"/>
      <c r="GH133" s="466"/>
      <c r="GI133" s="466"/>
      <c r="GJ133" s="466"/>
      <c r="GK133" s="466"/>
      <c r="GL133" s="466"/>
      <c r="GM133" s="466"/>
      <c r="GN133" s="466"/>
      <c r="GO133" s="1564"/>
      <c r="GP133" s="1564"/>
      <c r="GQ133" s="1564"/>
      <c r="GR133" s="1564"/>
      <c r="GS133" s="1565"/>
      <c r="GT133" s="1565"/>
      <c r="GU133" s="1526"/>
      <c r="GV133" s="466"/>
      <c r="GW133" s="466"/>
      <c r="GX133" s="466"/>
      <c r="GY133" s="466"/>
      <c r="GZ133" s="466"/>
      <c r="HA133" s="466"/>
      <c r="HB133" s="466"/>
      <c r="HC133" s="466"/>
      <c r="HD133" s="466"/>
      <c r="HE133" s="844"/>
      <c r="HF133" s="844"/>
      <c r="HG133" s="844"/>
      <c r="HH133" s="844"/>
      <c r="HI133" s="844"/>
      <c r="HJ133" s="844"/>
      <c r="HK133" s="844"/>
      <c r="HL133" s="844"/>
      <c r="HM133" s="844"/>
      <c r="HN133" s="844"/>
      <c r="HO133" s="1575"/>
      <c r="HP133" s="466"/>
      <c r="HQ133" s="466"/>
      <c r="HR133" s="466"/>
      <c r="HS133" s="415"/>
      <c r="HT133" s="2292"/>
    </row>
    <row r="134" spans="3:228">
      <c r="C134" s="466"/>
      <c r="D134" s="466"/>
      <c r="E134" s="3850"/>
      <c r="F134" s="516"/>
      <c r="G134" s="513"/>
      <c r="H134" s="525"/>
      <c r="I134" s="525"/>
      <c r="J134" s="523"/>
      <c r="K134" s="519"/>
      <c r="L134" s="466"/>
      <c r="M134" s="516"/>
      <c r="N134" s="513"/>
      <c r="O134" s="513"/>
      <c r="P134" s="510"/>
      <c r="Q134" s="510"/>
      <c r="R134" s="510"/>
      <c r="S134" s="510"/>
      <c r="T134" s="510"/>
      <c r="U134" s="510"/>
      <c r="V134" s="510"/>
      <c r="W134" s="510"/>
      <c r="X134" s="510"/>
      <c r="Y134" s="510"/>
      <c r="Z134" s="510"/>
      <c r="AA134" s="510"/>
      <c r="AB134" s="510"/>
      <c r="AC134" s="510"/>
      <c r="AD134" s="510"/>
      <c r="AE134" s="510"/>
      <c r="AF134" s="510"/>
      <c r="AG134" s="510"/>
      <c r="AH134" s="510"/>
      <c r="AI134" s="510"/>
      <c r="AJ134" s="510"/>
      <c r="AK134" s="510"/>
      <c r="AL134" s="510"/>
      <c r="AM134" s="510"/>
      <c r="AN134" s="510"/>
      <c r="AO134" s="510"/>
      <c r="AP134" s="510"/>
      <c r="AQ134" s="510"/>
      <c r="AR134" s="510"/>
      <c r="AS134" s="510"/>
      <c r="AT134" s="510"/>
      <c r="AU134" s="510"/>
      <c r="AV134" s="510"/>
      <c r="AW134" s="510"/>
      <c r="AX134" s="510"/>
      <c r="AY134" s="510"/>
      <c r="AZ134" s="466"/>
      <c r="BA134" s="466"/>
      <c r="BB134" s="466"/>
      <c r="BC134" s="466"/>
      <c r="BD134" s="466"/>
      <c r="BE134" s="466"/>
      <c r="BF134" s="466"/>
      <c r="BG134" s="466"/>
      <c r="BH134" s="466"/>
      <c r="BI134" s="466"/>
      <c r="BJ134" s="466"/>
      <c r="BK134" s="466"/>
      <c r="BL134" s="466"/>
      <c r="BM134" s="518"/>
      <c r="BN134" s="524"/>
      <c r="BO134" s="518"/>
      <c r="BP134" s="518"/>
      <c r="BQ134" s="518"/>
      <c r="BR134" s="466"/>
      <c r="BS134" s="466"/>
      <c r="BT134" s="466"/>
      <c r="BU134" s="466"/>
      <c r="BV134" s="466"/>
      <c r="BW134" s="466"/>
      <c r="BX134" s="466"/>
      <c r="BY134" s="466"/>
      <c r="BZ134" s="466"/>
      <c r="CA134" s="466"/>
      <c r="CB134" s="466"/>
      <c r="CC134" s="466"/>
      <c r="CD134" s="466"/>
      <c r="CE134" s="466"/>
      <c r="CF134" s="466"/>
      <c r="CG134" s="466"/>
      <c r="CH134" s="466"/>
      <c r="CI134" s="466"/>
      <c r="CJ134" s="466"/>
      <c r="CK134" s="466"/>
      <c r="CL134" s="466"/>
      <c r="CM134" s="466"/>
      <c r="CN134" s="466"/>
      <c r="CO134" s="466"/>
      <c r="CP134" s="466"/>
      <c r="CQ134" s="466"/>
      <c r="CR134" s="466"/>
      <c r="CS134" s="466"/>
      <c r="CT134" s="466"/>
      <c r="CU134" s="466"/>
      <c r="CV134" s="466"/>
      <c r="CW134" s="466"/>
      <c r="CX134" s="466"/>
      <c r="CY134" s="466"/>
      <c r="CZ134" s="466"/>
      <c r="DA134" s="466"/>
      <c r="DB134" s="466"/>
      <c r="DC134" s="466"/>
      <c r="DD134" s="466"/>
      <c r="DE134" s="466"/>
      <c r="DF134" s="466"/>
      <c r="DG134" s="466"/>
      <c r="DH134" s="1520"/>
      <c r="DI134" s="1520"/>
      <c r="DJ134" s="1520"/>
      <c r="DK134" s="1520"/>
      <c r="DL134" s="1520"/>
      <c r="DM134" s="1520"/>
      <c r="DN134" s="1520"/>
      <c r="DO134" s="1520"/>
      <c r="DP134" s="1520"/>
      <c r="DQ134" s="1520"/>
      <c r="DR134" s="1520"/>
      <c r="DS134" s="1520"/>
      <c r="DT134" s="1520"/>
      <c r="DU134" s="1520"/>
      <c r="DV134" s="1520"/>
      <c r="DW134" s="1520"/>
      <c r="DX134" s="1520"/>
      <c r="DY134" s="1520"/>
      <c r="DZ134" s="1520"/>
      <c r="EA134" s="1520"/>
      <c r="EB134" s="1520"/>
      <c r="EC134" s="1520"/>
      <c r="ED134" s="1520"/>
      <c r="EE134" s="1520"/>
      <c r="EF134" s="1520"/>
      <c r="EG134" s="1520"/>
      <c r="EH134" s="1520"/>
      <c r="EI134" s="1520"/>
      <c r="EJ134" s="1520"/>
      <c r="EK134" s="1520"/>
      <c r="EL134" s="1520"/>
      <c r="EM134" s="1520"/>
      <c r="EN134" s="1520"/>
      <c r="EO134" s="1520"/>
      <c r="EP134" s="1520"/>
      <c r="EQ134" s="1520"/>
      <c r="ER134" s="1520"/>
      <c r="ES134" s="1520"/>
      <c r="ET134" s="1520"/>
      <c r="EU134" s="1520"/>
      <c r="EV134" s="1520"/>
      <c r="EW134" s="1520"/>
      <c r="EX134" s="1520"/>
      <c r="EY134" s="1520"/>
      <c r="EZ134" s="1520"/>
      <c r="FA134" s="1520"/>
      <c r="FB134" s="1520"/>
      <c r="FC134" s="1520"/>
      <c r="FD134" s="2434"/>
      <c r="FE134" s="466"/>
      <c r="FF134" s="466"/>
      <c r="FG134" s="466"/>
      <c r="FH134" s="466"/>
      <c r="FI134" s="466"/>
      <c r="FJ134" s="466"/>
      <c r="FK134" s="466"/>
      <c r="FL134" s="466"/>
      <c r="FM134" s="466"/>
      <c r="FN134" s="466"/>
      <c r="FO134" s="466"/>
      <c r="FP134" s="466"/>
      <c r="FQ134" s="466"/>
      <c r="FR134" s="466"/>
      <c r="FS134" s="466"/>
      <c r="FT134" s="466"/>
      <c r="FU134" s="466"/>
      <c r="FV134" s="466"/>
      <c r="FW134" s="466"/>
      <c r="FX134" s="466"/>
      <c r="FY134" s="466"/>
      <c r="FZ134" s="466"/>
      <c r="GA134" s="466"/>
      <c r="GB134" s="466"/>
      <c r="GC134" s="466"/>
      <c r="GD134" s="466"/>
      <c r="GE134" s="466"/>
      <c r="GF134" s="466"/>
      <c r="GG134" s="466"/>
      <c r="GH134" s="466"/>
      <c r="GI134" s="466"/>
      <c r="GJ134" s="466"/>
      <c r="GK134" s="466"/>
      <c r="GL134" s="466"/>
      <c r="GM134" s="466"/>
      <c r="GN134" s="466"/>
      <c r="GO134" s="1564"/>
      <c r="GP134" s="1564"/>
      <c r="GQ134" s="1564"/>
      <c r="GR134" s="1564"/>
      <c r="GS134" s="1565"/>
      <c r="GT134" s="1565"/>
      <c r="GU134" s="1526"/>
      <c r="GV134" s="466"/>
      <c r="GW134" s="466"/>
      <c r="GX134" s="466"/>
      <c r="GY134" s="466"/>
      <c r="GZ134" s="466"/>
      <c r="HA134" s="466"/>
      <c r="HB134" s="466"/>
      <c r="HC134" s="466"/>
      <c r="HD134" s="466"/>
      <c r="HE134" s="844"/>
      <c r="HF134" s="844"/>
      <c r="HG134" s="844"/>
      <c r="HH134" s="844"/>
      <c r="HI134" s="844"/>
      <c r="HJ134" s="844"/>
      <c r="HK134" s="844"/>
      <c r="HL134" s="844"/>
      <c r="HM134" s="844"/>
      <c r="HN134" s="844"/>
      <c r="HO134" s="1575"/>
      <c r="HP134" s="466"/>
      <c r="HQ134" s="466"/>
      <c r="HR134" s="466"/>
      <c r="HS134" s="415"/>
      <c r="HT134" s="2292"/>
    </row>
    <row r="135" spans="3:228">
      <c r="C135" s="466"/>
      <c r="D135" s="466"/>
      <c r="E135" s="3850"/>
      <c r="F135" s="516"/>
      <c r="G135" s="513"/>
      <c r="H135" s="525"/>
      <c r="I135" s="525"/>
      <c r="J135" s="523"/>
      <c r="K135" s="519"/>
      <c r="L135" s="466"/>
      <c r="M135" s="516"/>
      <c r="N135" s="513"/>
      <c r="O135" s="513"/>
      <c r="P135" s="510"/>
      <c r="Q135" s="510"/>
      <c r="R135" s="510"/>
      <c r="S135" s="510"/>
      <c r="T135" s="510"/>
      <c r="U135" s="510"/>
      <c r="V135" s="510"/>
      <c r="W135" s="510"/>
      <c r="X135" s="510"/>
      <c r="Y135" s="510"/>
      <c r="Z135" s="510"/>
      <c r="AA135" s="510"/>
      <c r="AB135" s="510"/>
      <c r="AC135" s="510"/>
      <c r="AD135" s="510"/>
      <c r="AE135" s="510"/>
      <c r="AF135" s="510"/>
      <c r="AG135" s="510"/>
      <c r="AH135" s="510"/>
      <c r="AI135" s="510"/>
      <c r="AJ135" s="510"/>
      <c r="AK135" s="510"/>
      <c r="AL135" s="510"/>
      <c r="AM135" s="510"/>
      <c r="AN135" s="510"/>
      <c r="AO135" s="510"/>
      <c r="AP135" s="510"/>
      <c r="AQ135" s="510"/>
      <c r="AR135" s="510"/>
      <c r="AS135" s="510"/>
      <c r="AT135" s="510"/>
      <c r="AU135" s="510"/>
      <c r="AV135" s="510"/>
      <c r="AW135" s="510"/>
      <c r="AX135" s="510"/>
      <c r="AY135" s="510"/>
      <c r="AZ135" s="466"/>
      <c r="BA135" s="466"/>
      <c r="BB135" s="466"/>
      <c r="BC135" s="466"/>
      <c r="BD135" s="466"/>
      <c r="BE135" s="466"/>
      <c r="BF135" s="466"/>
      <c r="BG135" s="466"/>
      <c r="BH135" s="466"/>
      <c r="BI135" s="466"/>
      <c r="BJ135" s="466"/>
      <c r="BK135" s="466"/>
      <c r="BL135" s="466"/>
      <c r="BM135" s="518"/>
      <c r="BN135" s="524"/>
      <c r="BO135" s="518"/>
      <c r="BP135" s="518"/>
      <c r="BQ135" s="518"/>
      <c r="BR135" s="466"/>
      <c r="BS135" s="466"/>
      <c r="BT135" s="466"/>
      <c r="BU135" s="466"/>
      <c r="BV135" s="466"/>
      <c r="BW135" s="466"/>
      <c r="BX135" s="466"/>
      <c r="BY135" s="466"/>
      <c r="BZ135" s="466"/>
      <c r="CA135" s="466"/>
      <c r="CB135" s="466"/>
      <c r="CC135" s="466"/>
      <c r="CD135" s="466"/>
      <c r="CE135" s="466"/>
      <c r="CF135" s="466"/>
      <c r="CG135" s="466"/>
      <c r="CH135" s="466"/>
      <c r="CI135" s="466"/>
      <c r="CJ135" s="466"/>
      <c r="CK135" s="466"/>
      <c r="CL135" s="466"/>
      <c r="CM135" s="466"/>
      <c r="CN135" s="466"/>
      <c r="CO135" s="466"/>
      <c r="CP135" s="466"/>
      <c r="CQ135" s="466"/>
      <c r="CR135" s="466"/>
      <c r="CS135" s="466"/>
      <c r="CT135" s="466"/>
      <c r="CU135" s="466"/>
      <c r="CV135" s="466"/>
      <c r="CW135" s="466"/>
      <c r="CX135" s="466"/>
      <c r="CY135" s="466"/>
      <c r="CZ135" s="466"/>
      <c r="DA135" s="466"/>
      <c r="DB135" s="466"/>
      <c r="DC135" s="466"/>
      <c r="DD135" s="466"/>
      <c r="DE135" s="466"/>
      <c r="DF135" s="466"/>
      <c r="DG135" s="466"/>
      <c r="DH135" s="1520"/>
      <c r="DI135" s="1520"/>
      <c r="DJ135" s="1520"/>
      <c r="DK135" s="1520"/>
      <c r="DL135" s="1520"/>
      <c r="DM135" s="1520"/>
      <c r="DN135" s="1520"/>
      <c r="DO135" s="1520"/>
      <c r="DP135" s="1520"/>
      <c r="DQ135" s="1520"/>
      <c r="DR135" s="1520"/>
      <c r="DS135" s="1520"/>
      <c r="DT135" s="1520"/>
      <c r="DU135" s="1520"/>
      <c r="DV135" s="1520"/>
      <c r="DW135" s="1520"/>
      <c r="DX135" s="1520"/>
      <c r="DY135" s="1520"/>
      <c r="DZ135" s="1520"/>
      <c r="EA135" s="1520"/>
      <c r="EB135" s="1520"/>
      <c r="EC135" s="1520"/>
      <c r="ED135" s="1520"/>
      <c r="EE135" s="1520"/>
      <c r="EF135" s="1520"/>
      <c r="EG135" s="1520"/>
      <c r="EH135" s="1520"/>
      <c r="EI135" s="1520"/>
      <c r="EJ135" s="1520"/>
      <c r="EK135" s="1520"/>
      <c r="EL135" s="1520"/>
      <c r="EM135" s="1520"/>
      <c r="EN135" s="1520"/>
      <c r="EO135" s="1520"/>
      <c r="EP135" s="1520"/>
      <c r="EQ135" s="1520"/>
      <c r="ER135" s="1520"/>
      <c r="ES135" s="1520"/>
      <c r="ET135" s="1520"/>
      <c r="EU135" s="1520"/>
      <c r="EV135" s="1520"/>
      <c r="EW135" s="1520"/>
      <c r="EX135" s="1520"/>
      <c r="EY135" s="1520"/>
      <c r="EZ135" s="1520"/>
      <c r="FA135" s="1520"/>
      <c r="FB135" s="1520"/>
      <c r="FC135" s="1520"/>
      <c r="FD135" s="2434"/>
      <c r="FE135" s="466"/>
      <c r="FF135" s="466"/>
      <c r="FG135" s="466"/>
      <c r="FH135" s="466"/>
      <c r="FI135" s="466"/>
      <c r="FJ135" s="466"/>
      <c r="FK135" s="466"/>
      <c r="FL135" s="466"/>
      <c r="FM135" s="466"/>
      <c r="FN135" s="466"/>
      <c r="FO135" s="466"/>
      <c r="FP135" s="466"/>
      <c r="FQ135" s="466"/>
      <c r="FR135" s="466"/>
      <c r="FS135" s="466"/>
      <c r="FT135" s="466"/>
      <c r="FU135" s="466"/>
      <c r="FV135" s="466"/>
      <c r="FW135" s="466"/>
      <c r="FX135" s="466"/>
      <c r="FY135" s="466"/>
      <c r="FZ135" s="466"/>
      <c r="GA135" s="466"/>
      <c r="GB135" s="466"/>
      <c r="GC135" s="466"/>
      <c r="GD135" s="466"/>
      <c r="GE135" s="466"/>
      <c r="GF135" s="466"/>
      <c r="GG135" s="466"/>
      <c r="GH135" s="466"/>
      <c r="GI135" s="466"/>
      <c r="GJ135" s="466"/>
      <c r="GK135" s="466"/>
      <c r="GL135" s="466"/>
      <c r="GM135" s="466"/>
      <c r="GN135" s="466"/>
      <c r="GO135" s="1564"/>
      <c r="GP135" s="1564"/>
      <c r="GQ135" s="1564"/>
      <c r="GR135" s="1564"/>
      <c r="GS135" s="1565"/>
      <c r="GT135" s="1565"/>
      <c r="GU135" s="1526"/>
      <c r="GV135" s="466"/>
      <c r="GW135" s="466"/>
      <c r="GX135" s="466"/>
      <c r="GY135" s="466"/>
      <c r="GZ135" s="466"/>
      <c r="HA135" s="466"/>
      <c r="HB135" s="466"/>
      <c r="HC135" s="466"/>
      <c r="HD135" s="466"/>
      <c r="HE135" s="844"/>
      <c r="HF135" s="844"/>
      <c r="HG135" s="844"/>
      <c r="HH135" s="844"/>
      <c r="HI135" s="844"/>
      <c r="HJ135" s="844"/>
      <c r="HK135" s="844"/>
      <c r="HL135" s="844"/>
      <c r="HM135" s="844"/>
      <c r="HN135" s="844"/>
      <c r="HO135" s="1575"/>
      <c r="HP135" s="466"/>
      <c r="HQ135" s="466"/>
      <c r="HR135" s="466"/>
      <c r="HS135" s="415"/>
      <c r="HT135" s="2292"/>
    </row>
    <row r="136" spans="3:228">
      <c r="C136" s="466"/>
      <c r="D136" s="466"/>
      <c r="E136" s="3850"/>
      <c r="F136" s="516"/>
      <c r="G136" s="513"/>
      <c r="H136" s="525"/>
      <c r="I136" s="525"/>
      <c r="J136" s="523"/>
      <c r="K136" s="519"/>
      <c r="L136" s="466"/>
      <c r="M136" s="516"/>
      <c r="N136" s="513"/>
      <c r="O136" s="513"/>
      <c r="P136" s="510"/>
      <c r="Q136" s="510"/>
      <c r="R136" s="510"/>
      <c r="S136" s="510"/>
      <c r="T136" s="510"/>
      <c r="U136" s="510"/>
      <c r="V136" s="510"/>
      <c r="W136" s="510"/>
      <c r="X136" s="510"/>
      <c r="Y136" s="510"/>
      <c r="Z136" s="510"/>
      <c r="AA136" s="510"/>
      <c r="AB136" s="510"/>
      <c r="AC136" s="510"/>
      <c r="AD136" s="510"/>
      <c r="AE136" s="510"/>
      <c r="AF136" s="510"/>
      <c r="AG136" s="510"/>
      <c r="AH136" s="510"/>
      <c r="AI136" s="510"/>
      <c r="AJ136" s="510"/>
      <c r="AK136" s="510"/>
      <c r="AL136" s="510"/>
      <c r="AM136" s="510"/>
      <c r="AN136" s="510"/>
      <c r="AO136" s="510"/>
      <c r="AP136" s="510"/>
      <c r="AQ136" s="510"/>
      <c r="AR136" s="510"/>
      <c r="AS136" s="510"/>
      <c r="AT136" s="510"/>
      <c r="AU136" s="510"/>
      <c r="AV136" s="510"/>
      <c r="AW136" s="510"/>
      <c r="AX136" s="510"/>
      <c r="AY136" s="510"/>
      <c r="AZ136" s="466"/>
      <c r="BA136" s="466"/>
      <c r="BB136" s="466"/>
      <c r="BC136" s="466"/>
      <c r="BD136" s="466"/>
      <c r="BE136" s="466"/>
      <c r="BF136" s="466"/>
      <c r="BG136" s="466"/>
      <c r="BH136" s="466"/>
      <c r="BI136" s="466"/>
      <c r="BJ136" s="466"/>
      <c r="BK136" s="466"/>
      <c r="BL136" s="466"/>
      <c r="BM136" s="518"/>
      <c r="BN136" s="524"/>
      <c r="BO136" s="518"/>
      <c r="BP136" s="518"/>
      <c r="BQ136" s="518"/>
      <c r="BR136" s="466"/>
      <c r="BS136" s="466"/>
      <c r="BT136" s="466"/>
      <c r="BU136" s="466"/>
      <c r="BV136" s="466"/>
      <c r="BW136" s="466"/>
      <c r="BX136" s="466"/>
      <c r="BY136" s="466"/>
      <c r="BZ136" s="466"/>
      <c r="CA136" s="466"/>
      <c r="CB136" s="466"/>
      <c r="CC136" s="466"/>
      <c r="CD136" s="466"/>
      <c r="CE136" s="466"/>
      <c r="CF136" s="466"/>
      <c r="CG136" s="466"/>
      <c r="CH136" s="466"/>
      <c r="CI136" s="466"/>
      <c r="CJ136" s="466"/>
      <c r="CK136" s="466"/>
      <c r="CL136" s="466"/>
      <c r="CM136" s="466"/>
      <c r="CN136" s="466"/>
      <c r="CO136" s="466"/>
      <c r="CP136" s="466"/>
      <c r="CQ136" s="466"/>
      <c r="CR136" s="466"/>
      <c r="CS136" s="466"/>
      <c r="CT136" s="466"/>
      <c r="CU136" s="466"/>
      <c r="CV136" s="466"/>
      <c r="CW136" s="466"/>
      <c r="CX136" s="466"/>
      <c r="CY136" s="466"/>
      <c r="CZ136" s="466"/>
      <c r="DA136" s="466"/>
      <c r="DB136" s="466"/>
      <c r="DC136" s="466"/>
      <c r="DD136" s="466"/>
      <c r="DE136" s="466"/>
      <c r="DF136" s="466"/>
      <c r="DG136" s="466"/>
      <c r="DH136" s="1520"/>
      <c r="DI136" s="1520"/>
      <c r="DJ136" s="1520"/>
      <c r="DK136" s="1520"/>
      <c r="DL136" s="1520"/>
      <c r="DM136" s="1520"/>
      <c r="DN136" s="1520"/>
      <c r="DO136" s="1520"/>
      <c r="DP136" s="1520"/>
      <c r="DQ136" s="1520"/>
      <c r="DR136" s="1520"/>
      <c r="DS136" s="1520"/>
      <c r="DT136" s="1520"/>
      <c r="DU136" s="1520"/>
      <c r="DV136" s="1520"/>
      <c r="DW136" s="1520"/>
      <c r="DX136" s="1520"/>
      <c r="DY136" s="1520"/>
      <c r="DZ136" s="1520"/>
      <c r="EA136" s="1520"/>
      <c r="EB136" s="1520"/>
      <c r="EC136" s="1520"/>
      <c r="ED136" s="1520"/>
      <c r="EE136" s="1520"/>
      <c r="EF136" s="1520"/>
      <c r="EG136" s="1520"/>
      <c r="EH136" s="1520"/>
      <c r="EI136" s="1520"/>
      <c r="EJ136" s="1520"/>
      <c r="EK136" s="1520"/>
      <c r="EL136" s="1520"/>
      <c r="EM136" s="1520"/>
      <c r="EN136" s="1520"/>
      <c r="EO136" s="1520"/>
      <c r="EP136" s="1520"/>
      <c r="EQ136" s="1520"/>
      <c r="ER136" s="1520"/>
      <c r="ES136" s="1520"/>
      <c r="ET136" s="1520"/>
      <c r="EU136" s="1520"/>
      <c r="EV136" s="1520"/>
      <c r="EW136" s="1520"/>
      <c r="EX136" s="1520"/>
      <c r="EY136" s="1520"/>
      <c r="EZ136" s="1520"/>
      <c r="FA136" s="1520"/>
      <c r="FB136" s="1520"/>
      <c r="FC136" s="1520"/>
      <c r="FD136" s="2434"/>
      <c r="FE136" s="466"/>
      <c r="FF136" s="466"/>
      <c r="FG136" s="466"/>
      <c r="FH136" s="466"/>
      <c r="FI136" s="466"/>
      <c r="FJ136" s="466"/>
      <c r="FK136" s="466"/>
      <c r="FL136" s="466"/>
      <c r="FM136" s="466"/>
      <c r="FN136" s="466"/>
      <c r="FO136" s="466"/>
      <c r="FP136" s="466"/>
      <c r="FQ136" s="466"/>
      <c r="FR136" s="466"/>
      <c r="FS136" s="466"/>
      <c r="FT136" s="466"/>
      <c r="FU136" s="466"/>
      <c r="FV136" s="466"/>
      <c r="FW136" s="466"/>
      <c r="FX136" s="466"/>
      <c r="FY136" s="466"/>
      <c r="FZ136" s="466"/>
      <c r="GA136" s="466"/>
      <c r="GB136" s="466"/>
      <c r="GC136" s="466"/>
      <c r="GD136" s="466"/>
      <c r="GE136" s="466"/>
      <c r="GF136" s="466"/>
      <c r="GG136" s="466"/>
      <c r="GH136" s="466"/>
      <c r="GI136" s="466"/>
      <c r="GJ136" s="466"/>
      <c r="GK136" s="466"/>
      <c r="GL136" s="466"/>
      <c r="GM136" s="466"/>
      <c r="GN136" s="466"/>
      <c r="GO136" s="1564"/>
      <c r="GP136" s="1564"/>
      <c r="GQ136" s="1564"/>
      <c r="GR136" s="1564"/>
      <c r="GS136" s="1565"/>
      <c r="GT136" s="1565"/>
      <c r="GU136" s="1526"/>
      <c r="GV136" s="466"/>
      <c r="GW136" s="466"/>
      <c r="GX136" s="466"/>
      <c r="GY136" s="466"/>
      <c r="GZ136" s="466"/>
      <c r="HA136" s="466"/>
      <c r="HB136" s="466"/>
      <c r="HC136" s="466"/>
      <c r="HD136" s="466"/>
      <c r="HE136" s="844"/>
      <c r="HF136" s="844"/>
      <c r="HG136" s="844"/>
      <c r="HH136" s="844"/>
      <c r="HI136" s="844"/>
      <c r="HJ136" s="844"/>
      <c r="HK136" s="844"/>
      <c r="HL136" s="844"/>
      <c r="HM136" s="844"/>
      <c r="HN136" s="844"/>
      <c r="HO136" s="1575"/>
      <c r="HP136" s="466"/>
      <c r="HQ136" s="466"/>
      <c r="HR136" s="466"/>
      <c r="HS136" s="415"/>
      <c r="HT136" s="2292"/>
    </row>
    <row r="137" spans="3:228">
      <c r="C137" s="466"/>
      <c r="D137" s="466"/>
      <c r="E137" s="3850"/>
      <c r="F137" s="516"/>
      <c r="G137" s="513"/>
      <c r="H137" s="525"/>
      <c r="I137" s="525"/>
      <c r="J137" s="523"/>
      <c r="K137" s="519"/>
      <c r="L137" s="466"/>
      <c r="M137" s="516"/>
      <c r="N137" s="513"/>
      <c r="O137" s="513"/>
      <c r="P137" s="510"/>
      <c r="Q137" s="510"/>
      <c r="R137" s="510"/>
      <c r="S137" s="510"/>
      <c r="T137" s="510"/>
      <c r="U137" s="510"/>
      <c r="V137" s="510"/>
      <c r="W137" s="510"/>
      <c r="X137" s="510"/>
      <c r="Y137" s="510"/>
      <c r="Z137" s="510"/>
      <c r="AA137" s="510"/>
      <c r="AB137" s="510"/>
      <c r="AC137" s="510"/>
      <c r="AD137" s="510"/>
      <c r="AE137" s="510"/>
      <c r="AF137" s="510"/>
      <c r="AG137" s="510"/>
      <c r="AH137" s="510"/>
      <c r="AI137" s="510"/>
      <c r="AJ137" s="510"/>
      <c r="AK137" s="510"/>
      <c r="AL137" s="510"/>
      <c r="AM137" s="510"/>
      <c r="AN137" s="510"/>
      <c r="AO137" s="510"/>
      <c r="AP137" s="510"/>
      <c r="AQ137" s="510"/>
      <c r="AR137" s="510"/>
      <c r="AS137" s="510"/>
      <c r="AT137" s="510"/>
      <c r="AU137" s="510"/>
      <c r="AV137" s="510"/>
      <c r="AW137" s="510"/>
      <c r="AX137" s="510"/>
      <c r="AY137" s="510"/>
      <c r="AZ137" s="466"/>
      <c r="BA137" s="466"/>
      <c r="BB137" s="466"/>
      <c r="BC137" s="466"/>
      <c r="BD137" s="466"/>
      <c r="BE137" s="466"/>
      <c r="BF137" s="466"/>
      <c r="BG137" s="466"/>
      <c r="BH137" s="466"/>
      <c r="BI137" s="466"/>
      <c r="BJ137" s="466"/>
      <c r="BK137" s="466"/>
      <c r="BL137" s="466"/>
      <c r="BM137" s="518"/>
      <c r="BN137" s="524"/>
      <c r="BO137" s="518"/>
      <c r="BP137" s="518"/>
      <c r="BQ137" s="518"/>
      <c r="BR137" s="466"/>
      <c r="BS137" s="466"/>
      <c r="BT137" s="466"/>
      <c r="BU137" s="466"/>
      <c r="BV137" s="466"/>
      <c r="BW137" s="466"/>
      <c r="BX137" s="466"/>
      <c r="BY137" s="466"/>
      <c r="BZ137" s="466"/>
      <c r="CA137" s="466"/>
      <c r="CB137" s="466"/>
      <c r="CC137" s="466"/>
      <c r="CD137" s="466"/>
      <c r="CE137" s="466"/>
      <c r="CF137" s="466"/>
      <c r="CG137" s="466"/>
      <c r="CH137" s="466"/>
      <c r="CI137" s="466"/>
      <c r="CJ137" s="466"/>
      <c r="CK137" s="466"/>
      <c r="CL137" s="466"/>
      <c r="CM137" s="466"/>
      <c r="CN137" s="466"/>
      <c r="CO137" s="466"/>
      <c r="CP137" s="466"/>
      <c r="CQ137" s="466"/>
      <c r="CR137" s="466"/>
      <c r="CS137" s="466"/>
      <c r="CT137" s="466"/>
      <c r="CU137" s="466"/>
      <c r="CV137" s="466"/>
      <c r="CW137" s="466"/>
      <c r="CX137" s="466"/>
      <c r="CY137" s="466"/>
      <c r="CZ137" s="466"/>
      <c r="DA137" s="466"/>
      <c r="DB137" s="466"/>
      <c r="DC137" s="466"/>
      <c r="DD137" s="466"/>
      <c r="DE137" s="466"/>
      <c r="DF137" s="466"/>
      <c r="DG137" s="466"/>
      <c r="DH137" s="1520"/>
      <c r="DI137" s="1520"/>
      <c r="DJ137" s="1520"/>
      <c r="DK137" s="1520"/>
      <c r="DL137" s="1520"/>
      <c r="DM137" s="1520"/>
      <c r="DN137" s="1520"/>
      <c r="DO137" s="1520"/>
      <c r="DP137" s="1520"/>
      <c r="DQ137" s="1520"/>
      <c r="DR137" s="1520"/>
      <c r="DS137" s="1520"/>
      <c r="DT137" s="1520"/>
      <c r="DU137" s="1520"/>
      <c r="DV137" s="1520"/>
      <c r="DW137" s="1520"/>
      <c r="DX137" s="1520"/>
      <c r="DY137" s="1520"/>
      <c r="DZ137" s="1520"/>
      <c r="EA137" s="1520"/>
      <c r="EB137" s="1520"/>
      <c r="EC137" s="1520"/>
      <c r="ED137" s="1520"/>
      <c r="EE137" s="1520"/>
      <c r="EF137" s="1520"/>
      <c r="EG137" s="1520"/>
      <c r="EH137" s="1520"/>
      <c r="EI137" s="1520"/>
      <c r="EJ137" s="1520"/>
      <c r="EK137" s="1520"/>
      <c r="EL137" s="1520"/>
      <c r="EM137" s="1520"/>
      <c r="EN137" s="1520"/>
      <c r="EO137" s="1520"/>
      <c r="EP137" s="1520"/>
      <c r="EQ137" s="1520"/>
      <c r="ER137" s="1520"/>
      <c r="ES137" s="1520"/>
      <c r="ET137" s="1520"/>
      <c r="EU137" s="1520"/>
      <c r="EV137" s="1520"/>
      <c r="EW137" s="1520"/>
      <c r="EX137" s="1520"/>
      <c r="EY137" s="1520"/>
      <c r="EZ137" s="1520"/>
      <c r="FA137" s="1520"/>
      <c r="FB137" s="1520"/>
      <c r="FC137" s="1520"/>
      <c r="FD137" s="2434"/>
      <c r="FE137" s="466"/>
      <c r="FF137" s="466"/>
      <c r="FG137" s="466"/>
      <c r="FH137" s="466"/>
      <c r="FI137" s="466"/>
      <c r="FJ137" s="466"/>
      <c r="FK137" s="466"/>
      <c r="FL137" s="466"/>
      <c r="FM137" s="466"/>
      <c r="FN137" s="466"/>
      <c r="FO137" s="466"/>
      <c r="FP137" s="466"/>
      <c r="FQ137" s="466"/>
      <c r="FR137" s="466"/>
      <c r="FS137" s="466"/>
      <c r="FT137" s="466"/>
      <c r="FU137" s="466"/>
      <c r="FV137" s="466"/>
      <c r="FW137" s="466"/>
      <c r="FX137" s="466"/>
      <c r="FY137" s="466"/>
      <c r="FZ137" s="466"/>
      <c r="GA137" s="466"/>
      <c r="GB137" s="466"/>
      <c r="GC137" s="466"/>
      <c r="GD137" s="466"/>
      <c r="GE137" s="466"/>
      <c r="GF137" s="466"/>
      <c r="GG137" s="466"/>
      <c r="GH137" s="466"/>
      <c r="GI137" s="466"/>
      <c r="GJ137" s="466"/>
      <c r="GK137" s="466"/>
      <c r="GL137" s="466"/>
      <c r="GM137" s="466"/>
      <c r="GN137" s="466"/>
      <c r="GO137" s="1564"/>
      <c r="GP137" s="1564"/>
      <c r="GQ137" s="1564"/>
      <c r="GR137" s="1564"/>
      <c r="GS137" s="1565"/>
      <c r="GT137" s="1565"/>
      <c r="GU137" s="1526"/>
      <c r="GV137" s="466"/>
      <c r="GW137" s="466"/>
      <c r="GX137" s="466"/>
      <c r="GY137" s="466"/>
      <c r="GZ137" s="466"/>
      <c r="HA137" s="466"/>
      <c r="HB137" s="466"/>
      <c r="HC137" s="466"/>
      <c r="HD137" s="466"/>
      <c r="HE137" s="844"/>
      <c r="HF137" s="844"/>
      <c r="HG137" s="844"/>
      <c r="HH137" s="844"/>
      <c r="HI137" s="844"/>
      <c r="HJ137" s="844"/>
      <c r="HK137" s="844"/>
      <c r="HL137" s="844"/>
      <c r="HM137" s="844"/>
      <c r="HN137" s="844"/>
      <c r="HO137" s="1575"/>
      <c r="HP137" s="466"/>
      <c r="HQ137" s="466"/>
      <c r="HR137" s="466"/>
      <c r="HS137" s="415"/>
      <c r="HT137" s="2292"/>
    </row>
    <row r="138" spans="3:228">
      <c r="C138" s="466"/>
      <c r="D138" s="466"/>
      <c r="E138" s="3850"/>
      <c r="F138" s="516"/>
      <c r="G138" s="513"/>
      <c r="H138" s="525"/>
      <c r="I138" s="525"/>
      <c r="J138" s="523"/>
      <c r="K138" s="519"/>
      <c r="L138" s="466"/>
      <c r="M138" s="516"/>
      <c r="N138" s="513"/>
      <c r="O138" s="513"/>
      <c r="P138" s="510"/>
      <c r="Q138" s="510"/>
      <c r="R138" s="510"/>
      <c r="S138" s="510"/>
      <c r="T138" s="510"/>
      <c r="U138" s="510"/>
      <c r="V138" s="510"/>
      <c r="W138" s="510"/>
      <c r="X138" s="510"/>
      <c r="Y138" s="510"/>
      <c r="Z138" s="510"/>
      <c r="AA138" s="510"/>
      <c r="AB138" s="510"/>
      <c r="AC138" s="510"/>
      <c r="AD138" s="510"/>
      <c r="AE138" s="510"/>
      <c r="AF138" s="510"/>
      <c r="AG138" s="510"/>
      <c r="AH138" s="510"/>
      <c r="AI138" s="510"/>
      <c r="AJ138" s="510"/>
      <c r="AK138" s="510"/>
      <c r="AL138" s="510"/>
      <c r="AM138" s="510"/>
      <c r="AN138" s="510"/>
      <c r="AO138" s="510"/>
      <c r="AP138" s="510"/>
      <c r="AQ138" s="510"/>
      <c r="AR138" s="510"/>
      <c r="AS138" s="510"/>
      <c r="AT138" s="510"/>
      <c r="AU138" s="510"/>
      <c r="AV138" s="510"/>
      <c r="AW138" s="510"/>
      <c r="AX138" s="510"/>
      <c r="AY138" s="510"/>
      <c r="AZ138" s="466"/>
      <c r="BA138" s="466"/>
      <c r="BB138" s="466"/>
      <c r="BC138" s="466"/>
      <c r="BD138" s="466"/>
      <c r="BE138" s="466"/>
      <c r="BF138" s="466"/>
      <c r="BG138" s="466"/>
      <c r="BH138" s="466"/>
      <c r="BI138" s="466"/>
      <c r="BJ138" s="466"/>
      <c r="BK138" s="466"/>
      <c r="BL138" s="466"/>
      <c r="BM138" s="518"/>
      <c r="BN138" s="524"/>
      <c r="BO138" s="518"/>
      <c r="BP138" s="518"/>
      <c r="BQ138" s="518"/>
      <c r="BR138" s="466"/>
      <c r="BS138" s="466"/>
      <c r="BT138" s="466"/>
      <c r="BU138" s="466"/>
      <c r="BV138" s="466"/>
      <c r="BW138" s="466"/>
      <c r="BX138" s="466"/>
      <c r="BY138" s="466"/>
      <c r="BZ138" s="466"/>
      <c r="CA138" s="466"/>
      <c r="CB138" s="466"/>
      <c r="CC138" s="466"/>
      <c r="CD138" s="466"/>
      <c r="CE138" s="466"/>
      <c r="CF138" s="466"/>
      <c r="CG138" s="466"/>
      <c r="CH138" s="466"/>
      <c r="CI138" s="466"/>
      <c r="CJ138" s="466"/>
      <c r="CK138" s="466"/>
      <c r="CL138" s="466"/>
      <c r="CM138" s="466"/>
      <c r="CN138" s="466"/>
      <c r="CO138" s="466"/>
      <c r="CP138" s="466"/>
      <c r="CQ138" s="466"/>
      <c r="CR138" s="466"/>
      <c r="CS138" s="466"/>
      <c r="CT138" s="466"/>
      <c r="CU138" s="466"/>
      <c r="CV138" s="466"/>
      <c r="CW138" s="466"/>
      <c r="CX138" s="466"/>
      <c r="CY138" s="466"/>
      <c r="CZ138" s="466"/>
      <c r="DA138" s="466"/>
      <c r="DB138" s="466"/>
      <c r="DC138" s="466"/>
      <c r="DD138" s="466"/>
      <c r="DE138" s="466"/>
      <c r="DF138" s="466"/>
      <c r="DG138" s="466"/>
      <c r="DH138" s="1520"/>
      <c r="DI138" s="1520"/>
      <c r="DJ138" s="1520"/>
      <c r="DK138" s="1520"/>
      <c r="DL138" s="1520"/>
      <c r="DM138" s="1520"/>
      <c r="DN138" s="1520"/>
      <c r="DO138" s="1520"/>
      <c r="DP138" s="1520"/>
      <c r="DQ138" s="1520"/>
      <c r="DR138" s="1520"/>
      <c r="DS138" s="1520"/>
      <c r="DT138" s="1520"/>
      <c r="DU138" s="1520"/>
      <c r="DV138" s="1520"/>
      <c r="DW138" s="1520"/>
      <c r="DX138" s="1520"/>
      <c r="DY138" s="1520"/>
      <c r="DZ138" s="1520"/>
      <c r="EA138" s="1520"/>
      <c r="EB138" s="1520"/>
      <c r="EC138" s="1520"/>
      <c r="ED138" s="1520"/>
      <c r="EE138" s="1520"/>
      <c r="EF138" s="1520"/>
      <c r="EG138" s="1520"/>
      <c r="EH138" s="1520"/>
      <c r="EI138" s="1520"/>
      <c r="EJ138" s="1520"/>
      <c r="EK138" s="1520"/>
      <c r="EL138" s="1520"/>
      <c r="EM138" s="1520"/>
      <c r="EN138" s="1520"/>
      <c r="EO138" s="1520"/>
      <c r="EP138" s="1520"/>
      <c r="EQ138" s="1520"/>
      <c r="ER138" s="1520"/>
      <c r="ES138" s="1520"/>
      <c r="ET138" s="1520"/>
      <c r="EU138" s="1520"/>
      <c r="EV138" s="1520"/>
      <c r="EW138" s="1520"/>
      <c r="EX138" s="1520"/>
      <c r="EY138" s="1520"/>
      <c r="EZ138" s="1520"/>
      <c r="FA138" s="1520"/>
      <c r="FB138" s="1520"/>
      <c r="FC138" s="1520"/>
      <c r="FD138" s="2434"/>
      <c r="FE138" s="466"/>
      <c r="FF138" s="466"/>
      <c r="FG138" s="466"/>
      <c r="FH138" s="466"/>
      <c r="FI138" s="466"/>
      <c r="FJ138" s="466"/>
      <c r="FK138" s="466"/>
      <c r="FL138" s="466"/>
      <c r="FM138" s="466"/>
      <c r="FN138" s="466"/>
      <c r="FO138" s="466"/>
      <c r="FP138" s="466"/>
      <c r="FQ138" s="466"/>
      <c r="FR138" s="466"/>
      <c r="FS138" s="466"/>
      <c r="FT138" s="466"/>
      <c r="FU138" s="466"/>
      <c r="FV138" s="466"/>
      <c r="FW138" s="466"/>
      <c r="FX138" s="466"/>
      <c r="FY138" s="466"/>
      <c r="FZ138" s="466"/>
      <c r="GA138" s="466"/>
      <c r="GB138" s="466"/>
      <c r="GC138" s="466"/>
      <c r="GD138" s="466"/>
      <c r="GE138" s="466"/>
      <c r="GF138" s="466"/>
      <c r="GG138" s="466"/>
      <c r="GH138" s="466"/>
      <c r="GI138" s="466"/>
      <c r="GJ138" s="466"/>
      <c r="GK138" s="466"/>
      <c r="GL138" s="466"/>
      <c r="GM138" s="466"/>
      <c r="GN138" s="466"/>
      <c r="GO138" s="1564"/>
      <c r="GP138" s="1564"/>
      <c r="GQ138" s="1564"/>
      <c r="GR138" s="1564"/>
      <c r="GS138" s="1565"/>
      <c r="GT138" s="1565"/>
      <c r="GU138" s="1526"/>
      <c r="GV138" s="466"/>
      <c r="GW138" s="466"/>
      <c r="GX138" s="466"/>
      <c r="GY138" s="466"/>
      <c r="GZ138" s="466"/>
      <c r="HA138" s="466"/>
      <c r="HB138" s="466"/>
      <c r="HC138" s="466"/>
      <c r="HD138" s="466"/>
      <c r="HE138" s="844"/>
      <c r="HF138" s="844"/>
      <c r="HG138" s="844"/>
      <c r="HH138" s="844"/>
      <c r="HI138" s="844"/>
      <c r="HJ138" s="844"/>
      <c r="HK138" s="844"/>
      <c r="HL138" s="844"/>
      <c r="HM138" s="844"/>
      <c r="HN138" s="844"/>
      <c r="HO138" s="1575"/>
      <c r="HP138" s="466"/>
      <c r="HQ138" s="466"/>
      <c r="HR138" s="466"/>
      <c r="HS138" s="415"/>
      <c r="HT138" s="2292"/>
    </row>
    <row r="139" spans="3:228">
      <c r="C139" s="466"/>
      <c r="D139" s="466"/>
      <c r="E139" s="3850"/>
      <c r="F139" s="516"/>
      <c r="G139" s="513"/>
      <c r="H139" s="525"/>
      <c r="I139" s="525"/>
      <c r="J139" s="523"/>
      <c r="K139" s="519"/>
      <c r="L139" s="466"/>
      <c r="M139" s="516"/>
      <c r="N139" s="513"/>
      <c r="O139" s="513"/>
      <c r="P139" s="510"/>
      <c r="Q139" s="510"/>
      <c r="R139" s="510"/>
      <c r="S139" s="510"/>
      <c r="T139" s="510"/>
      <c r="U139" s="510"/>
      <c r="V139" s="510"/>
      <c r="W139" s="510"/>
      <c r="X139" s="510"/>
      <c r="Y139" s="510"/>
      <c r="Z139" s="510"/>
      <c r="AA139" s="510"/>
      <c r="AB139" s="510"/>
      <c r="AC139" s="510"/>
      <c r="AD139" s="510"/>
      <c r="AE139" s="510"/>
      <c r="AF139" s="510"/>
      <c r="AG139" s="510"/>
      <c r="AH139" s="510"/>
      <c r="AI139" s="510"/>
      <c r="AJ139" s="510"/>
      <c r="AK139" s="510"/>
      <c r="AL139" s="510"/>
      <c r="AM139" s="510"/>
      <c r="AN139" s="510"/>
      <c r="AO139" s="510"/>
      <c r="AP139" s="510"/>
      <c r="AQ139" s="510"/>
      <c r="AR139" s="510"/>
      <c r="AS139" s="510"/>
      <c r="AT139" s="510"/>
      <c r="AU139" s="510"/>
      <c r="AV139" s="510"/>
      <c r="AW139" s="510"/>
      <c r="AX139" s="510"/>
      <c r="AY139" s="510"/>
      <c r="AZ139" s="466"/>
      <c r="BA139" s="466"/>
      <c r="BB139" s="466"/>
      <c r="BC139" s="466"/>
      <c r="BD139" s="466"/>
      <c r="BE139" s="466"/>
      <c r="BF139" s="466"/>
      <c r="BG139" s="466"/>
      <c r="BH139" s="466"/>
      <c r="BI139" s="466"/>
      <c r="BJ139" s="466"/>
      <c r="BK139" s="466"/>
      <c r="BL139" s="466"/>
      <c r="BM139" s="518"/>
      <c r="BN139" s="524"/>
      <c r="BO139" s="518"/>
      <c r="BP139" s="518"/>
      <c r="BQ139" s="518"/>
      <c r="BR139" s="466"/>
      <c r="BS139" s="466"/>
      <c r="BT139" s="466"/>
      <c r="BU139" s="466"/>
      <c r="BV139" s="466"/>
      <c r="BW139" s="466"/>
      <c r="BX139" s="466"/>
      <c r="BY139" s="466"/>
      <c r="BZ139" s="466"/>
      <c r="CA139" s="466"/>
      <c r="CB139" s="466"/>
      <c r="CC139" s="466"/>
      <c r="CD139" s="466"/>
      <c r="CE139" s="466"/>
      <c r="CF139" s="466"/>
      <c r="CG139" s="466"/>
      <c r="CH139" s="466"/>
      <c r="CI139" s="466"/>
      <c r="CJ139" s="466"/>
      <c r="CK139" s="466"/>
      <c r="CL139" s="466"/>
      <c r="CM139" s="466"/>
      <c r="CN139" s="466"/>
      <c r="CO139" s="466"/>
      <c r="CP139" s="466"/>
      <c r="CQ139" s="466"/>
      <c r="CR139" s="466"/>
      <c r="CS139" s="466"/>
      <c r="CT139" s="466"/>
      <c r="CU139" s="466"/>
      <c r="CV139" s="466"/>
      <c r="CW139" s="466"/>
      <c r="CX139" s="466"/>
      <c r="CY139" s="466"/>
      <c r="CZ139" s="466"/>
      <c r="DA139" s="466"/>
      <c r="DB139" s="466"/>
      <c r="DC139" s="466"/>
      <c r="DD139" s="466"/>
      <c r="DE139" s="466"/>
      <c r="DF139" s="466"/>
      <c r="DG139" s="466"/>
      <c r="DH139" s="1520"/>
      <c r="DI139" s="1520"/>
      <c r="DJ139" s="1520"/>
      <c r="DK139" s="1520"/>
      <c r="DL139" s="1520"/>
      <c r="DM139" s="1520"/>
      <c r="DN139" s="1520"/>
      <c r="DO139" s="1520"/>
      <c r="DP139" s="1520"/>
      <c r="DQ139" s="1520"/>
      <c r="DR139" s="1520"/>
      <c r="DS139" s="1520"/>
      <c r="DT139" s="1520"/>
      <c r="DU139" s="1520"/>
      <c r="DV139" s="1520"/>
      <c r="DW139" s="1520"/>
      <c r="DX139" s="1520"/>
      <c r="DY139" s="1520"/>
      <c r="DZ139" s="1520"/>
      <c r="EA139" s="1520"/>
      <c r="EB139" s="1520"/>
      <c r="EC139" s="1520"/>
      <c r="ED139" s="1520"/>
      <c r="EE139" s="1520"/>
      <c r="EF139" s="1520"/>
      <c r="EG139" s="1520"/>
      <c r="EH139" s="1520"/>
      <c r="EI139" s="1520"/>
      <c r="EJ139" s="1520"/>
      <c r="EK139" s="1520"/>
      <c r="EL139" s="1520"/>
      <c r="EM139" s="1520"/>
      <c r="EN139" s="1520"/>
      <c r="EO139" s="1520"/>
      <c r="EP139" s="1520"/>
      <c r="EQ139" s="1520"/>
      <c r="ER139" s="1520"/>
      <c r="ES139" s="1520"/>
      <c r="ET139" s="1520"/>
      <c r="EU139" s="1520"/>
      <c r="EV139" s="1520"/>
      <c r="EW139" s="1520"/>
      <c r="EX139" s="1520"/>
      <c r="EY139" s="1520"/>
      <c r="EZ139" s="1520"/>
      <c r="FA139" s="1520"/>
      <c r="FB139" s="1520"/>
      <c r="FC139" s="1520"/>
      <c r="FD139" s="2434"/>
      <c r="FE139" s="466"/>
      <c r="FF139" s="466"/>
      <c r="FG139" s="466"/>
      <c r="FH139" s="466"/>
      <c r="FI139" s="466"/>
      <c r="FJ139" s="466"/>
      <c r="FK139" s="466"/>
      <c r="FL139" s="466"/>
      <c r="FM139" s="466"/>
      <c r="FN139" s="466"/>
      <c r="FO139" s="466"/>
      <c r="FP139" s="466"/>
      <c r="FQ139" s="466"/>
      <c r="FR139" s="466"/>
      <c r="FS139" s="466"/>
      <c r="FT139" s="466"/>
      <c r="FU139" s="466"/>
      <c r="FV139" s="466"/>
      <c r="FW139" s="466"/>
      <c r="FX139" s="466"/>
      <c r="FY139" s="466"/>
      <c r="FZ139" s="466"/>
      <c r="GA139" s="466"/>
      <c r="GB139" s="466"/>
      <c r="GC139" s="466"/>
      <c r="GD139" s="466"/>
      <c r="GE139" s="466"/>
      <c r="GF139" s="466"/>
      <c r="GG139" s="466"/>
      <c r="GH139" s="466"/>
      <c r="GI139" s="466"/>
      <c r="GJ139" s="466"/>
      <c r="GK139" s="466"/>
      <c r="GL139" s="466"/>
      <c r="GM139" s="466"/>
      <c r="GN139" s="466"/>
      <c r="GO139" s="1564"/>
      <c r="GP139" s="1564"/>
      <c r="GQ139" s="1564"/>
      <c r="GR139" s="1564"/>
      <c r="GS139" s="1565"/>
      <c r="GT139" s="1565"/>
      <c r="GU139" s="1526"/>
      <c r="GV139" s="466"/>
      <c r="GW139" s="466"/>
      <c r="GX139" s="466"/>
      <c r="GY139" s="466"/>
      <c r="GZ139" s="466"/>
      <c r="HA139" s="466"/>
      <c r="HB139" s="466"/>
      <c r="HC139" s="466"/>
      <c r="HD139" s="466"/>
      <c r="HE139" s="844"/>
      <c r="HF139" s="844"/>
      <c r="HG139" s="844"/>
      <c r="HH139" s="844"/>
      <c r="HI139" s="844"/>
      <c r="HJ139" s="844"/>
      <c r="HK139" s="844"/>
      <c r="HL139" s="844"/>
      <c r="HM139" s="844"/>
      <c r="HN139" s="844"/>
      <c r="HO139" s="1575"/>
      <c r="HP139" s="466"/>
      <c r="HQ139" s="466"/>
      <c r="HR139" s="466"/>
      <c r="HS139" s="415"/>
      <c r="HT139" s="2292"/>
    </row>
    <row r="140" spans="3:228">
      <c r="C140" s="466"/>
      <c r="D140" s="466"/>
      <c r="E140" s="3850"/>
      <c r="F140" s="516"/>
      <c r="G140" s="513"/>
      <c r="H140" s="525"/>
      <c r="I140" s="525"/>
      <c r="J140" s="523"/>
      <c r="K140" s="519"/>
      <c r="L140" s="466"/>
      <c r="M140" s="516"/>
      <c r="N140" s="513"/>
      <c r="O140" s="513"/>
      <c r="P140" s="510"/>
      <c r="Q140" s="510"/>
      <c r="R140" s="510"/>
      <c r="S140" s="510"/>
      <c r="T140" s="510"/>
      <c r="U140" s="510"/>
      <c r="V140" s="510"/>
      <c r="W140" s="510"/>
      <c r="X140" s="510"/>
      <c r="Y140" s="510"/>
      <c r="Z140" s="510"/>
      <c r="AA140" s="510"/>
      <c r="AB140" s="510"/>
      <c r="AC140" s="510"/>
      <c r="AD140" s="510"/>
      <c r="AE140" s="510"/>
      <c r="AF140" s="510"/>
      <c r="AG140" s="510"/>
      <c r="AH140" s="510"/>
      <c r="AI140" s="510"/>
      <c r="AJ140" s="510"/>
      <c r="AK140" s="510"/>
      <c r="AL140" s="510"/>
      <c r="AM140" s="510"/>
      <c r="AN140" s="510"/>
      <c r="AO140" s="510"/>
      <c r="AP140" s="510"/>
      <c r="AQ140" s="510"/>
      <c r="AR140" s="510"/>
      <c r="AS140" s="510"/>
      <c r="AT140" s="510"/>
      <c r="AU140" s="510"/>
      <c r="AV140" s="510"/>
      <c r="AW140" s="510"/>
      <c r="AX140" s="510"/>
      <c r="AY140" s="510"/>
      <c r="AZ140" s="466"/>
      <c r="BA140" s="466"/>
      <c r="BB140" s="466"/>
      <c r="BC140" s="466"/>
      <c r="BD140" s="466"/>
      <c r="BE140" s="466"/>
      <c r="BF140" s="466"/>
      <c r="BG140" s="466"/>
      <c r="BH140" s="466"/>
      <c r="BI140" s="466"/>
      <c r="BJ140" s="466"/>
      <c r="BK140" s="466"/>
      <c r="BL140" s="466"/>
      <c r="BM140" s="518"/>
      <c r="BN140" s="524"/>
      <c r="BO140" s="518"/>
      <c r="BP140" s="518"/>
      <c r="BQ140" s="518"/>
      <c r="BR140" s="466"/>
      <c r="BS140" s="466"/>
      <c r="BT140" s="466"/>
      <c r="BU140" s="466"/>
      <c r="BV140" s="466"/>
      <c r="BW140" s="466"/>
      <c r="BX140" s="466"/>
      <c r="BY140" s="466"/>
      <c r="BZ140" s="466"/>
      <c r="CA140" s="466"/>
      <c r="CB140" s="466"/>
      <c r="CC140" s="466"/>
      <c r="CD140" s="466"/>
      <c r="CE140" s="466"/>
      <c r="CF140" s="466"/>
      <c r="CG140" s="466"/>
      <c r="CH140" s="466"/>
      <c r="CI140" s="466"/>
      <c r="CJ140" s="466"/>
      <c r="CK140" s="466"/>
      <c r="CL140" s="466"/>
      <c r="CM140" s="466"/>
      <c r="CN140" s="466"/>
      <c r="CO140" s="466"/>
      <c r="CP140" s="466"/>
      <c r="CQ140" s="466"/>
      <c r="CR140" s="466"/>
      <c r="CS140" s="466"/>
      <c r="CT140" s="466"/>
      <c r="CU140" s="466"/>
      <c r="CV140" s="466"/>
      <c r="CW140" s="466"/>
      <c r="CX140" s="466"/>
      <c r="CY140" s="466"/>
      <c r="CZ140" s="466"/>
      <c r="DA140" s="466"/>
      <c r="DB140" s="466"/>
      <c r="DC140" s="466"/>
      <c r="DD140" s="466"/>
      <c r="DE140" s="466"/>
      <c r="DF140" s="466"/>
      <c r="DG140" s="466"/>
      <c r="DH140" s="1520"/>
      <c r="DI140" s="1520"/>
      <c r="DJ140" s="1520"/>
      <c r="DK140" s="1520"/>
      <c r="DL140" s="1520"/>
      <c r="DM140" s="1520"/>
      <c r="DN140" s="1520"/>
      <c r="DO140" s="1520"/>
      <c r="DP140" s="1520"/>
      <c r="DQ140" s="1520"/>
      <c r="DR140" s="1520"/>
      <c r="DS140" s="1520"/>
      <c r="DT140" s="1520"/>
      <c r="DU140" s="1520"/>
      <c r="DV140" s="1520"/>
      <c r="DW140" s="1520"/>
      <c r="DX140" s="1520"/>
      <c r="DY140" s="1520"/>
      <c r="DZ140" s="1520"/>
      <c r="EA140" s="1520"/>
      <c r="EB140" s="1520"/>
      <c r="EC140" s="1520"/>
      <c r="ED140" s="1520"/>
      <c r="EE140" s="1520"/>
      <c r="EF140" s="1520"/>
      <c r="EG140" s="1520"/>
      <c r="EH140" s="1520"/>
      <c r="EI140" s="1520"/>
      <c r="EJ140" s="1520"/>
      <c r="EK140" s="1520"/>
      <c r="EL140" s="1520"/>
      <c r="EM140" s="1520"/>
      <c r="EN140" s="1520"/>
      <c r="EO140" s="1520"/>
      <c r="EP140" s="1520"/>
      <c r="EQ140" s="1520"/>
      <c r="ER140" s="1520"/>
      <c r="ES140" s="1520"/>
      <c r="ET140" s="1520"/>
      <c r="EU140" s="1520"/>
      <c r="EV140" s="1520"/>
      <c r="EW140" s="1520"/>
      <c r="EX140" s="1520"/>
      <c r="EY140" s="1520"/>
      <c r="EZ140" s="1520"/>
      <c r="FA140" s="1520"/>
      <c r="FB140" s="1520"/>
      <c r="FC140" s="1520"/>
      <c r="FD140" s="2434"/>
      <c r="FE140" s="466"/>
      <c r="FF140" s="466"/>
      <c r="FG140" s="466"/>
      <c r="FH140" s="466"/>
      <c r="FI140" s="466"/>
      <c r="FJ140" s="466"/>
      <c r="FK140" s="466"/>
      <c r="FL140" s="466"/>
      <c r="FM140" s="466"/>
      <c r="FN140" s="466"/>
      <c r="FO140" s="466"/>
      <c r="FP140" s="466"/>
      <c r="FQ140" s="466"/>
      <c r="FR140" s="466"/>
      <c r="FS140" s="466"/>
      <c r="FT140" s="466"/>
      <c r="FU140" s="466"/>
      <c r="FV140" s="466"/>
      <c r="FW140" s="466"/>
      <c r="FX140" s="466"/>
      <c r="FY140" s="466"/>
      <c r="FZ140" s="466"/>
      <c r="GA140" s="466"/>
      <c r="GB140" s="466"/>
      <c r="GC140" s="466"/>
      <c r="GD140" s="466"/>
      <c r="GE140" s="466"/>
      <c r="GF140" s="466"/>
      <c r="GG140" s="466"/>
      <c r="GH140" s="466"/>
      <c r="GI140" s="466"/>
      <c r="GJ140" s="466"/>
      <c r="GK140" s="466"/>
      <c r="GL140" s="466"/>
      <c r="GM140" s="466"/>
      <c r="GN140" s="466"/>
      <c r="GO140" s="1564"/>
      <c r="GP140" s="1564"/>
      <c r="GQ140" s="1564"/>
      <c r="GR140" s="1564"/>
      <c r="GS140" s="1565"/>
      <c r="GT140" s="1565"/>
      <c r="GU140" s="1526"/>
      <c r="GV140" s="466"/>
      <c r="GW140" s="466"/>
      <c r="GX140" s="466"/>
      <c r="GY140" s="466"/>
      <c r="GZ140" s="466"/>
      <c r="HA140" s="466"/>
      <c r="HB140" s="466"/>
      <c r="HC140" s="466"/>
      <c r="HD140" s="466"/>
      <c r="HE140" s="844"/>
      <c r="HF140" s="844"/>
      <c r="HG140" s="844"/>
      <c r="HH140" s="844"/>
      <c r="HI140" s="844"/>
      <c r="HJ140" s="844"/>
      <c r="HK140" s="844"/>
      <c r="HL140" s="844"/>
      <c r="HM140" s="844"/>
      <c r="HN140" s="844"/>
      <c r="HO140" s="1575"/>
      <c r="HP140" s="466"/>
      <c r="HQ140" s="466"/>
      <c r="HR140" s="466"/>
      <c r="HS140" s="415"/>
      <c r="HT140" s="2292"/>
    </row>
    <row r="141" spans="3:228">
      <c r="C141" s="466"/>
      <c r="D141" s="466"/>
      <c r="E141" s="3850"/>
      <c r="F141" s="516"/>
      <c r="G141" s="513"/>
      <c r="H141" s="525"/>
      <c r="I141" s="525"/>
      <c r="J141" s="523"/>
      <c r="K141" s="519"/>
      <c r="L141" s="466"/>
      <c r="M141" s="516"/>
      <c r="N141" s="513"/>
      <c r="O141" s="513"/>
      <c r="P141" s="510"/>
      <c r="Q141" s="510"/>
      <c r="R141" s="510"/>
      <c r="S141" s="510"/>
      <c r="T141" s="510"/>
      <c r="U141" s="510"/>
      <c r="V141" s="510"/>
      <c r="W141" s="510"/>
      <c r="X141" s="510"/>
      <c r="Y141" s="510"/>
      <c r="Z141" s="510"/>
      <c r="AA141" s="510"/>
      <c r="AB141" s="510"/>
      <c r="AC141" s="510"/>
      <c r="AD141" s="510"/>
      <c r="AE141" s="510"/>
      <c r="AF141" s="510"/>
      <c r="AG141" s="510"/>
      <c r="AH141" s="510"/>
      <c r="AI141" s="510"/>
      <c r="AJ141" s="510"/>
      <c r="AK141" s="510"/>
      <c r="AL141" s="510"/>
      <c r="AM141" s="510"/>
      <c r="AN141" s="510"/>
      <c r="AO141" s="510"/>
      <c r="AP141" s="510"/>
      <c r="AQ141" s="510"/>
      <c r="AR141" s="510"/>
      <c r="AS141" s="510"/>
      <c r="AT141" s="510"/>
      <c r="AU141" s="510"/>
      <c r="AV141" s="510"/>
      <c r="AW141" s="510"/>
      <c r="AX141" s="510"/>
      <c r="AY141" s="510"/>
      <c r="AZ141" s="466"/>
      <c r="BA141" s="466"/>
      <c r="BB141" s="466"/>
      <c r="BC141" s="466"/>
      <c r="BD141" s="466"/>
      <c r="BE141" s="466"/>
      <c r="BF141" s="466"/>
      <c r="BG141" s="466"/>
      <c r="BH141" s="466"/>
      <c r="BI141" s="466"/>
      <c r="BJ141" s="466"/>
      <c r="BK141" s="466"/>
      <c r="BL141" s="466"/>
      <c r="BM141" s="518"/>
      <c r="BN141" s="524"/>
      <c r="BO141" s="518"/>
      <c r="BP141" s="518"/>
      <c r="BQ141" s="518"/>
      <c r="BR141" s="466"/>
      <c r="BS141" s="466"/>
      <c r="BT141" s="466"/>
      <c r="BU141" s="466"/>
      <c r="BV141" s="466"/>
      <c r="BW141" s="466"/>
      <c r="BX141" s="466"/>
      <c r="BY141" s="466"/>
      <c r="BZ141" s="466"/>
      <c r="CA141" s="466"/>
      <c r="CB141" s="466"/>
      <c r="CC141" s="466"/>
      <c r="CD141" s="466"/>
      <c r="CE141" s="466"/>
      <c r="CF141" s="466"/>
      <c r="CG141" s="466"/>
      <c r="CH141" s="466"/>
      <c r="CI141" s="466"/>
      <c r="CJ141" s="466"/>
      <c r="CK141" s="466"/>
      <c r="CL141" s="466"/>
      <c r="CM141" s="466"/>
      <c r="CN141" s="466"/>
      <c r="CO141" s="466"/>
      <c r="CP141" s="466"/>
      <c r="CQ141" s="466"/>
      <c r="CR141" s="466"/>
      <c r="CS141" s="466"/>
      <c r="CT141" s="466"/>
      <c r="CU141" s="466"/>
      <c r="CV141" s="466"/>
      <c r="CW141" s="466"/>
      <c r="CX141" s="466"/>
      <c r="CY141" s="466"/>
      <c r="CZ141" s="466"/>
      <c r="DA141" s="466"/>
      <c r="DB141" s="466"/>
      <c r="DC141" s="466"/>
      <c r="DD141" s="466"/>
      <c r="DE141" s="466"/>
      <c r="DF141" s="466"/>
      <c r="DG141" s="466"/>
      <c r="FE141" s="466"/>
      <c r="FF141" s="466"/>
      <c r="FG141" s="466"/>
      <c r="FH141" s="466"/>
      <c r="FI141" s="466"/>
      <c r="FJ141" s="466"/>
      <c r="FK141" s="466"/>
      <c r="FL141" s="466"/>
      <c r="FM141" s="466"/>
      <c r="FN141" s="466"/>
      <c r="FO141" s="466"/>
      <c r="FP141" s="466"/>
      <c r="FQ141" s="466"/>
      <c r="FR141" s="466"/>
      <c r="FS141" s="466"/>
      <c r="FT141" s="466"/>
      <c r="FU141" s="466"/>
      <c r="FV141" s="466"/>
      <c r="FW141" s="466"/>
      <c r="FX141" s="466"/>
      <c r="FY141" s="466"/>
      <c r="FZ141" s="466"/>
      <c r="GA141" s="466"/>
      <c r="GB141" s="466"/>
      <c r="GC141" s="466"/>
      <c r="GD141" s="466"/>
      <c r="GE141" s="466"/>
      <c r="GF141" s="466"/>
      <c r="GG141" s="466"/>
      <c r="GH141" s="466"/>
      <c r="GI141" s="466"/>
      <c r="GJ141" s="466"/>
      <c r="GK141" s="466"/>
      <c r="GL141" s="466"/>
      <c r="GM141" s="466"/>
      <c r="GN141" s="466"/>
      <c r="GO141" s="1564"/>
      <c r="GP141" s="1564"/>
      <c r="GQ141" s="1564"/>
      <c r="GR141" s="1564"/>
      <c r="GS141" s="1565"/>
      <c r="GT141" s="1565"/>
      <c r="GU141" s="1526"/>
      <c r="GV141" s="466"/>
      <c r="GW141" s="466"/>
      <c r="GX141" s="466"/>
      <c r="GY141" s="466"/>
      <c r="GZ141" s="466"/>
      <c r="HA141" s="466"/>
      <c r="HB141" s="466"/>
      <c r="HC141" s="466"/>
      <c r="HD141" s="466"/>
      <c r="HE141" s="844"/>
      <c r="HF141" s="844"/>
      <c r="HG141" s="844"/>
      <c r="HH141" s="844"/>
      <c r="HI141" s="844"/>
      <c r="HJ141" s="844"/>
      <c r="HK141" s="844"/>
      <c r="HL141" s="844"/>
      <c r="HM141" s="844"/>
      <c r="HN141" s="844"/>
      <c r="HP141" s="466"/>
      <c r="HQ141" s="466"/>
      <c r="HR141" s="466"/>
      <c r="HS141" s="415"/>
      <c r="HT141" s="2292"/>
    </row>
    <row r="142" spans="3:228">
      <c r="C142" s="466"/>
      <c r="D142" s="466"/>
      <c r="E142" s="3850"/>
      <c r="F142" s="516"/>
      <c r="G142" s="513"/>
      <c r="H142" s="525"/>
      <c r="I142" s="525"/>
      <c r="J142" s="523"/>
      <c r="K142" s="519"/>
      <c r="L142" s="466"/>
      <c r="M142" s="516"/>
      <c r="N142" s="513"/>
      <c r="O142" s="513"/>
      <c r="P142" s="510"/>
      <c r="Q142" s="510"/>
      <c r="R142" s="510"/>
      <c r="S142" s="510"/>
      <c r="T142" s="510"/>
      <c r="U142" s="510"/>
      <c r="V142" s="510"/>
      <c r="W142" s="510"/>
      <c r="X142" s="510"/>
      <c r="Y142" s="510"/>
      <c r="Z142" s="510"/>
      <c r="AA142" s="510"/>
      <c r="AB142" s="510"/>
      <c r="AC142" s="510"/>
      <c r="AD142" s="510"/>
      <c r="AE142" s="510"/>
      <c r="AF142" s="510"/>
      <c r="AG142" s="510"/>
      <c r="AH142" s="510"/>
      <c r="AI142" s="510"/>
      <c r="AJ142" s="510"/>
      <c r="AK142" s="510"/>
      <c r="AL142" s="510"/>
      <c r="AM142" s="510"/>
      <c r="AN142" s="510"/>
      <c r="AO142" s="510"/>
      <c r="AP142" s="510"/>
      <c r="AQ142" s="510"/>
      <c r="AR142" s="510"/>
      <c r="AS142" s="510"/>
      <c r="AT142" s="510"/>
      <c r="AU142" s="510"/>
      <c r="AV142" s="510"/>
      <c r="AW142" s="510"/>
      <c r="AX142" s="510"/>
      <c r="AY142" s="510"/>
      <c r="AZ142" s="466"/>
      <c r="BA142" s="466"/>
      <c r="BB142" s="466"/>
      <c r="BC142" s="466"/>
      <c r="BD142" s="466"/>
      <c r="BE142" s="466"/>
      <c r="BF142" s="466"/>
      <c r="BG142" s="466"/>
      <c r="BH142" s="466"/>
      <c r="BI142" s="466"/>
      <c r="BJ142" s="466"/>
      <c r="BK142" s="466"/>
      <c r="BL142" s="466"/>
      <c r="BM142" s="518"/>
      <c r="BN142" s="524"/>
      <c r="BO142" s="518"/>
      <c r="BP142" s="518"/>
      <c r="BQ142" s="518"/>
      <c r="BR142" s="466"/>
      <c r="BS142" s="466"/>
      <c r="BT142" s="466"/>
      <c r="BU142" s="466"/>
      <c r="BV142" s="466"/>
      <c r="BW142" s="466"/>
      <c r="BX142" s="466"/>
      <c r="BY142" s="466"/>
      <c r="BZ142" s="466"/>
      <c r="CA142" s="466"/>
      <c r="CB142" s="466"/>
      <c r="CC142" s="466"/>
      <c r="CD142" s="466"/>
      <c r="CE142" s="466"/>
      <c r="CF142" s="466"/>
      <c r="CG142" s="466"/>
      <c r="CH142" s="466"/>
      <c r="CI142" s="466"/>
      <c r="CJ142" s="466"/>
      <c r="CK142" s="466"/>
      <c r="CL142" s="466"/>
      <c r="CM142" s="466"/>
      <c r="CN142" s="466"/>
      <c r="CO142" s="466"/>
      <c r="CP142" s="466"/>
      <c r="CQ142" s="466"/>
      <c r="CR142" s="466"/>
      <c r="CS142" s="466"/>
      <c r="CT142" s="466"/>
      <c r="CU142" s="466"/>
      <c r="CV142" s="466"/>
      <c r="CW142" s="466"/>
      <c r="CX142" s="466"/>
      <c r="CY142" s="466"/>
      <c r="CZ142" s="466"/>
      <c r="DA142" s="466"/>
      <c r="DB142" s="466"/>
      <c r="DC142" s="466"/>
      <c r="DD142" s="466"/>
      <c r="DE142" s="466"/>
      <c r="DF142" s="466"/>
      <c r="DG142" s="466"/>
      <c r="FE142" s="466"/>
      <c r="FF142" s="466"/>
      <c r="FG142" s="466"/>
      <c r="FH142" s="466"/>
      <c r="FI142" s="466"/>
      <c r="FJ142" s="466"/>
      <c r="FK142" s="466"/>
      <c r="FL142" s="466"/>
      <c r="FM142" s="466"/>
      <c r="FN142" s="466"/>
      <c r="FO142" s="466"/>
      <c r="FP142" s="466"/>
      <c r="FQ142" s="466"/>
      <c r="FR142" s="466"/>
      <c r="FS142" s="466"/>
      <c r="FT142" s="466"/>
      <c r="FU142" s="466"/>
      <c r="FV142" s="466"/>
      <c r="FW142" s="466"/>
      <c r="FX142" s="466"/>
      <c r="FY142" s="466"/>
      <c r="FZ142" s="466"/>
      <c r="GA142" s="466"/>
      <c r="GB142" s="466"/>
      <c r="GC142" s="466"/>
      <c r="GD142" s="466"/>
      <c r="GE142" s="466"/>
      <c r="GF142" s="466"/>
      <c r="GG142" s="466"/>
      <c r="GH142" s="466"/>
      <c r="GI142" s="466"/>
      <c r="GJ142" s="466"/>
      <c r="GK142" s="466"/>
      <c r="GL142" s="466"/>
      <c r="GM142" s="466"/>
      <c r="GN142" s="466"/>
      <c r="GO142" s="1564"/>
      <c r="GP142" s="1564"/>
      <c r="GQ142" s="1564"/>
      <c r="GR142" s="1564"/>
      <c r="GS142" s="1565"/>
      <c r="GT142" s="1565"/>
      <c r="GU142" s="1526"/>
      <c r="GV142" s="466"/>
      <c r="GW142" s="466"/>
      <c r="GX142" s="466"/>
      <c r="GY142" s="466"/>
      <c r="GZ142" s="466"/>
      <c r="HA142" s="466"/>
      <c r="HB142" s="466"/>
      <c r="HC142" s="466"/>
      <c r="HD142" s="466"/>
      <c r="HE142" s="844"/>
      <c r="HF142" s="844"/>
      <c r="HG142" s="844"/>
      <c r="HH142" s="844"/>
      <c r="HI142" s="844"/>
      <c r="HJ142" s="844"/>
      <c r="HK142" s="844"/>
      <c r="HL142" s="844"/>
      <c r="HM142" s="844"/>
      <c r="HN142" s="844"/>
      <c r="HP142" s="466"/>
      <c r="HQ142" s="466"/>
      <c r="HR142" s="466"/>
      <c r="HS142" s="415"/>
      <c r="HT142" s="2292"/>
    </row>
    <row r="143" spans="3:228">
      <c r="C143" s="466"/>
      <c r="D143" s="466"/>
      <c r="E143" s="3850"/>
      <c r="F143" s="516"/>
      <c r="G143" s="513"/>
      <c r="H143" s="525"/>
      <c r="I143" s="525"/>
      <c r="J143" s="523"/>
      <c r="K143" s="519"/>
      <c r="L143" s="466"/>
      <c r="M143" s="516"/>
      <c r="N143" s="513"/>
      <c r="O143" s="513"/>
      <c r="P143" s="510"/>
      <c r="Q143" s="510"/>
      <c r="R143" s="510"/>
      <c r="S143" s="510"/>
      <c r="T143" s="510"/>
      <c r="U143" s="510"/>
      <c r="V143" s="510"/>
      <c r="W143" s="510"/>
      <c r="X143" s="510"/>
      <c r="Y143" s="510"/>
      <c r="Z143" s="510"/>
      <c r="AA143" s="510"/>
      <c r="AB143" s="510"/>
      <c r="AC143" s="510"/>
      <c r="AD143" s="510"/>
      <c r="AE143" s="510"/>
      <c r="AF143" s="510"/>
      <c r="AG143" s="510"/>
      <c r="AH143" s="510"/>
      <c r="AI143" s="510"/>
      <c r="AJ143" s="510"/>
      <c r="AK143" s="510"/>
      <c r="AL143" s="510"/>
      <c r="AM143" s="510"/>
      <c r="AN143" s="510"/>
      <c r="AO143" s="510"/>
      <c r="AP143" s="510"/>
      <c r="AQ143" s="510"/>
      <c r="AR143" s="510"/>
      <c r="AS143" s="510"/>
      <c r="AT143" s="510"/>
      <c r="AU143" s="510"/>
      <c r="AV143" s="510"/>
      <c r="AW143" s="510"/>
      <c r="AX143" s="510"/>
      <c r="AY143" s="510"/>
      <c r="AZ143" s="466"/>
      <c r="BA143" s="466"/>
      <c r="BB143" s="466"/>
      <c r="BC143" s="466"/>
      <c r="BD143" s="466"/>
      <c r="BE143" s="466"/>
      <c r="BF143" s="466"/>
      <c r="BG143" s="466"/>
      <c r="BH143" s="466"/>
      <c r="BI143" s="466"/>
      <c r="BJ143" s="466"/>
      <c r="BK143" s="466"/>
      <c r="BL143" s="466"/>
      <c r="BM143" s="518"/>
      <c r="BN143" s="524"/>
      <c r="BO143" s="518"/>
      <c r="BP143" s="518"/>
      <c r="BQ143" s="518"/>
      <c r="BR143" s="466"/>
      <c r="BS143" s="466"/>
      <c r="BT143" s="466"/>
      <c r="BU143" s="466"/>
      <c r="BV143" s="466"/>
      <c r="BW143" s="466"/>
      <c r="BX143" s="466"/>
      <c r="BY143" s="466"/>
      <c r="BZ143" s="466"/>
      <c r="CA143" s="466"/>
      <c r="CB143" s="466"/>
      <c r="CC143" s="466"/>
      <c r="CD143" s="466"/>
      <c r="CE143" s="466"/>
      <c r="CF143" s="466"/>
      <c r="CG143" s="466"/>
      <c r="CH143" s="466"/>
      <c r="CI143" s="466"/>
      <c r="CJ143" s="466"/>
      <c r="CK143" s="466"/>
      <c r="CL143" s="466"/>
      <c r="CM143" s="466"/>
      <c r="CN143" s="466"/>
      <c r="CO143" s="466"/>
      <c r="CP143" s="466"/>
      <c r="CQ143" s="466"/>
      <c r="CR143" s="466"/>
      <c r="CS143" s="466"/>
      <c r="CT143" s="466"/>
      <c r="CU143" s="466"/>
      <c r="CV143" s="466"/>
      <c r="CW143" s="466"/>
      <c r="CX143" s="466"/>
      <c r="CY143" s="466"/>
      <c r="CZ143" s="466"/>
      <c r="DA143" s="466"/>
      <c r="DB143" s="466"/>
      <c r="DC143" s="466"/>
      <c r="DD143" s="466"/>
      <c r="DE143" s="466"/>
      <c r="DF143" s="466"/>
      <c r="DG143" s="466"/>
      <c r="FE143" s="466"/>
      <c r="FF143" s="466"/>
      <c r="FG143" s="466"/>
      <c r="FH143" s="466"/>
      <c r="FI143" s="466"/>
      <c r="FJ143" s="466"/>
      <c r="FK143" s="466"/>
      <c r="FL143" s="466"/>
      <c r="FM143" s="466"/>
      <c r="FN143" s="466"/>
      <c r="FO143" s="466"/>
      <c r="FP143" s="466"/>
      <c r="FQ143" s="466"/>
      <c r="FR143" s="466"/>
      <c r="FS143" s="466"/>
      <c r="FT143" s="466"/>
      <c r="FU143" s="466"/>
      <c r="FV143" s="466"/>
      <c r="FW143" s="466"/>
      <c r="FX143" s="466"/>
      <c r="FY143" s="466"/>
      <c r="FZ143" s="466"/>
      <c r="GA143" s="466"/>
      <c r="GB143" s="466"/>
      <c r="GC143" s="466"/>
      <c r="GD143" s="466"/>
      <c r="GE143" s="466"/>
      <c r="GF143" s="466"/>
      <c r="GG143" s="466"/>
      <c r="GH143" s="466"/>
      <c r="GI143" s="466"/>
      <c r="GJ143" s="466"/>
      <c r="GK143" s="466"/>
      <c r="GL143" s="466"/>
      <c r="GM143" s="466"/>
      <c r="GN143" s="466"/>
      <c r="GO143" s="1564"/>
      <c r="GP143" s="1564"/>
      <c r="GQ143" s="1564"/>
      <c r="GR143" s="1564"/>
      <c r="GS143" s="1565"/>
      <c r="GT143" s="1565"/>
      <c r="GU143" s="1526"/>
      <c r="GV143" s="466"/>
      <c r="GW143" s="466"/>
      <c r="GX143" s="466"/>
      <c r="GY143" s="466"/>
      <c r="GZ143" s="466"/>
      <c r="HA143" s="466"/>
      <c r="HB143" s="466"/>
      <c r="HC143" s="466"/>
      <c r="HD143" s="466"/>
      <c r="HE143" s="844"/>
      <c r="HF143" s="844"/>
      <c r="HG143" s="844"/>
      <c r="HH143" s="844"/>
      <c r="HI143" s="844"/>
      <c r="HJ143" s="844"/>
      <c r="HK143" s="844"/>
      <c r="HL143" s="844"/>
      <c r="HM143" s="844"/>
      <c r="HN143" s="844"/>
      <c r="HP143" s="466"/>
      <c r="HQ143" s="466"/>
      <c r="HR143" s="466"/>
      <c r="HS143" s="415"/>
      <c r="HT143" s="2292"/>
    </row>
    <row r="144" spans="3:228">
      <c r="C144" s="466"/>
      <c r="D144" s="466"/>
      <c r="E144" s="3850"/>
      <c r="F144" s="516"/>
      <c r="G144" s="513"/>
      <c r="H144" s="525"/>
      <c r="I144" s="525"/>
      <c r="J144" s="523"/>
      <c r="K144" s="519"/>
      <c r="L144" s="466"/>
      <c r="M144" s="516"/>
      <c r="N144" s="513"/>
      <c r="O144" s="513"/>
      <c r="P144" s="510"/>
      <c r="Q144" s="510"/>
      <c r="R144" s="510"/>
      <c r="S144" s="510"/>
      <c r="T144" s="510"/>
      <c r="U144" s="510"/>
      <c r="V144" s="510"/>
      <c r="W144" s="510"/>
      <c r="X144" s="510"/>
      <c r="Y144" s="510"/>
      <c r="Z144" s="510"/>
      <c r="AA144" s="510"/>
      <c r="AB144" s="510"/>
      <c r="AC144" s="510"/>
      <c r="AD144" s="510"/>
      <c r="AE144" s="510"/>
      <c r="AF144" s="510"/>
      <c r="AG144" s="510"/>
      <c r="AH144" s="510"/>
      <c r="AI144" s="510"/>
      <c r="AJ144" s="510"/>
      <c r="AK144" s="510"/>
      <c r="AL144" s="510"/>
      <c r="AM144" s="510"/>
      <c r="AN144" s="510"/>
      <c r="AO144" s="510"/>
      <c r="AP144" s="510"/>
      <c r="AQ144" s="510"/>
      <c r="AR144" s="510"/>
      <c r="AS144" s="510"/>
      <c r="AT144" s="510"/>
      <c r="AU144" s="510"/>
      <c r="AV144" s="510"/>
      <c r="AW144" s="510"/>
      <c r="AX144" s="510"/>
      <c r="AY144" s="510"/>
      <c r="AZ144" s="466"/>
      <c r="BA144" s="466"/>
      <c r="BB144" s="466"/>
      <c r="BC144" s="466"/>
      <c r="BD144" s="466"/>
      <c r="BE144" s="466"/>
      <c r="BF144" s="466"/>
      <c r="BG144" s="466"/>
      <c r="BH144" s="466"/>
      <c r="BI144" s="466"/>
      <c r="BJ144" s="466"/>
      <c r="BK144" s="466"/>
      <c r="BL144" s="466"/>
      <c r="BM144" s="518"/>
      <c r="BN144" s="524"/>
      <c r="BO144" s="518"/>
      <c r="BP144" s="518"/>
      <c r="BQ144" s="518"/>
      <c r="BR144" s="466"/>
      <c r="BS144" s="466"/>
      <c r="BT144" s="466"/>
      <c r="BU144" s="466"/>
      <c r="BV144" s="466"/>
      <c r="BW144" s="466"/>
      <c r="BX144" s="466"/>
      <c r="BY144" s="466"/>
      <c r="BZ144" s="466"/>
      <c r="CA144" s="466"/>
      <c r="CB144" s="466"/>
      <c r="CC144" s="466"/>
      <c r="CD144" s="466"/>
      <c r="CE144" s="466"/>
      <c r="CF144" s="466"/>
      <c r="CG144" s="466"/>
      <c r="CH144" s="466"/>
      <c r="CI144" s="466"/>
      <c r="CJ144" s="466"/>
      <c r="CK144" s="466"/>
      <c r="CL144" s="466"/>
      <c r="CM144" s="466"/>
      <c r="CN144" s="466"/>
      <c r="CO144" s="466"/>
      <c r="CP144" s="466"/>
      <c r="CQ144" s="466"/>
      <c r="CR144" s="466"/>
      <c r="CS144" s="466"/>
      <c r="CT144" s="466"/>
      <c r="CU144" s="466"/>
      <c r="CV144" s="466"/>
      <c r="CW144" s="466"/>
      <c r="CX144" s="466"/>
      <c r="CY144" s="466"/>
      <c r="CZ144" s="466"/>
      <c r="DA144" s="466"/>
      <c r="DB144" s="466"/>
      <c r="DC144" s="466"/>
      <c r="DD144" s="466"/>
      <c r="DE144" s="466"/>
      <c r="DF144" s="466"/>
      <c r="DG144" s="466"/>
      <c r="FE144" s="466"/>
      <c r="FF144" s="466"/>
      <c r="FG144" s="466"/>
      <c r="FH144" s="466"/>
      <c r="FI144" s="466"/>
      <c r="FJ144" s="466"/>
      <c r="FK144" s="466"/>
      <c r="FL144" s="466"/>
      <c r="FM144" s="466"/>
      <c r="FN144" s="466"/>
      <c r="FO144" s="466"/>
      <c r="FP144" s="466"/>
      <c r="FQ144" s="466"/>
      <c r="FR144" s="466"/>
      <c r="FS144" s="466"/>
      <c r="FT144" s="466"/>
      <c r="FU144" s="466"/>
      <c r="FV144" s="466"/>
      <c r="FW144" s="466"/>
      <c r="FX144" s="466"/>
      <c r="FY144" s="466"/>
      <c r="FZ144" s="466"/>
      <c r="GA144" s="466"/>
      <c r="GB144" s="466"/>
      <c r="GC144" s="466"/>
      <c r="GD144" s="466"/>
      <c r="GE144" s="466"/>
      <c r="GF144" s="466"/>
      <c r="GG144" s="466"/>
      <c r="GH144" s="466"/>
      <c r="GI144" s="466"/>
      <c r="GJ144" s="466"/>
      <c r="GK144" s="466"/>
      <c r="GL144" s="466"/>
      <c r="GM144" s="466"/>
      <c r="GN144" s="466"/>
      <c r="GO144" s="1564"/>
      <c r="GP144" s="1564"/>
      <c r="GQ144" s="1564"/>
      <c r="GR144" s="1564"/>
      <c r="GS144" s="1565"/>
      <c r="GT144" s="1565"/>
      <c r="GU144" s="1526"/>
      <c r="GV144" s="466"/>
      <c r="GW144" s="466"/>
      <c r="GX144" s="466"/>
      <c r="GY144" s="466"/>
      <c r="GZ144" s="466"/>
      <c r="HA144" s="466"/>
      <c r="HB144" s="466"/>
      <c r="HC144" s="466"/>
      <c r="HD144" s="466"/>
      <c r="HE144" s="844"/>
      <c r="HF144" s="844"/>
      <c r="HG144" s="844"/>
      <c r="HH144" s="844"/>
      <c r="HI144" s="844"/>
      <c r="HJ144" s="844"/>
      <c r="HK144" s="844"/>
      <c r="HL144" s="844"/>
      <c r="HM144" s="844"/>
      <c r="HN144" s="844"/>
      <c r="HP144" s="466"/>
      <c r="HQ144" s="466"/>
      <c r="HR144" s="466"/>
      <c r="HS144" s="415"/>
      <c r="HT144" s="2292"/>
    </row>
    <row r="145" spans="3:228">
      <c r="C145" s="466"/>
      <c r="D145" s="466"/>
      <c r="E145" s="3850"/>
      <c r="F145" s="516"/>
      <c r="G145" s="513"/>
      <c r="H145" s="525"/>
      <c r="I145" s="525"/>
      <c r="J145" s="523"/>
      <c r="K145" s="519"/>
      <c r="L145" s="466"/>
      <c r="M145" s="516"/>
      <c r="N145" s="513"/>
      <c r="O145" s="513"/>
      <c r="P145" s="510"/>
      <c r="Q145" s="510"/>
      <c r="R145" s="510"/>
      <c r="S145" s="510"/>
      <c r="T145" s="510"/>
      <c r="U145" s="510"/>
      <c r="V145" s="510"/>
      <c r="W145" s="510"/>
      <c r="X145" s="510"/>
      <c r="Y145" s="510"/>
      <c r="Z145" s="510"/>
      <c r="AA145" s="510"/>
      <c r="AB145" s="510"/>
      <c r="AC145" s="510"/>
      <c r="AD145" s="510"/>
      <c r="AE145" s="510"/>
      <c r="AF145" s="510"/>
      <c r="AG145" s="510"/>
      <c r="AH145" s="510"/>
      <c r="AI145" s="510"/>
      <c r="AJ145" s="510"/>
      <c r="AK145" s="510"/>
      <c r="AL145" s="510"/>
      <c r="AM145" s="510"/>
      <c r="AN145" s="510"/>
      <c r="AO145" s="510"/>
      <c r="AP145" s="510"/>
      <c r="AQ145" s="510"/>
      <c r="AR145" s="510"/>
      <c r="AS145" s="510"/>
      <c r="AT145" s="510"/>
      <c r="AU145" s="510"/>
      <c r="AV145" s="510"/>
      <c r="AW145" s="510"/>
      <c r="AX145" s="510"/>
      <c r="AY145" s="510"/>
      <c r="AZ145" s="466"/>
      <c r="BA145" s="466"/>
      <c r="BB145" s="466"/>
      <c r="BC145" s="466"/>
      <c r="BD145" s="466"/>
      <c r="BE145" s="466"/>
      <c r="BF145" s="466"/>
      <c r="BG145" s="466"/>
      <c r="BH145" s="466"/>
      <c r="BI145" s="466"/>
      <c r="BJ145" s="466"/>
      <c r="BK145" s="466"/>
      <c r="BL145" s="466"/>
      <c r="BM145" s="518"/>
      <c r="BN145" s="524"/>
      <c r="BO145" s="518"/>
      <c r="BP145" s="518"/>
      <c r="BQ145" s="518"/>
      <c r="BR145" s="466"/>
      <c r="BS145" s="466"/>
      <c r="BT145" s="466"/>
      <c r="BU145" s="466"/>
      <c r="BV145" s="466"/>
      <c r="BW145" s="466"/>
      <c r="BX145" s="466"/>
      <c r="BY145" s="466"/>
      <c r="BZ145" s="466"/>
      <c r="CA145" s="466"/>
      <c r="CB145" s="466"/>
      <c r="CC145" s="466"/>
      <c r="CD145" s="466"/>
      <c r="CE145" s="466"/>
      <c r="CF145" s="466"/>
      <c r="CG145" s="466"/>
      <c r="CH145" s="466"/>
      <c r="CI145" s="466"/>
      <c r="CJ145" s="466"/>
      <c r="CK145" s="466"/>
      <c r="CL145" s="466"/>
      <c r="CM145" s="466"/>
      <c r="CN145" s="466"/>
      <c r="CO145" s="466"/>
      <c r="CP145" s="466"/>
      <c r="CQ145" s="466"/>
      <c r="CR145" s="466"/>
      <c r="CS145" s="466"/>
      <c r="CT145" s="466"/>
      <c r="CU145" s="466"/>
      <c r="CV145" s="466"/>
      <c r="CW145" s="466"/>
      <c r="CX145" s="466"/>
      <c r="CY145" s="466"/>
      <c r="CZ145" s="466"/>
      <c r="DA145" s="466"/>
      <c r="DB145" s="466"/>
      <c r="DC145" s="466"/>
      <c r="DD145" s="466"/>
      <c r="DE145" s="466"/>
      <c r="DF145" s="466"/>
      <c r="DG145" s="466"/>
      <c r="FE145" s="466"/>
      <c r="FF145" s="466"/>
      <c r="FG145" s="466"/>
      <c r="FH145" s="466"/>
      <c r="FI145" s="466"/>
      <c r="FJ145" s="466"/>
      <c r="FK145" s="466"/>
      <c r="FL145" s="466"/>
      <c r="FM145" s="466"/>
      <c r="FN145" s="466"/>
      <c r="FO145" s="466"/>
      <c r="FP145" s="466"/>
      <c r="FQ145" s="466"/>
      <c r="FR145" s="466"/>
      <c r="FS145" s="466"/>
      <c r="FT145" s="466"/>
      <c r="FU145" s="466"/>
      <c r="FV145" s="466"/>
      <c r="FW145" s="466"/>
      <c r="FX145" s="466"/>
      <c r="FY145" s="466"/>
      <c r="FZ145" s="466"/>
      <c r="GA145" s="466"/>
      <c r="GB145" s="466"/>
      <c r="GC145" s="466"/>
      <c r="GD145" s="466"/>
      <c r="GE145" s="466"/>
      <c r="GF145" s="466"/>
      <c r="GG145" s="466"/>
      <c r="GH145" s="466"/>
      <c r="GI145" s="466"/>
      <c r="GJ145" s="466"/>
      <c r="GK145" s="466"/>
      <c r="GL145" s="466"/>
      <c r="GM145" s="466"/>
      <c r="GN145" s="466"/>
      <c r="GO145" s="1564"/>
      <c r="GP145" s="1564"/>
      <c r="GQ145" s="1564"/>
      <c r="GR145" s="1564"/>
      <c r="GS145" s="1565"/>
      <c r="GT145" s="1565"/>
      <c r="GU145" s="1526"/>
      <c r="GV145" s="466"/>
      <c r="GW145" s="466"/>
      <c r="GX145" s="466"/>
      <c r="GY145" s="466"/>
      <c r="GZ145" s="466"/>
      <c r="HA145" s="466"/>
      <c r="HB145" s="466"/>
      <c r="HC145" s="466"/>
      <c r="HD145" s="466"/>
      <c r="HE145" s="844"/>
      <c r="HF145" s="844"/>
      <c r="HG145" s="844"/>
      <c r="HH145" s="844"/>
      <c r="HI145" s="844"/>
      <c r="HJ145" s="844"/>
      <c r="HK145" s="844"/>
      <c r="HL145" s="844"/>
      <c r="HM145" s="844"/>
      <c r="HN145" s="844"/>
      <c r="HP145" s="466"/>
      <c r="HQ145" s="466"/>
      <c r="HR145" s="466"/>
      <c r="HS145" s="415"/>
      <c r="HT145" s="2292"/>
    </row>
    <row r="146" spans="3:228">
      <c r="C146" s="466"/>
      <c r="D146" s="466"/>
      <c r="E146" s="3850"/>
      <c r="F146" s="516"/>
      <c r="G146" s="513"/>
      <c r="H146" s="525"/>
      <c r="I146" s="525"/>
      <c r="J146" s="523"/>
      <c r="K146" s="519"/>
      <c r="L146" s="466"/>
      <c r="M146" s="516"/>
      <c r="N146" s="513"/>
      <c r="O146" s="513"/>
      <c r="P146" s="510"/>
      <c r="Q146" s="510"/>
      <c r="R146" s="510"/>
      <c r="S146" s="510"/>
      <c r="T146" s="510"/>
      <c r="U146" s="510"/>
      <c r="V146" s="510"/>
      <c r="W146" s="510"/>
      <c r="X146" s="510"/>
      <c r="Y146" s="510"/>
      <c r="Z146" s="510"/>
      <c r="AA146" s="510"/>
      <c r="AB146" s="510"/>
      <c r="AC146" s="510"/>
      <c r="AD146" s="510"/>
      <c r="AE146" s="510"/>
      <c r="AF146" s="510"/>
      <c r="AG146" s="510"/>
      <c r="AH146" s="510"/>
      <c r="AI146" s="510"/>
      <c r="AJ146" s="510"/>
      <c r="AK146" s="510"/>
      <c r="AL146" s="510"/>
      <c r="AM146" s="510"/>
      <c r="AN146" s="510"/>
      <c r="AO146" s="510"/>
      <c r="AP146" s="510"/>
      <c r="AQ146" s="510"/>
      <c r="AR146" s="510"/>
      <c r="AS146" s="510"/>
      <c r="AT146" s="510"/>
      <c r="AU146" s="510"/>
      <c r="AV146" s="510"/>
      <c r="AW146" s="510"/>
      <c r="AX146" s="510"/>
      <c r="AY146" s="510"/>
      <c r="AZ146" s="466"/>
      <c r="BA146" s="466"/>
      <c r="BB146" s="466"/>
      <c r="BC146" s="466"/>
      <c r="BD146" s="466"/>
      <c r="BE146" s="466"/>
      <c r="BF146" s="466"/>
      <c r="BG146" s="466"/>
      <c r="BH146" s="466"/>
      <c r="BI146" s="466"/>
      <c r="BJ146" s="466"/>
      <c r="BK146" s="466"/>
      <c r="BL146" s="466"/>
      <c r="BM146" s="518"/>
      <c r="BN146" s="524"/>
      <c r="BO146" s="518"/>
      <c r="BP146" s="518"/>
      <c r="BQ146" s="518"/>
      <c r="BR146" s="466"/>
      <c r="BS146" s="466"/>
      <c r="BT146" s="466"/>
      <c r="BU146" s="466"/>
      <c r="BV146" s="466"/>
      <c r="BW146" s="466"/>
      <c r="BX146" s="466"/>
      <c r="BY146" s="466"/>
      <c r="BZ146" s="466"/>
      <c r="CA146" s="466"/>
      <c r="CB146" s="466"/>
      <c r="CC146" s="466"/>
      <c r="CD146" s="466"/>
      <c r="CE146" s="466"/>
      <c r="CF146" s="466"/>
      <c r="CG146" s="466"/>
      <c r="CH146" s="466"/>
      <c r="CI146" s="466"/>
      <c r="CJ146" s="466"/>
      <c r="CK146" s="466"/>
      <c r="CL146" s="466"/>
      <c r="CM146" s="466"/>
      <c r="CN146" s="466"/>
      <c r="CO146" s="466"/>
      <c r="CP146" s="466"/>
      <c r="CQ146" s="466"/>
      <c r="CR146" s="466"/>
      <c r="CS146" s="466"/>
      <c r="CT146" s="466"/>
      <c r="CU146" s="466"/>
      <c r="CV146" s="466"/>
      <c r="CW146" s="466"/>
      <c r="CX146" s="466"/>
      <c r="CY146" s="466"/>
      <c r="CZ146" s="466"/>
      <c r="DA146" s="466"/>
      <c r="DB146" s="466"/>
      <c r="DC146" s="466"/>
      <c r="DD146" s="466"/>
      <c r="DE146" s="466"/>
      <c r="DF146" s="466"/>
      <c r="DG146" s="466"/>
      <c r="FE146" s="466"/>
      <c r="FF146" s="466"/>
      <c r="FG146" s="466"/>
      <c r="FH146" s="466"/>
      <c r="FI146" s="466"/>
      <c r="FJ146" s="466"/>
      <c r="FK146" s="466"/>
      <c r="FL146" s="466"/>
      <c r="FM146" s="466"/>
      <c r="FN146" s="466"/>
      <c r="FO146" s="466"/>
      <c r="FP146" s="466"/>
      <c r="FQ146" s="466"/>
      <c r="FR146" s="466"/>
      <c r="FS146" s="466"/>
      <c r="FT146" s="466"/>
      <c r="FU146" s="466"/>
      <c r="FV146" s="466"/>
      <c r="FW146" s="466"/>
      <c r="FX146" s="466"/>
      <c r="FY146" s="466"/>
      <c r="FZ146" s="466"/>
      <c r="GA146" s="466"/>
      <c r="GB146" s="466"/>
      <c r="GC146" s="466"/>
      <c r="GD146" s="466"/>
      <c r="GE146" s="466"/>
      <c r="GF146" s="466"/>
      <c r="GG146" s="466"/>
      <c r="GH146" s="466"/>
      <c r="GI146" s="466"/>
      <c r="GJ146" s="466"/>
      <c r="GK146" s="466"/>
      <c r="GL146" s="466"/>
      <c r="GM146" s="466"/>
      <c r="GN146" s="466"/>
      <c r="GO146" s="1564"/>
      <c r="GP146" s="1564"/>
      <c r="GQ146" s="1564"/>
      <c r="GR146" s="1564"/>
      <c r="GS146" s="1565"/>
      <c r="GT146" s="1565"/>
      <c r="GU146" s="1526"/>
      <c r="GV146" s="466"/>
      <c r="GW146" s="466"/>
      <c r="GX146" s="466"/>
      <c r="GY146" s="466"/>
      <c r="GZ146" s="466"/>
      <c r="HA146" s="466"/>
      <c r="HB146" s="466"/>
      <c r="HC146" s="466"/>
      <c r="HD146" s="466"/>
      <c r="HE146" s="844"/>
      <c r="HF146" s="844"/>
      <c r="HG146" s="844"/>
      <c r="HH146" s="844"/>
      <c r="HI146" s="844"/>
      <c r="HJ146" s="844"/>
      <c r="HK146" s="844"/>
      <c r="HL146" s="844"/>
      <c r="HM146" s="844"/>
      <c r="HN146" s="844"/>
      <c r="HP146" s="466"/>
      <c r="HQ146" s="466"/>
      <c r="HR146" s="466"/>
      <c r="HS146" s="415"/>
      <c r="HT146" s="2292"/>
    </row>
    <row r="147" spans="3:228">
      <c r="C147" s="466"/>
      <c r="D147" s="466"/>
      <c r="E147" s="3850"/>
      <c r="F147" s="516"/>
      <c r="G147" s="513"/>
      <c r="H147" s="525"/>
      <c r="I147" s="525"/>
      <c r="J147" s="523"/>
      <c r="K147" s="519"/>
      <c r="L147" s="466"/>
      <c r="M147" s="516"/>
      <c r="N147" s="513"/>
      <c r="O147" s="513"/>
      <c r="P147" s="510"/>
      <c r="Q147" s="510"/>
      <c r="R147" s="510"/>
      <c r="S147" s="510"/>
      <c r="T147" s="510"/>
      <c r="U147" s="510"/>
      <c r="V147" s="510"/>
      <c r="W147" s="510"/>
      <c r="X147" s="510"/>
      <c r="Y147" s="510"/>
      <c r="Z147" s="510"/>
      <c r="AA147" s="510"/>
      <c r="AB147" s="510"/>
      <c r="AC147" s="510"/>
      <c r="AD147" s="510"/>
      <c r="AE147" s="510"/>
      <c r="AF147" s="510"/>
      <c r="AG147" s="510"/>
      <c r="AH147" s="510"/>
      <c r="AI147" s="510"/>
      <c r="AJ147" s="510"/>
      <c r="AK147" s="510"/>
      <c r="AL147" s="510"/>
      <c r="AM147" s="510"/>
      <c r="AN147" s="510"/>
      <c r="AO147" s="510"/>
      <c r="AP147" s="510"/>
      <c r="AQ147" s="510"/>
      <c r="AR147" s="510"/>
      <c r="AS147" s="510"/>
      <c r="AT147" s="510"/>
      <c r="AU147" s="510"/>
      <c r="AV147" s="510"/>
      <c r="AW147" s="510"/>
      <c r="AX147" s="510"/>
      <c r="AY147" s="510"/>
      <c r="AZ147" s="466"/>
      <c r="BA147" s="466"/>
      <c r="BB147" s="466"/>
      <c r="BC147" s="466"/>
      <c r="BD147" s="466"/>
      <c r="BE147" s="466"/>
      <c r="BF147" s="466"/>
      <c r="BG147" s="466"/>
      <c r="BH147" s="466"/>
      <c r="BI147" s="466"/>
      <c r="BJ147" s="466"/>
      <c r="BK147" s="466"/>
      <c r="BL147" s="466"/>
      <c r="BM147" s="518"/>
      <c r="BN147" s="524"/>
      <c r="BO147" s="518"/>
      <c r="BP147" s="518"/>
      <c r="BQ147" s="518"/>
      <c r="BR147" s="466"/>
      <c r="BS147" s="466"/>
      <c r="BT147" s="466"/>
      <c r="BU147" s="466"/>
      <c r="BV147" s="466"/>
      <c r="BW147" s="466"/>
      <c r="BX147" s="466"/>
      <c r="BY147" s="466"/>
      <c r="BZ147" s="466"/>
      <c r="CA147" s="466"/>
      <c r="CB147" s="466"/>
      <c r="CC147" s="466"/>
      <c r="CD147" s="466"/>
      <c r="CE147" s="466"/>
      <c r="CF147" s="466"/>
      <c r="CG147" s="466"/>
      <c r="CH147" s="466"/>
      <c r="CI147" s="466"/>
      <c r="CJ147" s="466"/>
      <c r="CK147" s="466"/>
      <c r="CL147" s="466"/>
      <c r="CM147" s="466"/>
      <c r="CN147" s="466"/>
      <c r="CO147" s="466"/>
      <c r="CP147" s="466"/>
      <c r="CQ147" s="466"/>
      <c r="CR147" s="466"/>
      <c r="CS147" s="466"/>
      <c r="CT147" s="466"/>
      <c r="CU147" s="466"/>
      <c r="CV147" s="466"/>
      <c r="CW147" s="466"/>
      <c r="CX147" s="466"/>
      <c r="CY147" s="466"/>
      <c r="CZ147" s="466"/>
      <c r="DA147" s="466"/>
      <c r="DB147" s="466"/>
      <c r="DC147" s="466"/>
      <c r="DD147" s="466"/>
      <c r="DE147" s="466"/>
      <c r="DF147" s="466"/>
      <c r="DG147" s="466"/>
      <c r="FE147" s="466"/>
      <c r="FF147" s="466"/>
      <c r="FG147" s="466"/>
      <c r="FH147" s="466"/>
      <c r="FI147" s="466"/>
      <c r="FJ147" s="466"/>
      <c r="FK147" s="466"/>
      <c r="FL147" s="466"/>
      <c r="FM147" s="466"/>
      <c r="FN147" s="466"/>
      <c r="FO147" s="466"/>
      <c r="FP147" s="466"/>
      <c r="FQ147" s="466"/>
      <c r="FR147" s="466"/>
      <c r="FS147" s="466"/>
      <c r="FT147" s="466"/>
      <c r="FU147" s="466"/>
      <c r="FV147" s="466"/>
      <c r="FW147" s="466"/>
      <c r="FX147" s="466"/>
      <c r="FY147" s="466"/>
      <c r="FZ147" s="466"/>
      <c r="GA147" s="466"/>
      <c r="GB147" s="466"/>
      <c r="GC147" s="466"/>
      <c r="GD147" s="466"/>
      <c r="GE147" s="466"/>
      <c r="GF147" s="466"/>
      <c r="GG147" s="466"/>
      <c r="GH147" s="466"/>
      <c r="GI147" s="466"/>
      <c r="GJ147" s="466"/>
      <c r="GK147" s="466"/>
      <c r="GL147" s="466"/>
      <c r="GM147" s="466"/>
      <c r="GN147" s="466"/>
      <c r="GO147" s="1564"/>
      <c r="GP147" s="1564"/>
      <c r="GQ147" s="1564"/>
      <c r="GR147" s="1564"/>
      <c r="GS147" s="1565"/>
      <c r="GT147" s="1565"/>
      <c r="GU147" s="1526"/>
      <c r="GV147" s="466"/>
      <c r="GW147" s="466"/>
      <c r="GX147" s="466"/>
      <c r="GY147" s="466"/>
      <c r="GZ147" s="466"/>
      <c r="HA147" s="466"/>
      <c r="HB147" s="466"/>
      <c r="HC147" s="466"/>
      <c r="HD147" s="466"/>
      <c r="HE147" s="844"/>
      <c r="HF147" s="844"/>
      <c r="HG147" s="844"/>
      <c r="HH147" s="844"/>
      <c r="HI147" s="844"/>
      <c r="HJ147" s="844"/>
      <c r="HK147" s="844"/>
      <c r="HL147" s="844"/>
      <c r="HM147" s="844"/>
      <c r="HN147" s="844"/>
      <c r="HP147" s="466"/>
      <c r="HQ147" s="466"/>
      <c r="HR147" s="466"/>
      <c r="HS147" s="415"/>
      <c r="HT147" s="2292"/>
    </row>
    <row r="148" spans="3:228">
      <c r="C148" s="466"/>
      <c r="D148" s="466"/>
      <c r="E148" s="3850"/>
      <c r="F148" s="516"/>
      <c r="G148" s="513"/>
      <c r="H148" s="525"/>
      <c r="I148" s="525"/>
      <c r="J148" s="523"/>
      <c r="K148" s="519"/>
      <c r="L148" s="466"/>
      <c r="M148" s="516"/>
      <c r="N148" s="513"/>
      <c r="O148" s="513"/>
      <c r="P148" s="510"/>
      <c r="Q148" s="510"/>
      <c r="R148" s="510"/>
      <c r="S148" s="510"/>
      <c r="T148" s="510"/>
      <c r="U148" s="510"/>
      <c r="V148" s="510"/>
      <c r="W148" s="510"/>
      <c r="X148" s="510"/>
      <c r="Y148" s="510"/>
      <c r="Z148" s="510"/>
      <c r="AA148" s="510"/>
      <c r="AB148" s="510"/>
      <c r="AC148" s="510"/>
      <c r="AD148" s="510"/>
      <c r="AE148" s="510"/>
      <c r="AF148" s="510"/>
      <c r="AG148" s="510"/>
      <c r="AH148" s="510"/>
      <c r="AI148" s="510"/>
      <c r="AJ148" s="510"/>
      <c r="AK148" s="510"/>
      <c r="AL148" s="510"/>
      <c r="AM148" s="510"/>
      <c r="AN148" s="510"/>
      <c r="AO148" s="510"/>
      <c r="AP148" s="510"/>
      <c r="AQ148" s="510"/>
      <c r="AR148" s="510"/>
      <c r="AS148" s="510"/>
      <c r="AT148" s="510"/>
      <c r="AU148" s="510"/>
      <c r="AV148" s="510"/>
      <c r="AW148" s="510"/>
      <c r="AX148" s="510"/>
      <c r="AY148" s="510"/>
      <c r="AZ148" s="466"/>
      <c r="BA148" s="466"/>
      <c r="BB148" s="466"/>
      <c r="BC148" s="466"/>
      <c r="BD148" s="466"/>
      <c r="BE148" s="466"/>
      <c r="BF148" s="466"/>
      <c r="BG148" s="466"/>
      <c r="BH148" s="466"/>
      <c r="BI148" s="466"/>
      <c r="BJ148" s="466"/>
      <c r="BK148" s="466"/>
      <c r="BL148" s="466"/>
      <c r="BM148" s="518"/>
      <c r="BN148" s="524"/>
      <c r="BO148" s="518"/>
      <c r="BP148" s="518"/>
      <c r="BQ148" s="518"/>
      <c r="BR148" s="466"/>
      <c r="BS148" s="466"/>
      <c r="BT148" s="466"/>
      <c r="BU148" s="466"/>
      <c r="BV148" s="466"/>
      <c r="BW148" s="466"/>
      <c r="BX148" s="466"/>
      <c r="BY148" s="466"/>
      <c r="BZ148" s="466"/>
      <c r="CA148" s="466"/>
      <c r="CB148" s="466"/>
      <c r="CC148" s="466"/>
      <c r="CD148" s="466"/>
      <c r="CE148" s="466"/>
      <c r="CF148" s="466"/>
      <c r="CG148" s="466"/>
      <c r="CH148" s="466"/>
      <c r="CI148" s="466"/>
      <c r="CJ148" s="466"/>
      <c r="CK148" s="466"/>
      <c r="CL148" s="466"/>
      <c r="CM148" s="466"/>
      <c r="CN148" s="466"/>
      <c r="CO148" s="466"/>
      <c r="CP148" s="466"/>
      <c r="CQ148" s="466"/>
      <c r="CR148" s="466"/>
      <c r="CS148" s="466"/>
      <c r="CT148" s="466"/>
      <c r="CU148" s="466"/>
      <c r="CV148" s="466"/>
      <c r="CW148" s="466"/>
      <c r="CX148" s="466"/>
      <c r="CY148" s="466"/>
      <c r="CZ148" s="466"/>
      <c r="DA148" s="466"/>
      <c r="DB148" s="466"/>
      <c r="DC148" s="466"/>
      <c r="DD148" s="466"/>
      <c r="DE148" s="466"/>
      <c r="DF148" s="466"/>
      <c r="DG148" s="466"/>
      <c r="FE148" s="466"/>
      <c r="FF148" s="466"/>
      <c r="FG148" s="466"/>
      <c r="FH148" s="466"/>
      <c r="FI148" s="466"/>
      <c r="FJ148" s="466"/>
      <c r="FK148" s="466"/>
      <c r="FL148" s="466"/>
      <c r="FM148" s="466"/>
      <c r="FN148" s="466"/>
      <c r="FO148" s="466"/>
      <c r="FP148" s="466"/>
      <c r="FQ148" s="466"/>
      <c r="FR148" s="466"/>
      <c r="FS148" s="466"/>
      <c r="FT148" s="466"/>
      <c r="FU148" s="466"/>
      <c r="FV148" s="466"/>
      <c r="FW148" s="466"/>
      <c r="FX148" s="466"/>
      <c r="FY148" s="466"/>
      <c r="FZ148" s="466"/>
      <c r="GA148" s="466"/>
      <c r="GB148" s="466"/>
      <c r="GC148" s="466"/>
      <c r="GD148" s="466"/>
      <c r="GE148" s="466"/>
      <c r="GF148" s="466"/>
      <c r="GG148" s="466"/>
      <c r="GH148" s="466"/>
      <c r="GI148" s="466"/>
      <c r="GJ148" s="466"/>
      <c r="GK148" s="466"/>
      <c r="GL148" s="466"/>
      <c r="GM148" s="466"/>
      <c r="GN148" s="466"/>
      <c r="GO148" s="1564"/>
      <c r="GP148" s="1564"/>
      <c r="GQ148" s="1564"/>
      <c r="GR148" s="1564"/>
      <c r="GS148" s="1565"/>
      <c r="GT148" s="1565"/>
      <c r="GU148" s="1526"/>
      <c r="GV148" s="466"/>
      <c r="GW148" s="466"/>
      <c r="GX148" s="466"/>
      <c r="GY148" s="466"/>
      <c r="GZ148" s="466"/>
      <c r="HA148" s="466"/>
      <c r="HB148" s="466"/>
      <c r="HC148" s="466"/>
      <c r="HD148" s="466"/>
      <c r="HE148" s="844"/>
      <c r="HF148" s="844"/>
      <c r="HG148" s="844"/>
      <c r="HH148" s="844"/>
      <c r="HI148" s="844"/>
      <c r="HJ148" s="844"/>
      <c r="HK148" s="844"/>
      <c r="HL148" s="844"/>
      <c r="HM148" s="844"/>
      <c r="HN148" s="844"/>
      <c r="HP148" s="466"/>
      <c r="HQ148" s="466"/>
      <c r="HR148" s="466"/>
      <c r="HS148" s="415"/>
      <c r="HT148" s="2292"/>
    </row>
    <row r="149" spans="3:228">
      <c r="C149" s="466"/>
      <c r="D149" s="466"/>
      <c r="E149" s="3850"/>
      <c r="F149" s="516"/>
      <c r="G149" s="513"/>
      <c r="H149" s="525"/>
      <c r="I149" s="525"/>
      <c r="J149" s="523"/>
      <c r="K149" s="519"/>
      <c r="L149" s="466"/>
      <c r="M149" s="516"/>
      <c r="N149" s="513"/>
      <c r="O149" s="513"/>
      <c r="P149" s="510"/>
      <c r="Q149" s="510"/>
      <c r="R149" s="510"/>
      <c r="S149" s="510"/>
      <c r="T149" s="510"/>
      <c r="U149" s="510"/>
      <c r="V149" s="510"/>
      <c r="W149" s="510"/>
      <c r="X149" s="510"/>
      <c r="Y149" s="510"/>
      <c r="Z149" s="510"/>
      <c r="AA149" s="510"/>
      <c r="AB149" s="510"/>
      <c r="AC149" s="510"/>
      <c r="AD149" s="510"/>
      <c r="AE149" s="510"/>
      <c r="AF149" s="510"/>
      <c r="AG149" s="510"/>
      <c r="AH149" s="510"/>
      <c r="AI149" s="510"/>
      <c r="AJ149" s="510"/>
      <c r="AK149" s="510"/>
      <c r="AL149" s="510"/>
      <c r="AM149" s="510"/>
      <c r="AN149" s="510"/>
      <c r="AO149" s="510"/>
      <c r="AP149" s="510"/>
      <c r="AQ149" s="510"/>
      <c r="AR149" s="510"/>
      <c r="AS149" s="510"/>
      <c r="AT149" s="510"/>
      <c r="AU149" s="510"/>
      <c r="AV149" s="510"/>
      <c r="AW149" s="510"/>
      <c r="AX149" s="510"/>
      <c r="AY149" s="510"/>
      <c r="AZ149" s="466"/>
      <c r="BA149" s="466"/>
      <c r="BB149" s="466"/>
      <c r="BC149" s="466"/>
      <c r="BD149" s="466"/>
      <c r="BE149" s="466"/>
      <c r="BF149" s="466"/>
      <c r="BG149" s="466"/>
      <c r="BH149" s="466"/>
      <c r="BI149" s="466"/>
      <c r="BJ149" s="466"/>
      <c r="BK149" s="466"/>
      <c r="BL149" s="466"/>
      <c r="BM149" s="518"/>
      <c r="BN149" s="524"/>
      <c r="BO149" s="518"/>
      <c r="BP149" s="518"/>
      <c r="BQ149" s="518"/>
      <c r="BR149" s="466"/>
      <c r="BS149" s="466"/>
      <c r="BT149" s="466"/>
      <c r="BU149" s="466"/>
      <c r="BV149" s="466"/>
      <c r="BW149" s="466"/>
      <c r="BX149" s="466"/>
      <c r="BY149" s="466"/>
      <c r="BZ149" s="466"/>
      <c r="CA149" s="466"/>
      <c r="CB149" s="466"/>
      <c r="CC149" s="466"/>
      <c r="CD149" s="466"/>
      <c r="CE149" s="466"/>
      <c r="CF149" s="466"/>
      <c r="CG149" s="466"/>
      <c r="CH149" s="466"/>
      <c r="CI149" s="466"/>
      <c r="CJ149" s="466"/>
      <c r="CK149" s="466"/>
      <c r="CL149" s="466"/>
      <c r="CM149" s="466"/>
      <c r="CN149" s="466"/>
      <c r="CO149" s="466"/>
      <c r="CP149" s="466"/>
      <c r="CQ149" s="466"/>
      <c r="CR149" s="466"/>
      <c r="CS149" s="466"/>
      <c r="CT149" s="466"/>
      <c r="CU149" s="466"/>
      <c r="CV149" s="466"/>
      <c r="CW149" s="466"/>
      <c r="CX149" s="466"/>
      <c r="CY149" s="466"/>
      <c r="CZ149" s="466"/>
      <c r="DA149" s="466"/>
      <c r="DB149" s="466"/>
      <c r="DC149" s="466"/>
      <c r="DD149" s="466"/>
      <c r="DE149" s="466"/>
      <c r="DF149" s="466"/>
      <c r="DG149" s="466"/>
      <c r="FE149" s="466"/>
      <c r="FF149" s="466"/>
      <c r="FG149" s="466"/>
      <c r="FH149" s="466"/>
      <c r="FI149" s="466"/>
      <c r="FJ149" s="466"/>
      <c r="FK149" s="466"/>
      <c r="FL149" s="466"/>
      <c r="FM149" s="466"/>
      <c r="FN149" s="466"/>
      <c r="FO149" s="466"/>
      <c r="FP149" s="466"/>
      <c r="FQ149" s="466"/>
      <c r="FR149" s="466"/>
      <c r="FS149" s="466"/>
      <c r="FT149" s="466"/>
      <c r="FU149" s="466"/>
      <c r="FV149" s="466"/>
      <c r="FW149" s="466"/>
      <c r="FX149" s="466"/>
      <c r="FY149" s="466"/>
      <c r="FZ149" s="466"/>
      <c r="GA149" s="466"/>
      <c r="GB149" s="466"/>
      <c r="GC149" s="466"/>
      <c r="GD149" s="466"/>
      <c r="GE149" s="466"/>
      <c r="GF149" s="466"/>
      <c r="GG149" s="466"/>
      <c r="GH149" s="466"/>
      <c r="GI149" s="466"/>
      <c r="GJ149" s="466"/>
      <c r="GK149" s="466"/>
      <c r="GL149" s="466"/>
      <c r="GM149" s="466"/>
      <c r="GN149" s="466"/>
      <c r="GO149" s="1564"/>
      <c r="GP149" s="1564"/>
      <c r="GQ149" s="1564"/>
      <c r="GR149" s="1564"/>
      <c r="GS149" s="1565"/>
      <c r="GT149" s="1565"/>
      <c r="GU149" s="1526"/>
      <c r="GV149" s="466"/>
      <c r="GW149" s="466"/>
      <c r="GX149" s="466"/>
      <c r="GY149" s="466"/>
      <c r="GZ149" s="466"/>
      <c r="HA149" s="466"/>
      <c r="HB149" s="466"/>
      <c r="HC149" s="466"/>
      <c r="HD149" s="466"/>
      <c r="HE149" s="844"/>
      <c r="HF149" s="844"/>
      <c r="HG149" s="844"/>
      <c r="HH149" s="844"/>
      <c r="HI149" s="844"/>
      <c r="HJ149" s="844"/>
      <c r="HK149" s="844"/>
      <c r="HL149" s="844"/>
      <c r="HM149" s="844"/>
      <c r="HN149" s="844"/>
      <c r="HP149" s="466"/>
      <c r="HQ149" s="466"/>
      <c r="HR149" s="466"/>
      <c r="HS149" s="415"/>
      <c r="HT149" s="2292"/>
    </row>
    <row r="150" spans="3:228">
      <c r="C150" s="466"/>
      <c r="D150" s="466"/>
      <c r="E150" s="3850"/>
      <c r="F150" s="516"/>
      <c r="G150" s="513"/>
      <c r="H150" s="525"/>
      <c r="I150" s="525"/>
      <c r="J150" s="523"/>
      <c r="K150" s="519"/>
      <c r="L150" s="466"/>
      <c r="M150" s="516"/>
      <c r="N150" s="513"/>
      <c r="O150" s="513"/>
      <c r="P150" s="510"/>
      <c r="Q150" s="510"/>
      <c r="R150" s="510"/>
      <c r="S150" s="510"/>
      <c r="T150" s="510"/>
      <c r="U150" s="510"/>
      <c r="V150" s="510"/>
      <c r="W150" s="510"/>
      <c r="X150" s="510"/>
      <c r="Y150" s="510"/>
      <c r="Z150" s="510"/>
      <c r="AA150" s="510"/>
      <c r="AB150" s="510"/>
      <c r="AC150" s="510"/>
      <c r="AD150" s="510"/>
      <c r="AE150" s="510"/>
      <c r="AF150" s="510"/>
      <c r="AG150" s="510"/>
      <c r="AH150" s="510"/>
      <c r="AI150" s="510"/>
      <c r="AJ150" s="510"/>
      <c r="AK150" s="510"/>
      <c r="AL150" s="510"/>
      <c r="AM150" s="510"/>
      <c r="AN150" s="510"/>
      <c r="AO150" s="510"/>
      <c r="AP150" s="510"/>
      <c r="AQ150" s="510"/>
      <c r="AR150" s="510"/>
      <c r="AS150" s="510"/>
      <c r="AT150" s="510"/>
      <c r="AU150" s="510"/>
      <c r="AV150" s="510"/>
      <c r="AW150" s="510"/>
      <c r="AX150" s="510"/>
      <c r="AY150" s="510"/>
      <c r="AZ150" s="466"/>
      <c r="BA150" s="466"/>
      <c r="BB150" s="466"/>
      <c r="BC150" s="466"/>
      <c r="BD150" s="466"/>
      <c r="BE150" s="466"/>
      <c r="BF150" s="466"/>
      <c r="BG150" s="466"/>
      <c r="BH150" s="466"/>
      <c r="BI150" s="466"/>
      <c r="BJ150" s="466"/>
      <c r="BK150" s="466"/>
      <c r="BL150" s="466"/>
      <c r="BM150" s="518"/>
      <c r="BN150" s="524"/>
      <c r="BO150" s="518"/>
      <c r="BP150" s="518"/>
      <c r="BQ150" s="518"/>
      <c r="BR150" s="466"/>
      <c r="BS150" s="466"/>
      <c r="BT150" s="466"/>
      <c r="BU150" s="466"/>
      <c r="BV150" s="466"/>
      <c r="BW150" s="466"/>
      <c r="BX150" s="466"/>
      <c r="BY150" s="466"/>
      <c r="BZ150" s="466"/>
      <c r="CA150" s="466"/>
      <c r="CB150" s="466"/>
      <c r="CC150" s="466"/>
      <c r="CD150" s="466"/>
      <c r="CE150" s="466"/>
      <c r="CF150" s="466"/>
      <c r="CG150" s="466"/>
      <c r="CH150" s="466"/>
      <c r="CI150" s="466"/>
      <c r="CJ150" s="466"/>
      <c r="CK150" s="466"/>
      <c r="CL150" s="466"/>
      <c r="CM150" s="466"/>
      <c r="CN150" s="466"/>
      <c r="CO150" s="466"/>
      <c r="CP150" s="466"/>
      <c r="CQ150" s="466"/>
      <c r="CR150" s="466"/>
      <c r="CS150" s="466"/>
      <c r="CT150" s="466"/>
      <c r="CU150" s="466"/>
      <c r="CV150" s="466"/>
      <c r="CW150" s="466"/>
      <c r="CX150" s="466"/>
      <c r="CY150" s="466"/>
      <c r="CZ150" s="466"/>
      <c r="DA150" s="466"/>
      <c r="DB150" s="466"/>
      <c r="DC150" s="466"/>
      <c r="DD150" s="466"/>
      <c r="DE150" s="466"/>
      <c r="DF150" s="466"/>
      <c r="DG150" s="466"/>
      <c r="FE150" s="466"/>
      <c r="FF150" s="466"/>
      <c r="FG150" s="466"/>
      <c r="FH150" s="466"/>
      <c r="FI150" s="466"/>
      <c r="FJ150" s="466"/>
      <c r="FK150" s="466"/>
      <c r="FL150" s="466"/>
      <c r="FM150" s="466"/>
      <c r="FN150" s="466"/>
      <c r="FO150" s="466"/>
      <c r="FP150" s="466"/>
      <c r="FQ150" s="466"/>
      <c r="FR150" s="466"/>
      <c r="FS150" s="466"/>
      <c r="FT150" s="466"/>
      <c r="FU150" s="466"/>
      <c r="FV150" s="466"/>
      <c r="FW150" s="466"/>
      <c r="FX150" s="466"/>
      <c r="FY150" s="466"/>
      <c r="FZ150" s="466"/>
      <c r="GA150" s="466"/>
      <c r="GB150" s="466"/>
      <c r="GC150" s="466"/>
      <c r="GD150" s="466"/>
      <c r="GE150" s="466"/>
      <c r="GF150" s="466"/>
      <c r="GG150" s="466"/>
      <c r="GH150" s="466"/>
      <c r="GI150" s="466"/>
      <c r="GJ150" s="466"/>
      <c r="GK150" s="466"/>
      <c r="GL150" s="466"/>
      <c r="GM150" s="466"/>
      <c r="GN150" s="466"/>
      <c r="GO150" s="1564"/>
      <c r="GP150" s="1564"/>
      <c r="GQ150" s="1564"/>
      <c r="GR150" s="1564"/>
      <c r="GS150" s="1565"/>
      <c r="GT150" s="1565"/>
      <c r="GU150" s="1526"/>
      <c r="GV150" s="466"/>
      <c r="GW150" s="466"/>
      <c r="GX150" s="466"/>
      <c r="GY150" s="466"/>
      <c r="GZ150" s="466"/>
      <c r="HA150" s="466"/>
      <c r="HB150" s="466"/>
      <c r="HC150" s="466"/>
      <c r="HD150" s="466"/>
      <c r="HE150" s="844"/>
      <c r="HF150" s="844"/>
      <c r="HG150" s="844"/>
      <c r="HH150" s="844"/>
      <c r="HI150" s="844"/>
      <c r="HJ150" s="844"/>
      <c r="HK150" s="844"/>
      <c r="HL150" s="844"/>
      <c r="HM150" s="844"/>
      <c r="HN150" s="844"/>
      <c r="HP150" s="466"/>
      <c r="HQ150" s="466"/>
      <c r="HR150" s="466"/>
      <c r="HS150" s="415"/>
      <c r="HT150" s="2292"/>
    </row>
    <row r="151" spans="3:228">
      <c r="C151" s="466"/>
      <c r="D151" s="466"/>
      <c r="E151" s="3850"/>
      <c r="F151" s="516"/>
      <c r="G151" s="513"/>
      <c r="H151" s="525"/>
      <c r="I151" s="525"/>
      <c r="J151" s="523"/>
      <c r="K151" s="519"/>
      <c r="L151" s="466"/>
      <c r="M151" s="516"/>
      <c r="N151" s="513"/>
      <c r="O151" s="513"/>
      <c r="P151" s="510"/>
      <c r="Q151" s="510"/>
      <c r="R151" s="510"/>
      <c r="S151" s="510"/>
      <c r="T151" s="510"/>
      <c r="U151" s="510"/>
      <c r="V151" s="510"/>
      <c r="W151" s="510"/>
      <c r="X151" s="510"/>
      <c r="Y151" s="510"/>
      <c r="Z151" s="510"/>
      <c r="AA151" s="510"/>
      <c r="AB151" s="510"/>
      <c r="AC151" s="510"/>
      <c r="AD151" s="510"/>
      <c r="AE151" s="510"/>
      <c r="AF151" s="510"/>
      <c r="AG151" s="510"/>
      <c r="AH151" s="510"/>
      <c r="AI151" s="510"/>
      <c r="AJ151" s="510"/>
      <c r="AK151" s="510"/>
      <c r="AL151" s="510"/>
      <c r="AM151" s="510"/>
      <c r="AN151" s="510"/>
      <c r="AO151" s="510"/>
      <c r="AP151" s="510"/>
      <c r="AQ151" s="510"/>
      <c r="AR151" s="510"/>
      <c r="AS151" s="510"/>
      <c r="AT151" s="510"/>
      <c r="AU151" s="510"/>
      <c r="AV151" s="510"/>
      <c r="AW151" s="510"/>
      <c r="AX151" s="510"/>
      <c r="AY151" s="510"/>
      <c r="AZ151" s="466"/>
      <c r="BA151" s="466"/>
      <c r="BB151" s="466"/>
      <c r="BC151" s="466"/>
      <c r="BD151" s="466"/>
      <c r="BE151" s="466"/>
      <c r="BF151" s="466"/>
      <c r="BG151" s="466"/>
      <c r="BH151" s="466"/>
      <c r="BI151" s="466"/>
      <c r="BJ151" s="466"/>
      <c r="BK151" s="466"/>
      <c r="BL151" s="466"/>
      <c r="BM151" s="518"/>
      <c r="BN151" s="524"/>
      <c r="BO151" s="518"/>
      <c r="BP151" s="518"/>
      <c r="BQ151" s="518"/>
      <c r="BR151" s="466"/>
      <c r="BS151" s="466"/>
      <c r="BT151" s="466"/>
      <c r="BU151" s="466"/>
      <c r="BV151" s="466"/>
      <c r="BW151" s="466"/>
      <c r="BX151" s="466"/>
      <c r="BY151" s="466"/>
      <c r="BZ151" s="466"/>
      <c r="CA151" s="466"/>
      <c r="CB151" s="466"/>
      <c r="CC151" s="466"/>
      <c r="CD151" s="466"/>
      <c r="CE151" s="466"/>
      <c r="CF151" s="466"/>
      <c r="CG151" s="466"/>
      <c r="CH151" s="466"/>
      <c r="CI151" s="466"/>
      <c r="CJ151" s="466"/>
      <c r="CK151" s="466"/>
      <c r="CL151" s="466"/>
      <c r="CM151" s="466"/>
      <c r="CN151" s="466"/>
      <c r="CO151" s="466"/>
      <c r="CP151" s="466"/>
      <c r="CQ151" s="466"/>
      <c r="CR151" s="466"/>
      <c r="CS151" s="466"/>
      <c r="CT151" s="466"/>
      <c r="CU151" s="466"/>
      <c r="CV151" s="466"/>
      <c r="CW151" s="466"/>
      <c r="CX151" s="466"/>
      <c r="CY151" s="466"/>
      <c r="CZ151" s="466"/>
      <c r="DA151" s="466"/>
      <c r="DB151" s="466"/>
      <c r="DC151" s="466"/>
      <c r="DD151" s="466"/>
      <c r="DE151" s="466"/>
      <c r="DF151" s="466"/>
      <c r="DG151" s="466"/>
      <c r="FE151" s="466"/>
      <c r="FF151" s="466"/>
      <c r="FG151" s="466"/>
      <c r="FH151" s="466"/>
      <c r="FI151" s="466"/>
      <c r="FJ151" s="466"/>
      <c r="FK151" s="466"/>
      <c r="FL151" s="466"/>
      <c r="FM151" s="466"/>
      <c r="FN151" s="466"/>
      <c r="FO151" s="466"/>
      <c r="FP151" s="466"/>
      <c r="FQ151" s="466"/>
      <c r="FR151" s="466"/>
      <c r="FS151" s="466"/>
      <c r="FT151" s="466"/>
      <c r="FU151" s="466"/>
      <c r="FV151" s="466"/>
      <c r="FW151" s="466"/>
      <c r="FX151" s="466"/>
      <c r="FY151" s="466"/>
      <c r="FZ151" s="466"/>
      <c r="GA151" s="466"/>
      <c r="GB151" s="466"/>
      <c r="GC151" s="466"/>
      <c r="GD151" s="466"/>
      <c r="GE151" s="466"/>
      <c r="GF151" s="466"/>
      <c r="GG151" s="466"/>
      <c r="GH151" s="466"/>
      <c r="GI151" s="466"/>
      <c r="GJ151" s="466"/>
      <c r="GK151" s="466"/>
      <c r="GL151" s="466"/>
      <c r="GM151" s="466"/>
      <c r="GN151" s="466"/>
      <c r="GO151" s="1564"/>
      <c r="GP151" s="1564"/>
      <c r="GQ151" s="1564"/>
      <c r="GR151" s="1564"/>
      <c r="GS151" s="1565"/>
      <c r="GT151" s="1565"/>
      <c r="GU151" s="1526"/>
      <c r="GV151" s="466"/>
      <c r="GW151" s="466"/>
      <c r="GX151" s="466"/>
      <c r="GY151" s="466"/>
      <c r="GZ151" s="466"/>
      <c r="HA151" s="466"/>
      <c r="HB151" s="466"/>
      <c r="HC151" s="466"/>
      <c r="HD151" s="466"/>
      <c r="HE151" s="844"/>
      <c r="HF151" s="844"/>
      <c r="HG151" s="844"/>
      <c r="HH151" s="844"/>
      <c r="HI151" s="844"/>
      <c r="HJ151" s="844"/>
      <c r="HK151" s="844"/>
      <c r="HL151" s="844"/>
      <c r="HM151" s="844"/>
      <c r="HN151" s="844"/>
      <c r="HP151" s="466"/>
      <c r="HQ151" s="466"/>
      <c r="HR151" s="466"/>
      <c r="HS151" s="415"/>
      <c r="HT151" s="2292"/>
    </row>
    <row r="152" spans="3:228">
      <c r="C152" s="466"/>
      <c r="D152" s="466"/>
      <c r="E152" s="3850"/>
      <c r="F152" s="516"/>
      <c r="G152" s="513"/>
      <c r="H152" s="525"/>
      <c r="I152" s="525"/>
      <c r="J152" s="523"/>
      <c r="K152" s="519"/>
      <c r="L152" s="466"/>
      <c r="M152" s="516"/>
      <c r="N152" s="513"/>
      <c r="O152" s="513"/>
      <c r="P152" s="510"/>
      <c r="Q152" s="510"/>
      <c r="R152" s="510"/>
      <c r="S152" s="510"/>
      <c r="T152" s="510"/>
      <c r="U152" s="510"/>
      <c r="V152" s="510"/>
      <c r="W152" s="510"/>
      <c r="X152" s="510"/>
      <c r="Y152" s="510"/>
      <c r="Z152" s="510"/>
      <c r="AA152" s="510"/>
      <c r="AB152" s="510"/>
      <c r="AC152" s="510"/>
      <c r="AD152" s="510"/>
      <c r="AE152" s="510"/>
      <c r="AF152" s="510"/>
      <c r="AG152" s="510"/>
      <c r="AH152" s="510"/>
      <c r="AI152" s="510"/>
      <c r="AJ152" s="510"/>
      <c r="AK152" s="510"/>
      <c r="AL152" s="510"/>
      <c r="AM152" s="510"/>
      <c r="AN152" s="510"/>
      <c r="AO152" s="510"/>
      <c r="AP152" s="510"/>
      <c r="AQ152" s="510"/>
      <c r="AR152" s="510"/>
      <c r="AS152" s="510"/>
      <c r="AT152" s="510"/>
      <c r="AU152" s="510"/>
      <c r="AV152" s="510"/>
      <c r="AW152" s="510"/>
      <c r="AX152" s="510"/>
      <c r="AY152" s="510"/>
      <c r="AZ152" s="466"/>
      <c r="BA152" s="466"/>
      <c r="BB152" s="466"/>
      <c r="BC152" s="466"/>
      <c r="BD152" s="466"/>
      <c r="BE152" s="466"/>
      <c r="BF152" s="466"/>
      <c r="BG152" s="466"/>
      <c r="BH152" s="466"/>
      <c r="BI152" s="466"/>
      <c r="BJ152" s="466"/>
      <c r="BK152" s="466"/>
      <c r="BL152" s="466"/>
      <c r="BM152" s="518"/>
      <c r="BN152" s="524"/>
      <c r="BO152" s="518"/>
      <c r="BP152" s="518"/>
      <c r="BQ152" s="518"/>
      <c r="BR152" s="466"/>
      <c r="BS152" s="466"/>
      <c r="BT152" s="466"/>
      <c r="BU152" s="466"/>
      <c r="BV152" s="466"/>
      <c r="BW152" s="466"/>
      <c r="BX152" s="466"/>
      <c r="BY152" s="466"/>
      <c r="BZ152" s="466"/>
      <c r="CA152" s="466"/>
      <c r="CB152" s="466"/>
      <c r="CC152" s="466"/>
      <c r="CD152" s="466"/>
      <c r="CE152" s="466"/>
      <c r="CF152" s="466"/>
      <c r="CG152" s="466"/>
      <c r="CH152" s="466"/>
      <c r="CI152" s="466"/>
      <c r="CJ152" s="466"/>
      <c r="CK152" s="466"/>
      <c r="CL152" s="466"/>
      <c r="CM152" s="466"/>
      <c r="CN152" s="466"/>
      <c r="CO152" s="466"/>
      <c r="CP152" s="466"/>
      <c r="CQ152" s="466"/>
      <c r="CR152" s="466"/>
      <c r="CS152" s="466"/>
      <c r="CT152" s="466"/>
      <c r="CU152" s="466"/>
      <c r="CV152" s="466"/>
      <c r="CW152" s="466"/>
      <c r="CX152" s="466"/>
      <c r="CY152" s="466"/>
      <c r="CZ152" s="466"/>
      <c r="DA152" s="466"/>
      <c r="DB152" s="466"/>
      <c r="DC152" s="466"/>
      <c r="DD152" s="466"/>
      <c r="DE152" s="466"/>
      <c r="DF152" s="466"/>
      <c r="DG152" s="466"/>
      <c r="FE152" s="466"/>
      <c r="FF152" s="466"/>
      <c r="FG152" s="466"/>
      <c r="FH152" s="466"/>
      <c r="FI152" s="466"/>
      <c r="FJ152" s="466"/>
      <c r="FK152" s="466"/>
      <c r="FL152" s="466"/>
      <c r="FM152" s="466"/>
      <c r="FN152" s="466"/>
      <c r="FO152" s="466"/>
      <c r="FP152" s="466"/>
      <c r="FQ152" s="466"/>
      <c r="FR152" s="466"/>
      <c r="FS152" s="466"/>
      <c r="FT152" s="466"/>
      <c r="FU152" s="466"/>
      <c r="FV152" s="466"/>
      <c r="FW152" s="466"/>
      <c r="FX152" s="466"/>
      <c r="FY152" s="466"/>
      <c r="FZ152" s="466"/>
      <c r="GA152" s="466"/>
      <c r="GB152" s="466"/>
      <c r="GC152" s="466"/>
      <c r="GD152" s="466"/>
      <c r="GE152" s="466"/>
      <c r="GF152" s="466"/>
      <c r="GG152" s="466"/>
      <c r="GH152" s="466"/>
      <c r="GI152" s="466"/>
      <c r="GJ152" s="466"/>
      <c r="GK152" s="466"/>
      <c r="GL152" s="466"/>
      <c r="GM152" s="466"/>
      <c r="GN152" s="466"/>
      <c r="GO152" s="1564"/>
      <c r="GP152" s="1564"/>
      <c r="GQ152" s="1564"/>
      <c r="GR152" s="1564"/>
      <c r="GS152" s="1565"/>
      <c r="GT152" s="1565"/>
      <c r="GU152" s="1526"/>
      <c r="GV152" s="466"/>
      <c r="GW152" s="466"/>
      <c r="GX152" s="466"/>
      <c r="GY152" s="466"/>
      <c r="GZ152" s="466"/>
      <c r="HA152" s="466"/>
      <c r="HB152" s="466"/>
      <c r="HC152" s="466"/>
      <c r="HD152" s="466"/>
      <c r="HE152" s="844"/>
      <c r="HF152" s="844"/>
      <c r="HG152" s="844"/>
      <c r="HH152" s="844"/>
      <c r="HI152" s="844"/>
      <c r="HJ152" s="844"/>
      <c r="HK152" s="844"/>
      <c r="HL152" s="844"/>
      <c r="HM152" s="844"/>
      <c r="HN152" s="844"/>
      <c r="HP152" s="466"/>
      <c r="HQ152" s="466"/>
      <c r="HR152" s="466"/>
      <c r="HS152" s="415"/>
      <c r="HT152" s="2292"/>
    </row>
    <row r="153" spans="3:228">
      <c r="C153" s="466"/>
      <c r="D153" s="466"/>
      <c r="E153" s="3850"/>
      <c r="F153" s="516"/>
      <c r="G153" s="513"/>
      <c r="H153" s="525"/>
      <c r="I153" s="525"/>
      <c r="J153" s="523"/>
      <c r="K153" s="519"/>
      <c r="L153" s="466"/>
      <c r="M153" s="516"/>
      <c r="N153" s="513"/>
      <c r="O153" s="513"/>
      <c r="P153" s="510"/>
      <c r="Q153" s="510"/>
      <c r="R153" s="510"/>
      <c r="S153" s="510"/>
      <c r="T153" s="510"/>
      <c r="U153" s="510"/>
      <c r="V153" s="510"/>
      <c r="W153" s="510"/>
      <c r="X153" s="510"/>
      <c r="Y153" s="510"/>
      <c r="Z153" s="510"/>
      <c r="AA153" s="510"/>
      <c r="AB153" s="510"/>
      <c r="AC153" s="510"/>
      <c r="AD153" s="510"/>
      <c r="AE153" s="510"/>
      <c r="AF153" s="510"/>
      <c r="AG153" s="510"/>
      <c r="AH153" s="510"/>
      <c r="AI153" s="510"/>
      <c r="AJ153" s="510"/>
      <c r="AK153" s="510"/>
      <c r="AL153" s="510"/>
      <c r="AM153" s="510"/>
      <c r="AN153" s="510"/>
      <c r="AO153" s="510"/>
      <c r="AP153" s="510"/>
      <c r="AQ153" s="510"/>
      <c r="AR153" s="510"/>
      <c r="AS153" s="510"/>
      <c r="AT153" s="510"/>
      <c r="AU153" s="510"/>
      <c r="AV153" s="510"/>
      <c r="AW153" s="510"/>
      <c r="AX153" s="510"/>
      <c r="AY153" s="510"/>
      <c r="AZ153" s="466"/>
      <c r="BA153" s="466"/>
      <c r="BB153" s="466"/>
      <c r="BC153" s="466"/>
      <c r="BD153" s="466"/>
      <c r="BE153" s="466"/>
      <c r="BF153" s="466"/>
      <c r="BG153" s="466"/>
      <c r="BH153" s="466"/>
      <c r="BI153" s="466"/>
      <c r="BJ153" s="466"/>
      <c r="BK153" s="466"/>
      <c r="BL153" s="466"/>
      <c r="BM153" s="518"/>
      <c r="BN153" s="524"/>
      <c r="BO153" s="518"/>
      <c r="BP153" s="518"/>
      <c r="BQ153" s="518"/>
      <c r="BR153" s="466"/>
      <c r="BS153" s="466"/>
      <c r="BT153" s="466"/>
      <c r="BU153" s="466"/>
      <c r="BV153" s="466"/>
      <c r="BW153" s="466"/>
      <c r="BX153" s="466"/>
      <c r="BY153" s="466"/>
      <c r="BZ153" s="466"/>
      <c r="CA153" s="466"/>
      <c r="CB153" s="466"/>
      <c r="CC153" s="466"/>
      <c r="CD153" s="466"/>
      <c r="CE153" s="466"/>
      <c r="CF153" s="466"/>
      <c r="CG153" s="466"/>
      <c r="CH153" s="466"/>
      <c r="CI153" s="466"/>
      <c r="CJ153" s="466"/>
      <c r="CK153" s="466"/>
      <c r="CL153" s="466"/>
      <c r="CM153" s="466"/>
      <c r="CN153" s="466"/>
      <c r="CO153" s="466"/>
      <c r="CP153" s="466"/>
      <c r="CQ153" s="466"/>
      <c r="CR153" s="466"/>
      <c r="CS153" s="466"/>
      <c r="CT153" s="466"/>
      <c r="CU153" s="466"/>
      <c r="CV153" s="466"/>
      <c r="CW153" s="466"/>
      <c r="CX153" s="466"/>
      <c r="CY153" s="466"/>
      <c r="CZ153" s="466"/>
      <c r="DA153" s="466"/>
      <c r="DB153" s="466"/>
      <c r="DC153" s="466"/>
      <c r="DD153" s="466"/>
      <c r="DE153" s="466"/>
      <c r="DF153" s="466"/>
      <c r="DG153" s="466"/>
      <c r="FE153" s="466"/>
      <c r="FF153" s="466"/>
      <c r="FG153" s="466"/>
      <c r="FH153" s="466"/>
      <c r="FI153" s="466"/>
      <c r="FJ153" s="466"/>
      <c r="FK153" s="466"/>
      <c r="FL153" s="466"/>
      <c r="FM153" s="466"/>
      <c r="FN153" s="466"/>
      <c r="FO153" s="466"/>
      <c r="FP153" s="466"/>
      <c r="FQ153" s="466"/>
      <c r="FR153" s="466"/>
      <c r="FS153" s="466"/>
      <c r="FT153" s="466"/>
      <c r="FU153" s="466"/>
      <c r="FV153" s="466"/>
      <c r="FW153" s="466"/>
      <c r="FX153" s="466"/>
      <c r="FY153" s="466"/>
      <c r="FZ153" s="466"/>
      <c r="GA153" s="466"/>
      <c r="GB153" s="466"/>
      <c r="GC153" s="466"/>
      <c r="GD153" s="466"/>
      <c r="GE153" s="466"/>
      <c r="GF153" s="466"/>
      <c r="GG153" s="466"/>
      <c r="GH153" s="466"/>
      <c r="GI153" s="466"/>
      <c r="GJ153" s="466"/>
      <c r="GK153" s="466"/>
      <c r="GL153" s="466"/>
      <c r="GM153" s="466"/>
      <c r="GN153" s="466"/>
      <c r="GO153" s="1564"/>
      <c r="GP153" s="1564"/>
      <c r="GQ153" s="1564"/>
      <c r="GR153" s="1564"/>
      <c r="GS153" s="1565"/>
      <c r="GT153" s="1565"/>
      <c r="GU153" s="1526"/>
      <c r="GV153" s="466"/>
      <c r="GW153" s="466"/>
      <c r="GX153" s="466"/>
      <c r="GY153" s="466"/>
      <c r="GZ153" s="466"/>
      <c r="HA153" s="466"/>
      <c r="HB153" s="466"/>
      <c r="HC153" s="466"/>
      <c r="HD153" s="466"/>
      <c r="HE153" s="844"/>
      <c r="HF153" s="844"/>
      <c r="HG153" s="844"/>
      <c r="HH153" s="844"/>
      <c r="HI153" s="844"/>
      <c r="HJ153" s="844"/>
      <c r="HK153" s="844"/>
      <c r="HL153" s="844"/>
      <c r="HM153" s="844"/>
      <c r="HN153" s="844"/>
      <c r="HP153" s="466"/>
      <c r="HQ153" s="466"/>
      <c r="HR153" s="466"/>
      <c r="HS153" s="415"/>
      <c r="HT153" s="2292"/>
    </row>
    <row r="154" spans="3:228">
      <c r="C154" s="466"/>
      <c r="D154" s="466"/>
      <c r="E154" s="3850"/>
      <c r="F154" s="516"/>
      <c r="G154" s="513"/>
      <c r="H154" s="525"/>
      <c r="I154" s="525"/>
      <c r="J154" s="523"/>
      <c r="K154" s="519"/>
      <c r="L154" s="466"/>
      <c r="M154" s="516"/>
      <c r="N154" s="513"/>
      <c r="O154" s="513"/>
      <c r="P154" s="510"/>
      <c r="Q154" s="510"/>
      <c r="R154" s="510"/>
      <c r="S154" s="510"/>
      <c r="T154" s="510"/>
      <c r="U154" s="510"/>
      <c r="V154" s="510"/>
      <c r="W154" s="510"/>
      <c r="X154" s="510"/>
      <c r="Y154" s="510"/>
      <c r="Z154" s="510"/>
      <c r="AA154" s="510"/>
      <c r="AB154" s="510"/>
      <c r="AC154" s="510"/>
      <c r="AD154" s="510"/>
      <c r="AE154" s="510"/>
      <c r="AF154" s="510"/>
      <c r="AG154" s="510"/>
      <c r="AH154" s="510"/>
      <c r="AI154" s="510"/>
      <c r="AJ154" s="510"/>
      <c r="AK154" s="510"/>
      <c r="AL154" s="510"/>
      <c r="AM154" s="510"/>
      <c r="AN154" s="510"/>
      <c r="AO154" s="510"/>
      <c r="AP154" s="510"/>
      <c r="AQ154" s="510"/>
      <c r="AR154" s="510"/>
      <c r="AS154" s="510"/>
      <c r="AT154" s="510"/>
      <c r="AU154" s="510"/>
      <c r="AV154" s="510"/>
      <c r="AW154" s="510"/>
      <c r="AX154" s="510"/>
      <c r="AY154" s="510"/>
      <c r="AZ154" s="466"/>
      <c r="BA154" s="466"/>
      <c r="BB154" s="466"/>
      <c r="BC154" s="466"/>
      <c r="BD154" s="466"/>
      <c r="BE154" s="466"/>
      <c r="BF154" s="466"/>
      <c r="BG154" s="466"/>
      <c r="BH154" s="466"/>
      <c r="BI154" s="466"/>
      <c r="BJ154" s="466"/>
      <c r="BK154" s="466"/>
      <c r="BL154" s="466"/>
      <c r="BM154" s="518"/>
      <c r="BN154" s="524"/>
      <c r="BO154" s="518"/>
      <c r="BP154" s="518"/>
      <c r="BQ154" s="518"/>
      <c r="BR154" s="466"/>
      <c r="BS154" s="466"/>
      <c r="BT154" s="466"/>
      <c r="BU154" s="466"/>
      <c r="BV154" s="466"/>
      <c r="BW154" s="466"/>
      <c r="BX154" s="466"/>
      <c r="BY154" s="466"/>
      <c r="BZ154" s="466"/>
      <c r="CA154" s="466"/>
      <c r="CB154" s="466"/>
      <c r="CC154" s="466"/>
      <c r="CD154" s="466"/>
      <c r="CE154" s="466"/>
      <c r="CF154" s="466"/>
      <c r="CG154" s="466"/>
      <c r="CH154" s="466"/>
      <c r="CI154" s="466"/>
      <c r="CJ154" s="466"/>
      <c r="CK154" s="466"/>
      <c r="CL154" s="466"/>
      <c r="CM154" s="466"/>
      <c r="CN154" s="466"/>
      <c r="CO154" s="466"/>
      <c r="CP154" s="466"/>
      <c r="CQ154" s="466"/>
      <c r="CR154" s="466"/>
      <c r="CS154" s="466"/>
      <c r="CT154" s="466"/>
      <c r="CU154" s="466"/>
      <c r="CV154" s="466"/>
      <c r="CW154" s="466"/>
      <c r="CX154" s="466"/>
      <c r="CY154" s="466"/>
      <c r="CZ154" s="466"/>
      <c r="DA154" s="466"/>
      <c r="DB154" s="466"/>
      <c r="DC154" s="466"/>
      <c r="DD154" s="466"/>
      <c r="DE154" s="466"/>
      <c r="DF154" s="466"/>
      <c r="DG154" s="466"/>
      <c r="FE154" s="466"/>
      <c r="FF154" s="466"/>
      <c r="FG154" s="466"/>
      <c r="FH154" s="466"/>
      <c r="FI154" s="466"/>
      <c r="FJ154" s="466"/>
      <c r="FK154" s="466"/>
      <c r="FL154" s="466"/>
      <c r="FM154" s="466"/>
      <c r="FN154" s="466"/>
      <c r="FO154" s="466"/>
      <c r="FP154" s="466"/>
      <c r="FQ154" s="466"/>
      <c r="FR154" s="466"/>
      <c r="FS154" s="466"/>
      <c r="FT154" s="466"/>
      <c r="FU154" s="466"/>
      <c r="FV154" s="466"/>
      <c r="FW154" s="466"/>
      <c r="FX154" s="466"/>
      <c r="FY154" s="466"/>
      <c r="FZ154" s="466"/>
      <c r="GA154" s="466"/>
      <c r="GB154" s="466"/>
      <c r="GC154" s="466"/>
      <c r="GD154" s="466"/>
      <c r="GE154" s="466"/>
      <c r="GF154" s="466"/>
      <c r="GG154" s="466"/>
      <c r="GH154" s="466"/>
      <c r="GI154" s="466"/>
      <c r="GJ154" s="466"/>
      <c r="GK154" s="466"/>
      <c r="GL154" s="466"/>
      <c r="GM154" s="466"/>
      <c r="GN154" s="466"/>
      <c r="GO154" s="1564"/>
      <c r="GP154" s="1564"/>
      <c r="GQ154" s="1564"/>
      <c r="GR154" s="1564"/>
      <c r="GS154" s="1565"/>
      <c r="GT154" s="1565"/>
      <c r="GU154" s="1526"/>
      <c r="GV154" s="466"/>
      <c r="GW154" s="466"/>
      <c r="GX154" s="466"/>
      <c r="GY154" s="466"/>
      <c r="GZ154" s="466"/>
      <c r="HA154" s="466"/>
      <c r="HB154" s="466"/>
      <c r="HC154" s="466"/>
      <c r="HD154" s="466"/>
      <c r="HE154" s="844"/>
      <c r="HF154" s="844"/>
      <c r="HG154" s="844"/>
      <c r="HH154" s="844"/>
      <c r="HI154" s="844"/>
      <c r="HJ154" s="844"/>
      <c r="HK154" s="844"/>
      <c r="HL154" s="844"/>
      <c r="HM154" s="844"/>
      <c r="HN154" s="844"/>
      <c r="HP154" s="466"/>
      <c r="HQ154" s="466"/>
      <c r="HR154" s="466"/>
      <c r="HS154" s="415"/>
      <c r="HT154" s="2292"/>
    </row>
    <row r="155" spans="3:228">
      <c r="C155" s="466"/>
      <c r="D155" s="466"/>
      <c r="E155" s="3850"/>
      <c r="F155" s="516"/>
      <c r="G155" s="513"/>
      <c r="H155" s="525"/>
      <c r="I155" s="525"/>
      <c r="J155" s="523"/>
      <c r="K155" s="519"/>
      <c r="L155" s="466"/>
      <c r="M155" s="516"/>
      <c r="N155" s="513"/>
      <c r="O155" s="513"/>
      <c r="P155" s="510"/>
      <c r="Q155" s="510"/>
      <c r="R155" s="510"/>
      <c r="S155" s="510"/>
      <c r="T155" s="510"/>
      <c r="U155" s="510"/>
      <c r="V155" s="510"/>
      <c r="W155" s="510"/>
      <c r="X155" s="510"/>
      <c r="Y155" s="510"/>
      <c r="Z155" s="510"/>
      <c r="AA155" s="510"/>
      <c r="AB155" s="510"/>
      <c r="AC155" s="510"/>
      <c r="AD155" s="510"/>
      <c r="AE155" s="510"/>
      <c r="AF155" s="510"/>
      <c r="AG155" s="510"/>
      <c r="AH155" s="510"/>
      <c r="AI155" s="510"/>
      <c r="AJ155" s="510"/>
      <c r="AK155" s="510"/>
      <c r="AL155" s="510"/>
      <c r="AM155" s="510"/>
      <c r="AN155" s="510"/>
      <c r="AO155" s="510"/>
      <c r="AP155" s="510"/>
      <c r="AQ155" s="510"/>
      <c r="AR155" s="510"/>
      <c r="AS155" s="510"/>
      <c r="AT155" s="510"/>
      <c r="AU155" s="510"/>
      <c r="AV155" s="510"/>
      <c r="AW155" s="510"/>
      <c r="AX155" s="510"/>
      <c r="AY155" s="510"/>
      <c r="AZ155" s="466"/>
      <c r="BA155" s="466"/>
      <c r="BB155" s="466"/>
      <c r="BC155" s="466"/>
      <c r="BD155" s="466"/>
      <c r="BE155" s="466"/>
      <c r="BF155" s="466"/>
      <c r="BG155" s="466"/>
      <c r="BH155" s="466"/>
      <c r="BI155" s="466"/>
      <c r="BJ155" s="466"/>
      <c r="BK155" s="466"/>
      <c r="BL155" s="466"/>
      <c r="BM155" s="518"/>
      <c r="BN155" s="524"/>
      <c r="BO155" s="518"/>
      <c r="BP155" s="518"/>
      <c r="BQ155" s="518"/>
      <c r="BR155" s="466"/>
      <c r="BS155" s="466"/>
      <c r="BT155" s="466"/>
      <c r="BU155" s="466"/>
      <c r="BV155" s="466"/>
      <c r="BW155" s="466"/>
      <c r="BX155" s="466"/>
      <c r="BY155" s="466"/>
      <c r="BZ155" s="466"/>
      <c r="CA155" s="466"/>
      <c r="CB155" s="466"/>
      <c r="CC155" s="466"/>
      <c r="CD155" s="466"/>
      <c r="CE155" s="466"/>
      <c r="CF155" s="466"/>
      <c r="CG155" s="466"/>
      <c r="CH155" s="466"/>
      <c r="CI155" s="466"/>
      <c r="CJ155" s="466"/>
      <c r="CK155" s="466"/>
      <c r="CL155" s="466"/>
      <c r="CM155" s="466"/>
      <c r="CN155" s="466"/>
      <c r="CO155" s="466"/>
      <c r="CP155" s="466"/>
      <c r="CQ155" s="466"/>
      <c r="CR155" s="466"/>
      <c r="CS155" s="466"/>
      <c r="CT155" s="466"/>
      <c r="CU155" s="466"/>
      <c r="CV155" s="466"/>
      <c r="CW155" s="466"/>
      <c r="CX155" s="466"/>
      <c r="CY155" s="466"/>
      <c r="CZ155" s="466"/>
      <c r="DA155" s="466"/>
      <c r="DB155" s="466"/>
      <c r="DC155" s="466"/>
      <c r="DD155" s="466"/>
      <c r="DE155" s="466"/>
      <c r="DF155" s="466"/>
      <c r="DG155" s="466"/>
      <c r="FE155" s="466"/>
      <c r="FF155" s="466"/>
      <c r="FG155" s="466"/>
      <c r="FH155" s="466"/>
      <c r="FI155" s="466"/>
      <c r="FJ155" s="466"/>
      <c r="FK155" s="466"/>
      <c r="FL155" s="466"/>
      <c r="FM155" s="466"/>
      <c r="FN155" s="466"/>
      <c r="FO155" s="466"/>
      <c r="FP155" s="466"/>
      <c r="FQ155" s="466"/>
      <c r="FR155" s="466"/>
      <c r="FS155" s="466"/>
      <c r="FT155" s="466"/>
      <c r="FU155" s="466"/>
      <c r="FV155" s="466"/>
      <c r="FW155" s="466"/>
      <c r="FX155" s="466"/>
      <c r="FY155" s="466"/>
      <c r="FZ155" s="466"/>
      <c r="GA155" s="466"/>
      <c r="GB155" s="466"/>
      <c r="GC155" s="466"/>
      <c r="GD155" s="466"/>
      <c r="GE155" s="466"/>
      <c r="GF155" s="466"/>
      <c r="GG155" s="466"/>
      <c r="GH155" s="466"/>
      <c r="GI155" s="466"/>
      <c r="GJ155" s="466"/>
      <c r="GK155" s="466"/>
      <c r="GL155" s="466"/>
      <c r="GM155" s="466"/>
      <c r="GN155" s="466"/>
      <c r="GO155" s="1564"/>
      <c r="GP155" s="1564"/>
      <c r="GQ155" s="1564"/>
      <c r="GR155" s="1564"/>
      <c r="GS155" s="1565"/>
      <c r="GT155" s="1565"/>
      <c r="GU155" s="1526"/>
      <c r="GV155" s="466"/>
      <c r="GW155" s="466"/>
      <c r="GX155" s="466"/>
      <c r="GY155" s="466"/>
      <c r="GZ155" s="466"/>
      <c r="HA155" s="466"/>
      <c r="HB155" s="466"/>
      <c r="HC155" s="466"/>
      <c r="HD155" s="466"/>
      <c r="HE155" s="844"/>
      <c r="HF155" s="844"/>
      <c r="HG155" s="844"/>
      <c r="HH155" s="844"/>
      <c r="HI155" s="844"/>
      <c r="HJ155" s="844"/>
      <c r="HK155" s="844"/>
      <c r="HL155" s="844"/>
      <c r="HM155" s="844"/>
      <c r="HN155" s="844"/>
      <c r="HP155" s="466"/>
      <c r="HQ155" s="466"/>
      <c r="HR155" s="466"/>
      <c r="HS155" s="415"/>
      <c r="HT155" s="2292"/>
    </row>
    <row r="156" spans="3:228">
      <c r="C156" s="466"/>
      <c r="D156" s="466"/>
      <c r="E156" s="3850"/>
      <c r="F156" s="516"/>
      <c r="G156" s="513"/>
      <c r="H156" s="525"/>
      <c r="I156" s="525"/>
      <c r="J156" s="523"/>
      <c r="K156" s="519"/>
      <c r="L156" s="466"/>
      <c r="M156" s="516"/>
      <c r="N156" s="513"/>
      <c r="O156" s="513"/>
      <c r="P156" s="510"/>
      <c r="Q156" s="510"/>
      <c r="R156" s="510"/>
      <c r="S156" s="510"/>
      <c r="T156" s="510"/>
      <c r="U156" s="510"/>
      <c r="V156" s="510"/>
      <c r="W156" s="510"/>
      <c r="X156" s="510"/>
      <c r="Y156" s="510"/>
      <c r="Z156" s="510"/>
      <c r="AA156" s="510"/>
      <c r="AB156" s="510"/>
      <c r="AC156" s="510"/>
      <c r="AD156" s="510"/>
      <c r="AE156" s="510"/>
      <c r="AF156" s="510"/>
      <c r="AG156" s="510"/>
      <c r="AH156" s="510"/>
      <c r="AI156" s="510"/>
      <c r="AJ156" s="510"/>
      <c r="AK156" s="510"/>
      <c r="AL156" s="510"/>
      <c r="AM156" s="510"/>
      <c r="AN156" s="510"/>
      <c r="AO156" s="510"/>
      <c r="AP156" s="510"/>
      <c r="AQ156" s="510"/>
      <c r="AR156" s="510"/>
      <c r="AS156" s="510"/>
      <c r="AT156" s="510"/>
      <c r="AU156" s="510"/>
      <c r="AV156" s="510"/>
      <c r="AW156" s="510"/>
      <c r="AX156" s="510"/>
      <c r="AY156" s="510"/>
      <c r="AZ156" s="466"/>
      <c r="BA156" s="466"/>
      <c r="BB156" s="466"/>
      <c r="BC156" s="466"/>
      <c r="BD156" s="466"/>
      <c r="BE156" s="466"/>
      <c r="BF156" s="466"/>
      <c r="BG156" s="466"/>
      <c r="BH156" s="466"/>
      <c r="BI156" s="466"/>
      <c r="BJ156" s="466"/>
      <c r="BK156" s="466"/>
      <c r="BL156" s="466"/>
      <c r="BM156" s="518"/>
      <c r="BN156" s="524"/>
      <c r="BO156" s="518"/>
      <c r="BP156" s="518"/>
      <c r="BQ156" s="518"/>
      <c r="BR156" s="466"/>
      <c r="BS156" s="466"/>
      <c r="BT156" s="466"/>
      <c r="BU156" s="466"/>
      <c r="BV156" s="466"/>
      <c r="BW156" s="466"/>
      <c r="BX156" s="466"/>
      <c r="BY156" s="466"/>
      <c r="BZ156" s="466"/>
      <c r="CA156" s="466"/>
      <c r="CB156" s="466"/>
      <c r="CC156" s="466"/>
      <c r="CD156" s="466"/>
      <c r="CE156" s="466"/>
      <c r="CF156" s="466"/>
      <c r="CG156" s="466"/>
      <c r="CH156" s="466"/>
      <c r="CI156" s="466"/>
      <c r="CJ156" s="466"/>
      <c r="CK156" s="466"/>
      <c r="CL156" s="466"/>
      <c r="CM156" s="466"/>
      <c r="CN156" s="466"/>
      <c r="CO156" s="466"/>
      <c r="CP156" s="466"/>
      <c r="CQ156" s="466"/>
      <c r="CR156" s="466"/>
      <c r="CS156" s="466"/>
      <c r="CT156" s="466"/>
      <c r="CU156" s="466"/>
      <c r="CV156" s="466"/>
      <c r="CW156" s="466"/>
      <c r="CX156" s="466"/>
      <c r="CY156" s="466"/>
      <c r="CZ156" s="466"/>
      <c r="DA156" s="466"/>
      <c r="DB156" s="466"/>
      <c r="DC156" s="466"/>
      <c r="DD156" s="466"/>
      <c r="DE156" s="466"/>
      <c r="DF156" s="466"/>
      <c r="DG156" s="466"/>
      <c r="FE156" s="466"/>
      <c r="FF156" s="466"/>
      <c r="FG156" s="466"/>
      <c r="FH156" s="466"/>
      <c r="FI156" s="466"/>
      <c r="FJ156" s="466"/>
      <c r="FK156" s="466"/>
      <c r="FL156" s="466"/>
      <c r="FM156" s="466"/>
      <c r="FN156" s="466"/>
      <c r="FO156" s="466"/>
      <c r="FP156" s="466"/>
      <c r="FQ156" s="466"/>
      <c r="FR156" s="466"/>
      <c r="FS156" s="466"/>
      <c r="FT156" s="466"/>
      <c r="FU156" s="466"/>
      <c r="FV156" s="466"/>
      <c r="FW156" s="466"/>
      <c r="FX156" s="466"/>
      <c r="FY156" s="466"/>
      <c r="FZ156" s="466"/>
      <c r="GA156" s="466"/>
      <c r="GB156" s="466"/>
      <c r="GC156" s="466"/>
      <c r="GD156" s="466"/>
      <c r="GE156" s="466"/>
      <c r="GF156" s="466"/>
      <c r="GG156" s="466"/>
      <c r="GH156" s="466"/>
      <c r="GI156" s="466"/>
      <c r="GJ156" s="466"/>
      <c r="GK156" s="466"/>
      <c r="GL156" s="466"/>
      <c r="GM156" s="466"/>
      <c r="GN156" s="466"/>
      <c r="GO156" s="1564"/>
      <c r="GP156" s="1564"/>
      <c r="GQ156" s="1564"/>
      <c r="GR156" s="1564"/>
      <c r="GS156" s="1565"/>
      <c r="GT156" s="1565"/>
      <c r="GU156" s="1526"/>
      <c r="GV156" s="466"/>
      <c r="GW156" s="466"/>
      <c r="GX156" s="466"/>
      <c r="GY156" s="466"/>
      <c r="GZ156" s="466"/>
      <c r="HA156" s="466"/>
      <c r="HB156" s="466"/>
      <c r="HC156" s="466"/>
      <c r="HD156" s="466"/>
      <c r="HE156" s="844"/>
      <c r="HF156" s="844"/>
      <c r="HG156" s="844"/>
      <c r="HH156" s="844"/>
      <c r="HI156" s="844"/>
      <c r="HJ156" s="844"/>
      <c r="HK156" s="844"/>
      <c r="HL156" s="844"/>
      <c r="HM156" s="844"/>
      <c r="HN156" s="844"/>
      <c r="HP156" s="466"/>
      <c r="HQ156" s="466"/>
      <c r="HR156" s="466"/>
      <c r="HS156" s="415"/>
      <c r="HT156" s="2292"/>
    </row>
    <row r="157" spans="3:228">
      <c r="C157" s="466"/>
      <c r="D157" s="466"/>
      <c r="E157" s="3850"/>
      <c r="F157" s="516"/>
      <c r="G157" s="513"/>
      <c r="H157" s="525"/>
      <c r="I157" s="525"/>
      <c r="J157" s="523"/>
      <c r="K157" s="519"/>
      <c r="L157" s="466"/>
      <c r="M157" s="516"/>
      <c r="N157" s="513"/>
      <c r="O157" s="513"/>
      <c r="P157" s="510"/>
      <c r="Q157" s="510"/>
      <c r="R157" s="510"/>
      <c r="S157" s="510"/>
      <c r="T157" s="510"/>
      <c r="U157" s="510"/>
      <c r="V157" s="510"/>
      <c r="W157" s="510"/>
      <c r="X157" s="510"/>
      <c r="Y157" s="510"/>
      <c r="Z157" s="510"/>
      <c r="AA157" s="510"/>
      <c r="AB157" s="510"/>
      <c r="AC157" s="510"/>
      <c r="AD157" s="510"/>
      <c r="AE157" s="510"/>
      <c r="AF157" s="510"/>
      <c r="AG157" s="510"/>
      <c r="AH157" s="510"/>
      <c r="AI157" s="510"/>
      <c r="AJ157" s="510"/>
      <c r="AK157" s="510"/>
      <c r="AL157" s="510"/>
      <c r="AM157" s="510"/>
      <c r="AN157" s="510"/>
      <c r="AO157" s="510"/>
      <c r="AP157" s="510"/>
      <c r="AQ157" s="510"/>
      <c r="AR157" s="510"/>
      <c r="AS157" s="510"/>
      <c r="AT157" s="510"/>
      <c r="AU157" s="510"/>
      <c r="AV157" s="510"/>
      <c r="AW157" s="510"/>
      <c r="AX157" s="510"/>
      <c r="AY157" s="510"/>
      <c r="AZ157" s="466"/>
      <c r="BA157" s="466"/>
      <c r="BB157" s="466"/>
      <c r="BC157" s="466"/>
      <c r="BD157" s="466"/>
      <c r="BE157" s="466"/>
      <c r="BF157" s="466"/>
      <c r="BG157" s="466"/>
      <c r="BH157" s="466"/>
      <c r="BI157" s="466"/>
      <c r="BJ157" s="466"/>
      <c r="BK157" s="466"/>
      <c r="BL157" s="466"/>
      <c r="BM157" s="518"/>
      <c r="BN157" s="524"/>
      <c r="BO157" s="518"/>
      <c r="BP157" s="518"/>
      <c r="BQ157" s="518"/>
      <c r="BR157" s="466"/>
      <c r="BS157" s="466"/>
      <c r="BT157" s="466"/>
      <c r="BU157" s="466"/>
      <c r="BV157" s="466"/>
      <c r="BW157" s="466"/>
      <c r="BX157" s="466"/>
      <c r="BY157" s="466"/>
      <c r="BZ157" s="466"/>
      <c r="CA157" s="466"/>
      <c r="CB157" s="466"/>
      <c r="CC157" s="466"/>
      <c r="CD157" s="466"/>
      <c r="CE157" s="466"/>
      <c r="CF157" s="466"/>
      <c r="CG157" s="466"/>
      <c r="CH157" s="466"/>
      <c r="CI157" s="466"/>
      <c r="CJ157" s="466"/>
      <c r="CK157" s="466"/>
      <c r="CL157" s="466"/>
      <c r="CM157" s="466"/>
      <c r="CN157" s="466"/>
      <c r="CO157" s="466"/>
      <c r="CP157" s="466"/>
      <c r="CQ157" s="466"/>
      <c r="CR157" s="466"/>
      <c r="CS157" s="466"/>
      <c r="CT157" s="466"/>
      <c r="CU157" s="466"/>
      <c r="CV157" s="466"/>
      <c r="CW157" s="466"/>
      <c r="CX157" s="466"/>
      <c r="CY157" s="466"/>
      <c r="CZ157" s="466"/>
      <c r="DA157" s="466"/>
      <c r="DB157" s="466"/>
      <c r="DC157" s="466"/>
      <c r="DD157" s="466"/>
      <c r="DE157" s="466"/>
      <c r="DF157" s="466"/>
      <c r="DG157" s="466"/>
      <c r="FE157" s="466"/>
      <c r="FF157" s="466"/>
      <c r="FG157" s="466"/>
      <c r="FH157" s="466"/>
      <c r="FI157" s="466"/>
      <c r="FJ157" s="466"/>
      <c r="FK157" s="466"/>
      <c r="FL157" s="466"/>
      <c r="FM157" s="466"/>
      <c r="FN157" s="466"/>
      <c r="FO157" s="466"/>
      <c r="FP157" s="466"/>
      <c r="FQ157" s="466"/>
      <c r="FR157" s="466"/>
      <c r="FS157" s="466"/>
      <c r="FT157" s="466"/>
      <c r="FU157" s="466"/>
      <c r="FV157" s="466"/>
      <c r="FW157" s="466"/>
      <c r="FX157" s="466"/>
      <c r="FY157" s="466"/>
      <c r="FZ157" s="466"/>
      <c r="GA157" s="466"/>
      <c r="GB157" s="466"/>
      <c r="GC157" s="466"/>
      <c r="GD157" s="466"/>
      <c r="GE157" s="466"/>
      <c r="GF157" s="466"/>
      <c r="GG157" s="466"/>
      <c r="GH157" s="466"/>
      <c r="GI157" s="466"/>
      <c r="GJ157" s="466"/>
      <c r="GK157" s="466"/>
      <c r="GL157" s="466"/>
      <c r="GM157" s="466"/>
      <c r="GN157" s="466"/>
      <c r="GV157" s="466"/>
      <c r="GW157" s="466"/>
      <c r="GX157" s="466"/>
      <c r="GY157" s="466"/>
      <c r="GZ157" s="466"/>
      <c r="HA157" s="466"/>
      <c r="HB157" s="466"/>
      <c r="HC157" s="466"/>
      <c r="HD157" s="466"/>
      <c r="HE157" s="844"/>
      <c r="HF157" s="844"/>
      <c r="HG157" s="844"/>
      <c r="HH157" s="844"/>
      <c r="HI157" s="844"/>
      <c r="HJ157" s="844"/>
      <c r="HK157" s="844"/>
      <c r="HL157" s="844"/>
      <c r="HM157" s="844"/>
      <c r="HN157" s="844"/>
      <c r="HP157" s="466"/>
      <c r="HQ157" s="466"/>
      <c r="HR157" s="466"/>
      <c r="HS157" s="415"/>
      <c r="HT157" s="2292"/>
    </row>
    <row r="158" spans="3:228">
      <c r="C158" s="466"/>
      <c r="D158" s="466"/>
      <c r="E158" s="3850"/>
      <c r="F158" s="516"/>
      <c r="G158" s="513"/>
      <c r="H158" s="525"/>
      <c r="I158" s="525"/>
      <c r="J158" s="523"/>
      <c r="K158" s="519"/>
      <c r="L158" s="466"/>
      <c r="M158" s="516"/>
      <c r="N158" s="513"/>
      <c r="O158" s="513"/>
      <c r="P158" s="510"/>
      <c r="Q158" s="510"/>
      <c r="R158" s="510"/>
      <c r="S158" s="510"/>
      <c r="T158" s="510"/>
      <c r="U158" s="510"/>
      <c r="V158" s="510"/>
      <c r="W158" s="510"/>
      <c r="X158" s="510"/>
      <c r="Y158" s="510"/>
      <c r="Z158" s="510"/>
      <c r="AA158" s="510"/>
      <c r="AB158" s="510"/>
      <c r="AC158" s="510"/>
      <c r="AD158" s="510"/>
      <c r="AE158" s="510"/>
      <c r="AF158" s="510"/>
      <c r="AG158" s="510"/>
      <c r="AH158" s="510"/>
      <c r="AI158" s="510"/>
      <c r="AJ158" s="510"/>
      <c r="AK158" s="510"/>
      <c r="AL158" s="510"/>
      <c r="AM158" s="510"/>
      <c r="AN158" s="510"/>
      <c r="AO158" s="510"/>
      <c r="AP158" s="510"/>
      <c r="AQ158" s="510"/>
      <c r="AR158" s="510"/>
      <c r="AS158" s="510"/>
      <c r="AT158" s="510"/>
      <c r="AU158" s="510"/>
      <c r="AV158" s="510"/>
      <c r="AW158" s="510"/>
      <c r="AX158" s="510"/>
      <c r="AY158" s="510"/>
      <c r="AZ158" s="466"/>
      <c r="BA158" s="466"/>
      <c r="BB158" s="466"/>
      <c r="BC158" s="466"/>
      <c r="BD158" s="466"/>
      <c r="BE158" s="466"/>
      <c r="BF158" s="466"/>
      <c r="BG158" s="466"/>
      <c r="BH158" s="466"/>
      <c r="BI158" s="466"/>
      <c r="BJ158" s="466"/>
      <c r="BK158" s="466"/>
      <c r="BL158" s="466"/>
      <c r="BM158" s="518"/>
      <c r="BN158" s="524"/>
      <c r="BO158" s="518"/>
      <c r="BP158" s="518"/>
      <c r="BQ158" s="518"/>
      <c r="BR158" s="466"/>
      <c r="BS158" s="466"/>
      <c r="BT158" s="466"/>
      <c r="BU158" s="466"/>
      <c r="BV158" s="466"/>
      <c r="BW158" s="466"/>
      <c r="BX158" s="466"/>
      <c r="BY158" s="466"/>
      <c r="BZ158" s="466"/>
      <c r="CA158" s="466"/>
      <c r="CB158" s="466"/>
      <c r="CC158" s="466"/>
      <c r="CD158" s="466"/>
      <c r="CE158" s="466"/>
      <c r="CF158" s="466"/>
      <c r="CG158" s="466"/>
      <c r="CH158" s="466"/>
      <c r="CI158" s="466"/>
      <c r="CJ158" s="466"/>
      <c r="CK158" s="466"/>
      <c r="CL158" s="466"/>
      <c r="CM158" s="466"/>
      <c r="CN158" s="466"/>
      <c r="CO158" s="466"/>
      <c r="CP158" s="466"/>
      <c r="CQ158" s="466"/>
      <c r="CR158" s="466"/>
      <c r="CS158" s="466"/>
      <c r="CT158" s="466"/>
      <c r="CU158" s="466"/>
      <c r="CV158" s="466"/>
      <c r="CW158" s="466"/>
      <c r="CX158" s="466"/>
      <c r="CY158" s="466"/>
      <c r="CZ158" s="466"/>
      <c r="DA158" s="466"/>
      <c r="DB158" s="466"/>
      <c r="DC158" s="466"/>
      <c r="DD158" s="466"/>
      <c r="DE158" s="466"/>
      <c r="DF158" s="466"/>
      <c r="DG158" s="466"/>
      <c r="FE158" s="466"/>
      <c r="FF158" s="466"/>
      <c r="FG158" s="466"/>
      <c r="FH158" s="466"/>
      <c r="FI158" s="466"/>
      <c r="FJ158" s="466"/>
      <c r="FK158" s="466"/>
      <c r="FL158" s="466"/>
      <c r="FM158" s="466"/>
      <c r="FN158" s="466"/>
      <c r="FO158" s="466"/>
      <c r="FP158" s="466"/>
      <c r="FQ158" s="466"/>
      <c r="FR158" s="466"/>
      <c r="FS158" s="466"/>
      <c r="FT158" s="466"/>
      <c r="FU158" s="466"/>
      <c r="FV158" s="466"/>
      <c r="FW158" s="466"/>
      <c r="FX158" s="466"/>
      <c r="FY158" s="466"/>
      <c r="FZ158" s="466"/>
      <c r="GA158" s="466"/>
      <c r="GB158" s="466"/>
      <c r="GC158" s="466"/>
      <c r="GD158" s="466"/>
      <c r="GE158" s="466"/>
      <c r="GF158" s="466"/>
      <c r="GG158" s="466"/>
      <c r="GH158" s="466"/>
      <c r="GI158" s="466"/>
      <c r="GJ158" s="466"/>
      <c r="GK158" s="466"/>
      <c r="GL158" s="466"/>
      <c r="GM158" s="466"/>
      <c r="GN158" s="466"/>
      <c r="GV158" s="466"/>
      <c r="GW158" s="466"/>
      <c r="GX158" s="466"/>
      <c r="GY158" s="466"/>
      <c r="GZ158" s="466"/>
      <c r="HA158" s="466"/>
      <c r="HB158" s="466"/>
      <c r="HC158" s="466"/>
      <c r="HD158" s="466"/>
      <c r="HE158" s="844"/>
      <c r="HF158" s="844"/>
      <c r="HG158" s="844"/>
      <c r="HH158" s="844"/>
      <c r="HI158" s="844"/>
      <c r="HJ158" s="844"/>
      <c r="HK158" s="844"/>
      <c r="HL158" s="844"/>
      <c r="HM158" s="844"/>
      <c r="HN158" s="844"/>
      <c r="HP158" s="466"/>
      <c r="HQ158" s="466"/>
      <c r="HR158" s="466"/>
      <c r="HS158" s="415"/>
      <c r="HT158" s="2292"/>
    </row>
    <row r="159" spans="3:228">
      <c r="C159" s="466"/>
      <c r="D159" s="466"/>
      <c r="E159" s="3850"/>
      <c r="F159" s="516"/>
      <c r="G159" s="513"/>
      <c r="H159" s="525"/>
      <c r="I159" s="525"/>
      <c r="J159" s="523"/>
      <c r="K159" s="519"/>
      <c r="L159" s="466"/>
      <c r="M159" s="516"/>
      <c r="N159" s="513"/>
      <c r="O159" s="513"/>
      <c r="P159" s="510"/>
      <c r="Q159" s="510"/>
      <c r="R159" s="510"/>
      <c r="S159" s="510"/>
      <c r="T159" s="510"/>
      <c r="U159" s="510"/>
      <c r="V159" s="510"/>
      <c r="W159" s="510"/>
      <c r="X159" s="510"/>
      <c r="Y159" s="510"/>
      <c r="Z159" s="510"/>
      <c r="AA159" s="510"/>
      <c r="AB159" s="510"/>
      <c r="AC159" s="510"/>
      <c r="AD159" s="510"/>
      <c r="AE159" s="510"/>
      <c r="AF159" s="510"/>
      <c r="AG159" s="510"/>
      <c r="AH159" s="510"/>
      <c r="AI159" s="510"/>
      <c r="AJ159" s="510"/>
      <c r="AK159" s="510"/>
      <c r="AL159" s="510"/>
      <c r="AM159" s="510"/>
      <c r="AN159" s="510"/>
      <c r="AO159" s="510"/>
      <c r="AP159" s="510"/>
      <c r="AQ159" s="510"/>
      <c r="AR159" s="510"/>
      <c r="AS159" s="510"/>
      <c r="AT159" s="510"/>
      <c r="AU159" s="510"/>
      <c r="AV159" s="510"/>
      <c r="AW159" s="510"/>
      <c r="AX159" s="510"/>
      <c r="AY159" s="510"/>
      <c r="AZ159" s="466"/>
      <c r="BA159" s="466"/>
      <c r="BB159" s="466"/>
      <c r="BC159" s="466"/>
      <c r="BD159" s="466"/>
      <c r="BE159" s="466"/>
      <c r="BF159" s="466"/>
      <c r="BG159" s="466"/>
      <c r="BH159" s="466"/>
      <c r="BI159" s="466"/>
      <c r="BJ159" s="466"/>
      <c r="BK159" s="466"/>
      <c r="BL159" s="466"/>
      <c r="BM159" s="518"/>
      <c r="BN159" s="524"/>
      <c r="BO159" s="518"/>
      <c r="BP159" s="518"/>
      <c r="BQ159" s="518"/>
      <c r="BR159" s="466"/>
      <c r="BS159" s="466"/>
      <c r="BT159" s="466"/>
      <c r="BU159" s="466"/>
      <c r="BV159" s="466"/>
      <c r="BW159" s="466"/>
      <c r="BX159" s="466"/>
      <c r="BY159" s="466"/>
      <c r="BZ159" s="466"/>
      <c r="CA159" s="466"/>
      <c r="CB159" s="466"/>
      <c r="CC159" s="466"/>
      <c r="CD159" s="466"/>
      <c r="CE159" s="466"/>
      <c r="CF159" s="466"/>
      <c r="CG159" s="466"/>
      <c r="CH159" s="466"/>
      <c r="CI159" s="466"/>
      <c r="CJ159" s="466"/>
      <c r="CK159" s="466"/>
      <c r="CL159" s="466"/>
      <c r="CM159" s="466"/>
      <c r="CN159" s="466"/>
      <c r="CO159" s="466"/>
      <c r="CP159" s="466"/>
      <c r="CQ159" s="466"/>
      <c r="CR159" s="466"/>
      <c r="CS159" s="466"/>
      <c r="CT159" s="466"/>
      <c r="CU159" s="466"/>
      <c r="CV159" s="466"/>
      <c r="CW159" s="466"/>
      <c r="CX159" s="466"/>
      <c r="CY159" s="466"/>
      <c r="CZ159" s="466"/>
      <c r="DA159" s="466"/>
      <c r="DB159" s="466"/>
      <c r="DC159" s="466"/>
      <c r="DD159" s="466"/>
      <c r="DE159" s="466"/>
      <c r="DF159" s="466"/>
      <c r="DG159" s="466"/>
      <c r="FE159" s="466"/>
      <c r="FF159" s="466"/>
      <c r="FG159" s="466"/>
      <c r="FH159" s="466"/>
      <c r="FI159" s="466"/>
      <c r="FJ159" s="466"/>
      <c r="FK159" s="466"/>
      <c r="FL159" s="466"/>
      <c r="FM159" s="466"/>
      <c r="FN159" s="466"/>
      <c r="FO159" s="466"/>
      <c r="FP159" s="466"/>
      <c r="FQ159" s="466"/>
      <c r="FR159" s="466"/>
      <c r="FS159" s="466"/>
      <c r="FT159" s="466"/>
      <c r="FU159" s="466"/>
      <c r="FV159" s="466"/>
      <c r="FW159" s="466"/>
      <c r="FX159" s="466"/>
      <c r="FY159" s="466"/>
      <c r="FZ159" s="466"/>
      <c r="GA159" s="466"/>
      <c r="GB159" s="466"/>
      <c r="GC159" s="466"/>
      <c r="GD159" s="466"/>
      <c r="GE159" s="466"/>
      <c r="GF159" s="466"/>
      <c r="GG159" s="466"/>
      <c r="GH159" s="466"/>
      <c r="GI159" s="466"/>
      <c r="GJ159" s="466"/>
      <c r="GK159" s="466"/>
      <c r="GL159" s="466"/>
      <c r="GM159" s="466"/>
      <c r="GN159" s="466"/>
      <c r="GV159" s="466"/>
      <c r="GW159" s="466"/>
      <c r="GX159" s="466"/>
      <c r="GY159" s="466"/>
      <c r="GZ159" s="466"/>
      <c r="HA159" s="466"/>
      <c r="HB159" s="466"/>
      <c r="HC159" s="466"/>
      <c r="HD159" s="466"/>
      <c r="HE159" s="844"/>
      <c r="HF159" s="844"/>
      <c r="HG159" s="844"/>
      <c r="HH159" s="844"/>
      <c r="HI159" s="844"/>
      <c r="HJ159" s="844"/>
      <c r="HK159" s="844"/>
      <c r="HL159" s="844"/>
      <c r="HM159" s="844"/>
      <c r="HN159" s="844"/>
      <c r="HP159" s="466"/>
      <c r="HQ159" s="466"/>
      <c r="HR159" s="466"/>
      <c r="HS159" s="415"/>
      <c r="HT159" s="2292"/>
    </row>
    <row r="160" spans="3:228">
      <c r="C160" s="466"/>
      <c r="D160" s="466"/>
      <c r="E160" s="3850"/>
      <c r="F160" s="516"/>
      <c r="G160" s="513"/>
      <c r="H160" s="525"/>
      <c r="I160" s="525"/>
      <c r="J160" s="523"/>
      <c r="K160" s="519"/>
      <c r="L160" s="466"/>
      <c r="M160" s="516"/>
      <c r="N160" s="513"/>
      <c r="O160" s="513"/>
      <c r="P160" s="510"/>
      <c r="Q160" s="510"/>
      <c r="R160" s="510"/>
      <c r="S160" s="510"/>
      <c r="T160" s="510"/>
      <c r="U160" s="510"/>
      <c r="V160" s="510"/>
      <c r="W160" s="510"/>
      <c r="X160" s="510"/>
      <c r="Y160" s="510"/>
      <c r="Z160" s="510"/>
      <c r="AA160" s="510"/>
      <c r="AB160" s="510"/>
      <c r="AC160" s="510"/>
      <c r="AD160" s="510"/>
      <c r="AE160" s="510"/>
      <c r="AF160" s="510"/>
      <c r="AG160" s="510"/>
      <c r="AH160" s="510"/>
      <c r="AI160" s="510"/>
      <c r="AJ160" s="510"/>
      <c r="AK160" s="510"/>
      <c r="AL160" s="510"/>
      <c r="AM160" s="510"/>
      <c r="AN160" s="510"/>
      <c r="AO160" s="510"/>
      <c r="AP160" s="510"/>
      <c r="AQ160" s="510"/>
      <c r="AR160" s="510"/>
      <c r="AS160" s="510"/>
      <c r="AT160" s="510"/>
      <c r="AU160" s="510"/>
      <c r="AV160" s="510"/>
      <c r="AW160" s="510"/>
      <c r="AX160" s="510"/>
      <c r="AY160" s="510"/>
      <c r="AZ160" s="466"/>
      <c r="BA160" s="466"/>
      <c r="BB160" s="466"/>
      <c r="BC160" s="466"/>
      <c r="BD160" s="466"/>
      <c r="BE160" s="466"/>
      <c r="BF160" s="466"/>
      <c r="BG160" s="466"/>
      <c r="BH160" s="466"/>
      <c r="BI160" s="466"/>
      <c r="BJ160" s="466"/>
      <c r="BK160" s="466"/>
      <c r="BL160" s="466"/>
      <c r="BM160" s="518"/>
      <c r="BN160" s="524"/>
      <c r="BO160" s="518"/>
      <c r="BP160" s="518"/>
      <c r="BQ160" s="518"/>
      <c r="BR160" s="466"/>
      <c r="BS160" s="466"/>
      <c r="BT160" s="466"/>
      <c r="BU160" s="466"/>
      <c r="BV160" s="466"/>
      <c r="BW160" s="466"/>
      <c r="BX160" s="466"/>
      <c r="BY160" s="466"/>
      <c r="BZ160" s="466"/>
      <c r="CA160" s="466"/>
      <c r="CB160" s="466"/>
      <c r="CC160" s="466"/>
      <c r="CD160" s="466"/>
      <c r="CE160" s="466"/>
      <c r="CF160" s="466"/>
      <c r="CG160" s="466"/>
      <c r="CH160" s="466"/>
      <c r="CI160" s="466"/>
      <c r="CJ160" s="466"/>
      <c r="CK160" s="466"/>
      <c r="CL160" s="466"/>
      <c r="CM160" s="466"/>
      <c r="CN160" s="466"/>
      <c r="CO160" s="466"/>
      <c r="CP160" s="466"/>
      <c r="CQ160" s="466"/>
      <c r="CR160" s="466"/>
      <c r="CS160" s="466"/>
      <c r="CT160" s="466"/>
      <c r="CU160" s="466"/>
      <c r="CV160" s="466"/>
      <c r="CW160" s="466"/>
      <c r="CX160" s="466"/>
      <c r="CY160" s="466"/>
      <c r="CZ160" s="466"/>
      <c r="DA160" s="466"/>
      <c r="DB160" s="466"/>
      <c r="DC160" s="466"/>
      <c r="DD160" s="466"/>
      <c r="DE160" s="466"/>
      <c r="DF160" s="466"/>
      <c r="DG160" s="466"/>
      <c r="FE160" s="466"/>
      <c r="FF160" s="466"/>
      <c r="FG160" s="466"/>
      <c r="FH160" s="466"/>
      <c r="FI160" s="466"/>
      <c r="FJ160" s="466"/>
      <c r="FK160" s="466"/>
      <c r="FL160" s="466"/>
      <c r="FM160" s="466"/>
      <c r="FN160" s="466"/>
      <c r="FO160" s="466"/>
      <c r="FP160" s="466"/>
      <c r="FQ160" s="466"/>
      <c r="FR160" s="466"/>
      <c r="FS160" s="466"/>
      <c r="FT160" s="466"/>
      <c r="FU160" s="466"/>
      <c r="FV160" s="466"/>
      <c r="FW160" s="466"/>
      <c r="FX160" s="466"/>
      <c r="FY160" s="466"/>
      <c r="FZ160" s="466"/>
      <c r="GA160" s="466"/>
      <c r="GB160" s="466"/>
      <c r="GC160" s="466"/>
      <c r="GD160" s="466"/>
      <c r="GE160" s="466"/>
      <c r="GF160" s="466"/>
      <c r="GG160" s="466"/>
      <c r="GH160" s="466"/>
      <c r="GI160" s="466"/>
      <c r="GJ160" s="466"/>
      <c r="GK160" s="466"/>
      <c r="GL160" s="466"/>
      <c r="GM160" s="466"/>
      <c r="GN160" s="466"/>
      <c r="GV160" s="466"/>
      <c r="GW160" s="466"/>
      <c r="GX160" s="466"/>
      <c r="GY160" s="466"/>
      <c r="GZ160" s="466"/>
      <c r="HA160" s="466"/>
      <c r="HB160" s="466"/>
      <c r="HC160" s="466"/>
      <c r="HD160" s="466"/>
      <c r="HE160" s="844"/>
      <c r="HF160" s="844"/>
      <c r="HG160" s="844"/>
      <c r="HH160" s="844"/>
      <c r="HI160" s="844"/>
      <c r="HJ160" s="844"/>
      <c r="HK160" s="844"/>
      <c r="HL160" s="844"/>
      <c r="HM160" s="844"/>
      <c r="HN160" s="844"/>
      <c r="HP160" s="466"/>
      <c r="HQ160" s="466"/>
      <c r="HR160" s="466"/>
      <c r="HS160" s="415"/>
      <c r="HT160" s="2292"/>
    </row>
    <row r="161" spans="3:228">
      <c r="C161" s="466"/>
      <c r="D161" s="466"/>
      <c r="E161" s="3850"/>
      <c r="F161" s="516"/>
      <c r="G161" s="513"/>
      <c r="H161" s="525"/>
      <c r="I161" s="525"/>
      <c r="J161" s="523"/>
      <c r="K161" s="519"/>
      <c r="L161" s="466"/>
      <c r="M161" s="516"/>
      <c r="N161" s="513"/>
      <c r="O161" s="513"/>
      <c r="P161" s="510"/>
      <c r="Q161" s="510"/>
      <c r="R161" s="510"/>
      <c r="S161" s="510"/>
      <c r="T161" s="510"/>
      <c r="U161" s="510"/>
      <c r="V161" s="510"/>
      <c r="W161" s="510"/>
      <c r="X161" s="510"/>
      <c r="Y161" s="510"/>
      <c r="Z161" s="510"/>
      <c r="AA161" s="510"/>
      <c r="AB161" s="510"/>
      <c r="AC161" s="510"/>
      <c r="AD161" s="510"/>
      <c r="AE161" s="510"/>
      <c r="AF161" s="510"/>
      <c r="AG161" s="510"/>
      <c r="AH161" s="510"/>
      <c r="AI161" s="510"/>
      <c r="AJ161" s="510"/>
      <c r="AK161" s="510"/>
      <c r="AL161" s="510"/>
      <c r="AM161" s="510"/>
      <c r="AN161" s="510"/>
      <c r="AO161" s="510"/>
      <c r="AP161" s="510"/>
      <c r="AQ161" s="510"/>
      <c r="AR161" s="510"/>
      <c r="AS161" s="510"/>
      <c r="AT161" s="510"/>
      <c r="AU161" s="510"/>
      <c r="AV161" s="510"/>
      <c r="AW161" s="510"/>
      <c r="AX161" s="510"/>
      <c r="AY161" s="510"/>
      <c r="AZ161" s="466"/>
      <c r="BA161" s="466"/>
      <c r="BB161" s="466"/>
      <c r="BC161" s="466"/>
      <c r="BD161" s="466"/>
      <c r="BE161" s="466"/>
      <c r="BF161" s="466"/>
      <c r="BG161" s="466"/>
      <c r="BH161" s="466"/>
      <c r="BI161" s="466"/>
      <c r="BJ161" s="466"/>
      <c r="BK161" s="466"/>
      <c r="BL161" s="466"/>
      <c r="BM161" s="518"/>
      <c r="BN161" s="524"/>
      <c r="BO161" s="518"/>
      <c r="BP161" s="518"/>
      <c r="BQ161" s="518"/>
      <c r="BR161" s="466"/>
      <c r="BS161" s="466"/>
      <c r="BT161" s="466"/>
      <c r="BU161" s="466"/>
      <c r="BV161" s="466"/>
      <c r="BW161" s="466"/>
      <c r="BX161" s="466"/>
      <c r="BY161" s="466"/>
      <c r="BZ161" s="466"/>
      <c r="CA161" s="466"/>
      <c r="CB161" s="466"/>
      <c r="CC161" s="466"/>
      <c r="CD161" s="466"/>
      <c r="CE161" s="466"/>
      <c r="CF161" s="466"/>
      <c r="CG161" s="466"/>
      <c r="CH161" s="466"/>
      <c r="CI161" s="466"/>
      <c r="CJ161" s="466"/>
      <c r="CK161" s="466"/>
      <c r="CL161" s="466"/>
      <c r="CM161" s="466"/>
      <c r="CN161" s="466"/>
      <c r="CO161" s="466"/>
      <c r="CP161" s="466"/>
      <c r="CQ161" s="466"/>
      <c r="CR161" s="466"/>
      <c r="CS161" s="466"/>
      <c r="CT161" s="466"/>
      <c r="CU161" s="466"/>
      <c r="CV161" s="466"/>
      <c r="CW161" s="466"/>
      <c r="CX161" s="466"/>
      <c r="CY161" s="466"/>
      <c r="CZ161" s="466"/>
      <c r="DA161" s="466"/>
      <c r="DB161" s="466"/>
      <c r="DC161" s="466"/>
      <c r="DD161" s="466"/>
      <c r="DE161" s="466"/>
      <c r="DF161" s="466"/>
      <c r="DG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V161" s="466"/>
      <c r="GW161" s="466"/>
      <c r="GX161" s="466"/>
      <c r="GY161" s="466"/>
      <c r="GZ161" s="466"/>
      <c r="HA161" s="466"/>
      <c r="HB161" s="466"/>
      <c r="HC161" s="466"/>
      <c r="HD161" s="466"/>
      <c r="HE161" s="844"/>
      <c r="HF161" s="844"/>
      <c r="HG161" s="844"/>
      <c r="HH161" s="844"/>
      <c r="HI161" s="844"/>
      <c r="HJ161" s="844"/>
      <c r="HK161" s="844"/>
      <c r="HL161" s="844"/>
      <c r="HM161" s="844"/>
      <c r="HN161" s="844"/>
      <c r="HP161" s="466"/>
      <c r="HQ161" s="466"/>
      <c r="HR161" s="466"/>
      <c r="HS161" s="415"/>
      <c r="HT161" s="2292"/>
    </row>
    <row r="162" spans="3:228">
      <c r="C162" s="466"/>
      <c r="D162" s="466"/>
      <c r="E162" s="3850"/>
      <c r="F162" s="516"/>
      <c r="G162" s="513"/>
      <c r="H162" s="525"/>
      <c r="I162" s="525"/>
      <c r="J162" s="523"/>
      <c r="K162" s="519"/>
      <c r="L162" s="466"/>
      <c r="M162" s="516"/>
      <c r="N162" s="513"/>
      <c r="O162" s="513"/>
      <c r="P162" s="510"/>
      <c r="Q162" s="510"/>
      <c r="R162" s="510"/>
      <c r="S162" s="510"/>
      <c r="T162" s="510"/>
      <c r="U162" s="510"/>
      <c r="V162" s="510"/>
      <c r="W162" s="510"/>
      <c r="X162" s="510"/>
      <c r="Y162" s="510"/>
      <c r="Z162" s="510"/>
      <c r="AA162" s="510"/>
      <c r="AB162" s="510"/>
      <c r="AC162" s="510"/>
      <c r="AD162" s="510"/>
      <c r="AE162" s="510"/>
      <c r="AF162" s="510"/>
      <c r="AG162" s="510"/>
      <c r="AH162" s="510"/>
      <c r="AI162" s="510"/>
      <c r="AJ162" s="510"/>
      <c r="AK162" s="510"/>
      <c r="AL162" s="510"/>
      <c r="AM162" s="510"/>
      <c r="AN162" s="510"/>
      <c r="AO162" s="510"/>
      <c r="AP162" s="510"/>
      <c r="AQ162" s="510"/>
      <c r="AR162" s="510"/>
      <c r="AS162" s="510"/>
      <c r="AT162" s="510"/>
      <c r="AU162" s="510"/>
      <c r="AV162" s="510"/>
      <c r="AW162" s="510"/>
      <c r="AX162" s="510"/>
      <c r="AY162" s="510"/>
      <c r="AZ162" s="466"/>
      <c r="BA162" s="466"/>
      <c r="BB162" s="466"/>
      <c r="BC162" s="466"/>
      <c r="BD162" s="466"/>
      <c r="BE162" s="466"/>
      <c r="BF162" s="466"/>
      <c r="BG162" s="466"/>
      <c r="BH162" s="466"/>
      <c r="BI162" s="466"/>
      <c r="BJ162" s="466"/>
      <c r="BK162" s="466"/>
      <c r="BL162" s="466"/>
      <c r="BM162" s="518"/>
      <c r="BN162" s="524"/>
      <c r="BO162" s="518"/>
      <c r="BP162" s="518"/>
      <c r="BQ162" s="518"/>
      <c r="BR162" s="466"/>
      <c r="BS162" s="466"/>
      <c r="BT162" s="466"/>
      <c r="BU162" s="466"/>
      <c r="BV162" s="466"/>
      <c r="BW162" s="466"/>
      <c r="BX162" s="466"/>
      <c r="BY162" s="466"/>
      <c r="BZ162" s="466"/>
      <c r="CA162" s="466"/>
      <c r="CB162" s="466"/>
      <c r="CC162" s="466"/>
      <c r="CD162" s="466"/>
      <c r="CE162" s="466"/>
      <c r="CF162" s="466"/>
      <c r="CG162" s="466"/>
      <c r="CH162" s="466"/>
      <c r="CI162" s="466"/>
      <c r="CJ162" s="466"/>
      <c r="CK162" s="466"/>
      <c r="CL162" s="466"/>
      <c r="CM162" s="466"/>
      <c r="CN162" s="466"/>
      <c r="CO162" s="466"/>
      <c r="CP162" s="466"/>
      <c r="CQ162" s="466"/>
      <c r="CR162" s="466"/>
      <c r="CS162" s="466"/>
      <c r="CT162" s="466"/>
      <c r="CU162" s="466"/>
      <c r="CV162" s="466"/>
      <c r="CW162" s="466"/>
      <c r="CX162" s="466"/>
      <c r="CY162" s="466"/>
      <c r="CZ162" s="466"/>
      <c r="DA162" s="466"/>
      <c r="DB162" s="466"/>
      <c r="DC162" s="466"/>
      <c r="DD162" s="466"/>
      <c r="DE162" s="466"/>
      <c r="DF162" s="466"/>
      <c r="DG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V162" s="466"/>
      <c r="GW162" s="466"/>
      <c r="GX162" s="466"/>
      <c r="GY162" s="466"/>
      <c r="GZ162" s="466"/>
      <c r="HA162" s="466"/>
      <c r="HB162" s="466"/>
      <c r="HC162" s="466"/>
      <c r="HD162" s="466"/>
      <c r="HE162" s="844"/>
      <c r="HF162" s="844"/>
      <c r="HG162" s="844"/>
      <c r="HH162" s="844"/>
      <c r="HI162" s="844"/>
      <c r="HJ162" s="844"/>
      <c r="HK162" s="844"/>
      <c r="HL162" s="844"/>
      <c r="HM162" s="844"/>
      <c r="HN162" s="844"/>
      <c r="HP162" s="466"/>
      <c r="HQ162" s="466"/>
      <c r="HR162" s="466"/>
      <c r="HS162" s="415"/>
      <c r="HT162" s="2292"/>
    </row>
    <row r="163" spans="3:228">
      <c r="C163" s="466"/>
      <c r="D163" s="466"/>
      <c r="E163" s="3850"/>
      <c r="F163" s="516"/>
      <c r="G163" s="513"/>
      <c r="H163" s="525"/>
      <c r="I163" s="525"/>
      <c r="J163" s="525"/>
      <c r="K163" s="519"/>
      <c r="L163" s="466"/>
      <c r="M163" s="516"/>
      <c r="N163" s="513"/>
      <c r="O163" s="513"/>
      <c r="P163" s="510"/>
      <c r="Q163" s="510"/>
      <c r="R163" s="510"/>
      <c r="S163" s="510"/>
      <c r="T163" s="510"/>
      <c r="U163" s="510"/>
      <c r="V163" s="510"/>
      <c r="W163" s="510"/>
      <c r="X163" s="510"/>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466"/>
      <c r="BA163" s="466"/>
      <c r="BB163" s="466"/>
      <c r="BC163" s="466"/>
      <c r="BD163" s="466"/>
      <c r="BE163" s="466"/>
      <c r="BF163" s="466"/>
      <c r="BG163" s="466"/>
      <c r="BH163" s="466"/>
      <c r="BI163" s="466"/>
      <c r="BJ163" s="466"/>
      <c r="BK163" s="466"/>
      <c r="BL163" s="466"/>
      <c r="BM163" s="518"/>
      <c r="BN163" s="524"/>
      <c r="BO163" s="518"/>
      <c r="BP163" s="518"/>
      <c r="BQ163" s="518"/>
      <c r="BR163" s="466"/>
      <c r="BS163" s="466"/>
      <c r="BT163" s="466"/>
      <c r="BU163" s="466"/>
      <c r="BV163" s="466"/>
      <c r="BW163" s="466"/>
      <c r="BX163" s="466"/>
      <c r="BY163" s="466"/>
      <c r="BZ163" s="466"/>
      <c r="CA163" s="466"/>
      <c r="CB163" s="466"/>
      <c r="CC163" s="466"/>
      <c r="CD163" s="466"/>
      <c r="CE163" s="466"/>
      <c r="CF163" s="466"/>
      <c r="CG163" s="466"/>
      <c r="CH163" s="466"/>
      <c r="CI163" s="466"/>
      <c r="CJ163" s="466"/>
      <c r="CK163" s="466"/>
      <c r="CL163" s="466"/>
      <c r="CM163" s="466"/>
      <c r="CN163" s="466"/>
      <c r="CO163" s="466"/>
      <c r="CP163" s="466"/>
      <c r="CQ163" s="466"/>
      <c r="CR163" s="466"/>
      <c r="CS163" s="466"/>
      <c r="CT163" s="466"/>
      <c r="CU163" s="466"/>
      <c r="CV163" s="466"/>
      <c r="CW163" s="466"/>
      <c r="CX163" s="466"/>
      <c r="CY163" s="466"/>
      <c r="CZ163" s="466"/>
      <c r="DA163" s="466"/>
      <c r="DB163" s="466"/>
      <c r="DC163" s="466"/>
      <c r="DD163" s="466"/>
      <c r="DE163" s="466"/>
      <c r="DF163" s="466"/>
      <c r="DG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V163" s="466"/>
      <c r="GW163" s="466"/>
      <c r="GX163" s="466"/>
      <c r="GY163" s="466"/>
      <c r="GZ163" s="466"/>
      <c r="HA163" s="466"/>
      <c r="HB163" s="466"/>
      <c r="HC163" s="466"/>
      <c r="HD163" s="466"/>
      <c r="HE163" s="844"/>
      <c r="HF163" s="844"/>
      <c r="HG163" s="844"/>
      <c r="HH163" s="844"/>
      <c r="HI163" s="844"/>
      <c r="HJ163" s="844"/>
      <c r="HK163" s="844"/>
      <c r="HL163" s="844"/>
      <c r="HM163" s="844"/>
      <c r="HN163" s="844"/>
      <c r="HP163" s="466"/>
      <c r="HQ163" s="466"/>
      <c r="HR163" s="466"/>
      <c r="HS163" s="415"/>
      <c r="HT163" s="2292"/>
    </row>
    <row r="164" spans="3:228">
      <c r="C164" s="466"/>
      <c r="D164" s="466"/>
      <c r="E164" s="3850"/>
      <c r="F164" s="516"/>
      <c r="G164" s="513"/>
      <c r="H164" s="525"/>
      <c r="I164" s="525"/>
      <c r="J164" s="523"/>
      <c r="K164" s="519"/>
      <c r="L164" s="466"/>
      <c r="M164" s="516"/>
      <c r="N164" s="513"/>
      <c r="O164" s="513"/>
      <c r="P164" s="510"/>
      <c r="Q164" s="510"/>
      <c r="R164" s="510"/>
      <c r="S164" s="510"/>
      <c r="T164" s="510"/>
      <c r="U164" s="510"/>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466"/>
      <c r="BA164" s="466"/>
      <c r="BB164" s="466"/>
      <c r="BC164" s="466"/>
      <c r="BD164" s="466"/>
      <c r="BE164" s="466"/>
      <c r="BF164" s="466"/>
      <c r="BG164" s="466"/>
      <c r="BH164" s="466"/>
      <c r="BI164" s="466"/>
      <c r="BJ164" s="466"/>
      <c r="BK164" s="466"/>
      <c r="BL164" s="466"/>
      <c r="BM164" s="518"/>
      <c r="BN164" s="524"/>
      <c r="BO164" s="518"/>
      <c r="BP164" s="518"/>
      <c r="BQ164" s="518"/>
      <c r="BR164" s="466"/>
      <c r="BS164" s="466"/>
      <c r="BT164" s="466"/>
      <c r="BU164" s="466"/>
      <c r="BV164" s="466"/>
      <c r="BW164" s="466"/>
      <c r="BX164" s="466"/>
      <c r="BY164" s="466"/>
      <c r="BZ164" s="466"/>
      <c r="CA164" s="466"/>
      <c r="CB164" s="466"/>
      <c r="CC164" s="466"/>
      <c r="CD164" s="466"/>
      <c r="CE164" s="466"/>
      <c r="CF164" s="466"/>
      <c r="CG164" s="466"/>
      <c r="CH164" s="466"/>
      <c r="CI164" s="466"/>
      <c r="CJ164" s="466"/>
      <c r="CK164" s="466"/>
      <c r="CL164" s="466"/>
      <c r="CM164" s="466"/>
      <c r="CN164" s="466"/>
      <c r="CO164" s="466"/>
      <c r="CP164" s="466"/>
      <c r="CQ164" s="466"/>
      <c r="CR164" s="466"/>
      <c r="CS164" s="466"/>
      <c r="CT164" s="466"/>
      <c r="CU164" s="466"/>
      <c r="CV164" s="466"/>
      <c r="CW164" s="466"/>
      <c r="CX164" s="466"/>
      <c r="CY164" s="466"/>
      <c r="CZ164" s="466"/>
      <c r="DA164" s="466"/>
      <c r="DB164" s="466"/>
      <c r="DC164" s="466"/>
      <c r="DD164" s="466"/>
      <c r="DE164" s="466"/>
      <c r="DF164" s="466"/>
      <c r="DG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V164" s="466"/>
      <c r="GW164" s="466"/>
      <c r="GX164" s="466"/>
      <c r="GY164" s="466"/>
      <c r="GZ164" s="466"/>
      <c r="HA164" s="466"/>
      <c r="HB164" s="466"/>
      <c r="HC164" s="466"/>
      <c r="HD164" s="466"/>
      <c r="HE164" s="844"/>
      <c r="HF164" s="844"/>
      <c r="HG164" s="844"/>
      <c r="HH164" s="844"/>
      <c r="HI164" s="844"/>
      <c r="HJ164" s="844"/>
      <c r="HK164" s="844"/>
      <c r="HL164" s="844"/>
      <c r="HM164" s="844"/>
      <c r="HN164" s="844"/>
      <c r="HP164" s="466"/>
      <c r="HQ164" s="466"/>
      <c r="HR164" s="466"/>
      <c r="HS164" s="415"/>
      <c r="HT164" s="2292"/>
    </row>
    <row r="165" spans="3:228">
      <c r="C165" s="466"/>
      <c r="D165" s="466"/>
      <c r="E165" s="3850"/>
      <c r="F165" s="516"/>
      <c r="G165" s="513"/>
      <c r="H165" s="525"/>
      <c r="I165" s="525"/>
      <c r="J165" s="523"/>
      <c r="K165" s="519"/>
      <c r="L165" s="466"/>
      <c r="M165" s="516"/>
      <c r="N165" s="513"/>
      <c r="O165" s="513"/>
      <c r="P165" s="510"/>
      <c r="Q165" s="510"/>
      <c r="R165" s="510"/>
      <c r="S165" s="510"/>
      <c r="T165" s="510"/>
      <c r="U165" s="510"/>
      <c r="V165" s="510"/>
      <c r="W165" s="510"/>
      <c r="X165" s="510"/>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466"/>
      <c r="BA165" s="466"/>
      <c r="BB165" s="466"/>
      <c r="BC165" s="466"/>
      <c r="BD165" s="466"/>
      <c r="BE165" s="466"/>
      <c r="BF165" s="466"/>
      <c r="BG165" s="466"/>
      <c r="BH165" s="466"/>
      <c r="BI165" s="466"/>
      <c r="BJ165" s="466"/>
      <c r="BK165" s="466"/>
      <c r="BL165" s="466"/>
      <c r="BM165" s="518"/>
      <c r="BN165" s="524"/>
      <c r="BO165" s="518"/>
      <c r="BP165" s="518"/>
      <c r="BQ165" s="518"/>
      <c r="BR165" s="466"/>
      <c r="BS165" s="466"/>
      <c r="BT165" s="466"/>
      <c r="BU165" s="466"/>
      <c r="BV165" s="466"/>
      <c r="BW165" s="466"/>
      <c r="BX165" s="466"/>
      <c r="BY165" s="466"/>
      <c r="BZ165" s="466"/>
      <c r="CA165" s="466"/>
      <c r="CB165" s="466"/>
      <c r="CC165" s="466"/>
      <c r="CD165" s="466"/>
      <c r="CE165" s="466"/>
      <c r="CF165" s="466"/>
      <c r="CG165" s="466"/>
      <c r="CH165" s="466"/>
      <c r="CI165" s="466"/>
      <c r="CJ165" s="466"/>
      <c r="CK165" s="466"/>
      <c r="CL165" s="466"/>
      <c r="CM165" s="466"/>
      <c r="CN165" s="466"/>
      <c r="CO165" s="466"/>
      <c r="CP165" s="466"/>
      <c r="CQ165" s="466"/>
      <c r="CR165" s="466"/>
      <c r="CS165" s="466"/>
      <c r="CT165" s="466"/>
      <c r="CU165" s="466"/>
      <c r="CV165" s="466"/>
      <c r="CW165" s="466"/>
      <c r="CX165" s="466"/>
      <c r="CY165" s="466"/>
      <c r="CZ165" s="466"/>
      <c r="DA165" s="466"/>
      <c r="DB165" s="466"/>
      <c r="DC165" s="466"/>
      <c r="DD165" s="466"/>
      <c r="DE165" s="466"/>
      <c r="DF165" s="466"/>
      <c r="DG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V165" s="466"/>
      <c r="GW165" s="466"/>
      <c r="GX165" s="466"/>
      <c r="GY165" s="466"/>
      <c r="GZ165" s="466"/>
      <c r="HA165" s="466"/>
      <c r="HB165" s="466"/>
      <c r="HC165" s="466"/>
      <c r="HD165" s="466"/>
      <c r="HE165" s="844"/>
      <c r="HF165" s="844"/>
      <c r="HG165" s="844"/>
      <c r="HH165" s="844"/>
      <c r="HI165" s="844"/>
      <c r="HJ165" s="844"/>
      <c r="HK165" s="844"/>
      <c r="HL165" s="844"/>
      <c r="HM165" s="844"/>
      <c r="HN165" s="844"/>
      <c r="HP165" s="466"/>
      <c r="HQ165" s="466"/>
      <c r="HR165" s="466"/>
      <c r="HS165" s="415"/>
      <c r="HT165" s="2292"/>
    </row>
    <row r="166" spans="3:228">
      <c r="C166" s="466"/>
      <c r="D166" s="466"/>
      <c r="E166" s="3850"/>
      <c r="F166" s="516"/>
      <c r="G166" s="513"/>
      <c r="H166" s="525"/>
      <c r="I166" s="525"/>
      <c r="J166" s="523"/>
      <c r="K166" s="519"/>
      <c r="L166" s="466"/>
      <c r="M166" s="516"/>
      <c r="N166" s="513"/>
      <c r="O166" s="513"/>
      <c r="P166" s="510"/>
      <c r="Q166" s="510"/>
      <c r="R166" s="510"/>
      <c r="S166" s="510"/>
      <c r="T166" s="510"/>
      <c r="U166" s="510"/>
      <c r="V166" s="510"/>
      <c r="W166" s="510"/>
      <c r="X166" s="510"/>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466"/>
      <c r="BA166" s="466"/>
      <c r="BB166" s="466"/>
      <c r="BC166" s="466"/>
      <c r="BD166" s="466"/>
      <c r="BE166" s="466"/>
      <c r="BF166" s="466"/>
      <c r="BG166" s="466"/>
      <c r="BH166" s="466"/>
      <c r="BI166" s="466"/>
      <c r="BJ166" s="466"/>
      <c r="BK166" s="466"/>
      <c r="BL166" s="466"/>
      <c r="BM166" s="518"/>
      <c r="BN166" s="524"/>
      <c r="BO166" s="518"/>
      <c r="BP166" s="518"/>
      <c r="BQ166" s="518"/>
      <c r="BR166" s="466"/>
      <c r="BS166" s="466"/>
      <c r="BT166" s="466"/>
      <c r="BU166" s="466"/>
      <c r="BV166" s="466"/>
      <c r="BW166" s="466"/>
      <c r="BX166" s="466"/>
      <c r="BY166" s="466"/>
      <c r="BZ166" s="466"/>
      <c r="CA166" s="466"/>
      <c r="CB166" s="466"/>
      <c r="CC166" s="466"/>
      <c r="CD166" s="466"/>
      <c r="CE166" s="466"/>
      <c r="CF166" s="466"/>
      <c r="CG166" s="466"/>
      <c r="CH166" s="466"/>
      <c r="CI166" s="466"/>
      <c r="CJ166" s="466"/>
      <c r="CK166" s="466"/>
      <c r="CL166" s="466"/>
      <c r="CM166" s="466"/>
      <c r="CN166" s="466"/>
      <c r="CO166" s="466"/>
      <c r="CP166" s="466"/>
      <c r="CQ166" s="466"/>
      <c r="CR166" s="466"/>
      <c r="CS166" s="466"/>
      <c r="CT166" s="466"/>
      <c r="CU166" s="466"/>
      <c r="CV166" s="466"/>
      <c r="CW166" s="466"/>
      <c r="CX166" s="466"/>
      <c r="CY166" s="466"/>
      <c r="CZ166" s="466"/>
      <c r="DA166" s="466"/>
      <c r="DB166" s="466"/>
      <c r="DC166" s="466"/>
      <c r="DD166" s="466"/>
      <c r="DE166" s="466"/>
      <c r="DF166" s="466"/>
      <c r="DG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V166" s="466"/>
      <c r="GW166" s="466"/>
      <c r="GX166" s="466"/>
      <c r="GY166" s="466"/>
      <c r="GZ166" s="466"/>
      <c r="HA166" s="466"/>
      <c r="HB166" s="466"/>
      <c r="HC166" s="466"/>
      <c r="HD166" s="466"/>
      <c r="HE166" s="844"/>
      <c r="HF166" s="844"/>
      <c r="HG166" s="844"/>
      <c r="HH166" s="844"/>
      <c r="HI166" s="844"/>
      <c r="HJ166" s="844"/>
      <c r="HK166" s="844"/>
      <c r="HL166" s="844"/>
      <c r="HM166" s="844"/>
      <c r="HN166" s="844"/>
      <c r="HP166" s="466"/>
      <c r="HQ166" s="466"/>
      <c r="HR166" s="466"/>
      <c r="HS166" s="415"/>
      <c r="HT166" s="2292"/>
    </row>
    <row r="167" spans="3:228">
      <c r="C167" s="466"/>
      <c r="D167" s="466"/>
      <c r="E167" s="3850"/>
      <c r="F167" s="516"/>
      <c r="G167" s="513"/>
      <c r="H167" s="525"/>
      <c r="I167" s="525"/>
      <c r="J167" s="523"/>
      <c r="K167" s="519"/>
      <c r="L167" s="466"/>
      <c r="M167" s="516"/>
      <c r="N167" s="513"/>
      <c r="O167" s="513"/>
      <c r="P167" s="510"/>
      <c r="Q167" s="510"/>
      <c r="R167" s="510"/>
      <c r="S167" s="510"/>
      <c r="T167" s="510"/>
      <c r="U167" s="510"/>
      <c r="V167" s="510"/>
      <c r="W167" s="510"/>
      <c r="X167" s="510"/>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466"/>
      <c r="BA167" s="466"/>
      <c r="BB167" s="466"/>
      <c r="BC167" s="466"/>
      <c r="BD167" s="466"/>
      <c r="BE167" s="466"/>
      <c r="BF167" s="466"/>
      <c r="BG167" s="466"/>
      <c r="BH167" s="466"/>
      <c r="BI167" s="466"/>
      <c r="BJ167" s="466"/>
      <c r="BK167" s="466"/>
      <c r="BL167" s="466"/>
      <c r="BM167" s="518"/>
      <c r="BN167" s="524"/>
      <c r="BO167" s="518"/>
      <c r="BP167" s="518"/>
      <c r="BQ167" s="518"/>
      <c r="BR167" s="466"/>
      <c r="BS167" s="466"/>
      <c r="BT167" s="466"/>
      <c r="BU167" s="466"/>
      <c r="BV167" s="466"/>
      <c r="BW167" s="466"/>
      <c r="BX167" s="466"/>
      <c r="BY167" s="466"/>
      <c r="BZ167" s="466"/>
      <c r="CA167" s="466"/>
      <c r="CB167" s="466"/>
      <c r="CC167" s="466"/>
      <c r="CD167" s="466"/>
      <c r="CE167" s="466"/>
      <c r="CF167" s="466"/>
      <c r="CG167" s="466"/>
      <c r="CH167" s="466"/>
      <c r="CI167" s="466"/>
      <c r="CJ167" s="466"/>
      <c r="CK167" s="466"/>
      <c r="CL167" s="466"/>
      <c r="CM167" s="466"/>
      <c r="CN167" s="466"/>
      <c r="CO167" s="466"/>
      <c r="CP167" s="466"/>
      <c r="CQ167" s="466"/>
      <c r="CR167" s="466"/>
      <c r="CS167" s="466"/>
      <c r="CT167" s="466"/>
      <c r="CU167" s="466"/>
      <c r="CV167" s="466"/>
      <c r="CW167" s="466"/>
      <c r="CX167" s="466"/>
      <c r="CY167" s="466"/>
      <c r="CZ167" s="466"/>
      <c r="DA167" s="466"/>
      <c r="DB167" s="466"/>
      <c r="DC167" s="466"/>
      <c r="DD167" s="466"/>
      <c r="DE167" s="466"/>
      <c r="DF167" s="466"/>
      <c r="DG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V167" s="466"/>
      <c r="GW167" s="466"/>
      <c r="GX167" s="466"/>
      <c r="GY167" s="466"/>
      <c r="GZ167" s="466"/>
      <c r="HA167" s="466"/>
      <c r="HB167" s="466"/>
      <c r="HC167" s="466"/>
      <c r="HD167" s="466"/>
      <c r="HE167" s="844"/>
      <c r="HF167" s="844"/>
      <c r="HG167" s="844"/>
      <c r="HH167" s="844"/>
      <c r="HI167" s="844"/>
      <c r="HJ167" s="844"/>
      <c r="HK167" s="844"/>
      <c r="HL167" s="844"/>
      <c r="HM167" s="844"/>
      <c r="HN167" s="844"/>
      <c r="HP167" s="466"/>
      <c r="HQ167" s="466"/>
      <c r="HR167" s="466"/>
      <c r="HS167" s="415"/>
      <c r="HT167" s="2292"/>
    </row>
    <row r="168" spans="3:228">
      <c r="C168" s="466"/>
      <c r="D168" s="466"/>
      <c r="E168" s="3850"/>
      <c r="F168" s="516"/>
      <c r="G168" s="513"/>
      <c r="H168" s="525"/>
      <c r="I168" s="525"/>
      <c r="J168" s="523"/>
      <c r="K168" s="519"/>
      <c r="L168" s="466"/>
      <c r="M168" s="516"/>
      <c r="N168" s="513"/>
      <c r="O168" s="513"/>
      <c r="P168" s="510"/>
      <c r="Q168" s="510"/>
      <c r="R168" s="510"/>
      <c r="S168" s="510"/>
      <c r="T168" s="510"/>
      <c r="U168" s="510"/>
      <c r="V168" s="510"/>
      <c r="W168" s="510"/>
      <c r="X168" s="510"/>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466"/>
      <c r="BA168" s="466"/>
      <c r="BB168" s="466"/>
      <c r="BC168" s="466"/>
      <c r="BD168" s="466"/>
      <c r="BE168" s="466"/>
      <c r="BF168" s="466"/>
      <c r="BG168" s="466"/>
      <c r="BH168" s="466"/>
      <c r="BI168" s="466"/>
      <c r="BJ168" s="466"/>
      <c r="BK168" s="466"/>
      <c r="BL168" s="466"/>
      <c r="BM168" s="518"/>
      <c r="BN168" s="524"/>
      <c r="BO168" s="518"/>
      <c r="BP168" s="518"/>
      <c r="BQ168" s="518"/>
      <c r="BR168" s="466"/>
      <c r="BS168" s="466"/>
      <c r="BT168" s="466"/>
      <c r="BU168" s="466"/>
      <c r="BV168" s="466"/>
      <c r="BW168" s="466"/>
      <c r="BX168" s="466"/>
      <c r="BY168" s="466"/>
      <c r="BZ168" s="466"/>
      <c r="CA168" s="466"/>
      <c r="CB168" s="466"/>
      <c r="CC168" s="466"/>
      <c r="CD168" s="466"/>
      <c r="CE168" s="466"/>
      <c r="CF168" s="466"/>
      <c r="CG168" s="466"/>
      <c r="CH168" s="466"/>
      <c r="CI168" s="466"/>
      <c r="CJ168" s="466"/>
      <c r="CK168" s="466"/>
      <c r="CL168" s="466"/>
      <c r="CM168" s="466"/>
      <c r="CN168" s="466"/>
      <c r="CO168" s="466"/>
      <c r="CP168" s="466"/>
      <c r="CQ168" s="466"/>
      <c r="CR168" s="466"/>
      <c r="CS168" s="466"/>
      <c r="CT168" s="466"/>
      <c r="CU168" s="466"/>
      <c r="CV168" s="466"/>
      <c r="CW168" s="466"/>
      <c r="CX168" s="466"/>
      <c r="CY168" s="466"/>
      <c r="CZ168" s="466"/>
      <c r="DA168" s="466"/>
      <c r="DB168" s="466"/>
      <c r="DC168" s="466"/>
      <c r="DD168" s="466"/>
      <c r="DE168" s="466"/>
      <c r="DF168" s="466"/>
      <c r="DG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V168" s="466"/>
      <c r="GW168" s="466"/>
      <c r="GX168" s="466"/>
      <c r="GY168" s="466"/>
      <c r="GZ168" s="466"/>
      <c r="HA168" s="466"/>
      <c r="HB168" s="466"/>
      <c r="HC168" s="466"/>
      <c r="HD168" s="466"/>
      <c r="HE168" s="844"/>
      <c r="HF168" s="844"/>
      <c r="HG168" s="844"/>
      <c r="HH168" s="844"/>
      <c r="HI168" s="844"/>
      <c r="HJ168" s="844"/>
      <c r="HK168" s="844"/>
      <c r="HL168" s="844"/>
      <c r="HM168" s="844"/>
      <c r="HN168" s="844"/>
      <c r="HP168" s="466"/>
      <c r="HQ168" s="466"/>
      <c r="HR168" s="466"/>
      <c r="HS168" s="415"/>
      <c r="HT168" s="2292"/>
    </row>
    <row r="169" spans="3:228">
      <c r="C169" s="466"/>
      <c r="D169" s="466"/>
      <c r="E169" s="3850"/>
      <c r="F169" s="516"/>
      <c r="G169" s="513"/>
      <c r="H169" s="525"/>
      <c r="I169" s="525"/>
      <c r="J169" s="523"/>
      <c r="K169" s="519"/>
      <c r="L169" s="466"/>
      <c r="M169" s="516"/>
      <c r="N169" s="513"/>
      <c r="O169" s="513"/>
      <c r="P169" s="510"/>
      <c r="Q169" s="510"/>
      <c r="R169" s="510"/>
      <c r="S169" s="510"/>
      <c r="T169" s="510"/>
      <c r="U169" s="510"/>
      <c r="V169" s="510"/>
      <c r="W169" s="510"/>
      <c r="X169" s="510"/>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466"/>
      <c r="BA169" s="466"/>
      <c r="BB169" s="466"/>
      <c r="BC169" s="466"/>
      <c r="BD169" s="466"/>
      <c r="BE169" s="466"/>
      <c r="BF169" s="466"/>
      <c r="BG169" s="466"/>
      <c r="BH169" s="466"/>
      <c r="BI169" s="466"/>
      <c r="BJ169" s="466"/>
      <c r="BK169" s="466"/>
      <c r="BL169" s="466"/>
      <c r="BM169" s="518"/>
      <c r="BN169" s="524"/>
      <c r="BO169" s="518"/>
      <c r="BP169" s="518"/>
      <c r="BQ169" s="518"/>
      <c r="BR169" s="466"/>
      <c r="BS169" s="466"/>
      <c r="BT169" s="466"/>
      <c r="BU169" s="466"/>
      <c r="BV169" s="466"/>
      <c r="BW169" s="466"/>
      <c r="BX169" s="466"/>
      <c r="BY169" s="466"/>
      <c r="BZ169" s="466"/>
      <c r="CA169" s="466"/>
      <c r="CB169" s="466"/>
      <c r="CC169" s="466"/>
      <c r="CD169" s="466"/>
      <c r="CE169" s="466"/>
      <c r="CF169" s="466"/>
      <c r="CG169" s="466"/>
      <c r="CH169" s="466"/>
      <c r="CI169" s="466"/>
      <c r="CJ169" s="466"/>
      <c r="CK169" s="466"/>
      <c r="CL169" s="466"/>
      <c r="CM169" s="466"/>
      <c r="CN169" s="466"/>
      <c r="CO169" s="466"/>
      <c r="CP169" s="466"/>
      <c r="CQ169" s="466"/>
      <c r="CR169" s="466"/>
      <c r="CS169" s="466"/>
      <c r="CT169" s="466"/>
      <c r="CU169" s="466"/>
      <c r="CV169" s="466"/>
      <c r="CW169" s="466"/>
      <c r="CX169" s="466"/>
      <c r="CY169" s="466"/>
      <c r="CZ169" s="466"/>
      <c r="DA169" s="466"/>
      <c r="DB169" s="466"/>
      <c r="DC169" s="466"/>
      <c r="DD169" s="466"/>
      <c r="DE169" s="466"/>
      <c r="DF169" s="466"/>
      <c r="DG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V169" s="466"/>
      <c r="GW169" s="466"/>
      <c r="GX169" s="466"/>
      <c r="GY169" s="466"/>
      <c r="GZ169" s="466"/>
      <c r="HA169" s="466"/>
      <c r="HB169" s="466"/>
      <c r="HC169" s="466"/>
      <c r="HD169" s="466"/>
      <c r="HE169" s="844"/>
      <c r="HF169" s="844"/>
      <c r="HG169" s="844"/>
      <c r="HH169" s="844"/>
      <c r="HI169" s="844"/>
      <c r="HJ169" s="844"/>
      <c r="HK169" s="844"/>
      <c r="HL169" s="844"/>
      <c r="HM169" s="844"/>
      <c r="HN169" s="844"/>
      <c r="HP169" s="466"/>
      <c r="HQ169" s="466"/>
      <c r="HR169" s="466"/>
      <c r="HS169" s="415"/>
      <c r="HT169" s="2292"/>
    </row>
    <row r="170" spans="3:228">
      <c r="C170" s="466"/>
      <c r="D170" s="466"/>
      <c r="E170" s="3850"/>
      <c r="F170" s="516"/>
      <c r="G170" s="513"/>
      <c r="H170" s="525"/>
      <c r="I170" s="525"/>
      <c r="J170" s="523"/>
      <c r="K170" s="519"/>
      <c r="L170" s="466"/>
      <c r="M170" s="516"/>
      <c r="N170" s="513"/>
      <c r="O170" s="513"/>
      <c r="P170" s="510"/>
      <c r="Q170" s="510"/>
      <c r="R170" s="510"/>
      <c r="S170" s="510"/>
      <c r="T170" s="510"/>
      <c r="U170" s="510"/>
      <c r="V170" s="510"/>
      <c r="W170" s="510"/>
      <c r="X170" s="510"/>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466"/>
      <c r="BA170" s="466"/>
      <c r="BB170" s="466"/>
      <c r="BC170" s="466"/>
      <c r="BD170" s="466"/>
      <c r="BE170" s="466"/>
      <c r="BF170" s="466"/>
      <c r="BG170" s="466"/>
      <c r="BH170" s="466"/>
      <c r="BI170" s="466"/>
      <c r="BJ170" s="466"/>
      <c r="BK170" s="466"/>
      <c r="BL170" s="466"/>
      <c r="BM170" s="518"/>
      <c r="BN170" s="524"/>
      <c r="BO170" s="518"/>
      <c r="BP170" s="518"/>
      <c r="BQ170" s="518"/>
      <c r="BR170" s="466"/>
      <c r="BS170" s="466"/>
      <c r="BT170" s="466"/>
      <c r="BU170" s="466"/>
      <c r="BV170" s="466"/>
      <c r="BW170" s="466"/>
      <c r="BX170" s="466"/>
      <c r="BY170" s="466"/>
      <c r="BZ170" s="466"/>
      <c r="CA170" s="466"/>
      <c r="CB170" s="466"/>
      <c r="CC170" s="466"/>
      <c r="CD170" s="466"/>
      <c r="CE170" s="466"/>
      <c r="CF170" s="466"/>
      <c r="CG170" s="466"/>
      <c r="CH170" s="466"/>
      <c r="CI170" s="466"/>
      <c r="CJ170" s="466"/>
      <c r="CK170" s="466"/>
      <c r="CL170" s="466"/>
      <c r="CM170" s="466"/>
      <c r="CN170" s="466"/>
      <c r="CO170" s="466"/>
      <c r="CP170" s="466"/>
      <c r="CQ170" s="466"/>
      <c r="CR170" s="466"/>
      <c r="CS170" s="466"/>
      <c r="CT170" s="466"/>
      <c r="CU170" s="466"/>
      <c r="CV170" s="466"/>
      <c r="CW170" s="466"/>
      <c r="CX170" s="466"/>
      <c r="CY170" s="466"/>
      <c r="CZ170" s="466"/>
      <c r="DA170" s="466"/>
      <c r="DB170" s="466"/>
      <c r="DC170" s="466"/>
      <c r="DD170" s="466"/>
      <c r="DE170" s="466"/>
      <c r="DF170" s="466"/>
      <c r="DG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V170" s="466"/>
      <c r="GW170" s="466"/>
      <c r="GX170" s="466"/>
      <c r="GY170" s="466"/>
      <c r="GZ170" s="466"/>
      <c r="HA170" s="466"/>
      <c r="HB170" s="466"/>
      <c r="HC170" s="466"/>
      <c r="HD170" s="466"/>
      <c r="HE170" s="844"/>
      <c r="HF170" s="844"/>
      <c r="HG170" s="844"/>
      <c r="HH170" s="844"/>
      <c r="HI170" s="844"/>
      <c r="HJ170" s="844"/>
      <c r="HK170" s="844"/>
      <c r="HL170" s="844"/>
      <c r="HM170" s="844"/>
      <c r="HN170" s="844"/>
      <c r="HP170" s="466"/>
      <c r="HQ170" s="466"/>
      <c r="HR170" s="466"/>
      <c r="HS170" s="415"/>
      <c r="HT170" s="2292"/>
    </row>
    <row r="171" spans="3:228">
      <c r="C171" s="466"/>
      <c r="D171" s="466"/>
      <c r="E171" s="3850"/>
      <c r="F171" s="516"/>
      <c r="G171" s="513"/>
      <c r="H171" s="525"/>
      <c r="I171" s="525"/>
      <c r="J171" s="523"/>
      <c r="K171" s="519"/>
      <c r="L171" s="466"/>
      <c r="M171" s="516"/>
      <c r="N171" s="513"/>
      <c r="O171" s="513"/>
      <c r="P171" s="510"/>
      <c r="Q171" s="510"/>
      <c r="R171" s="510"/>
      <c r="S171" s="510"/>
      <c r="T171" s="510"/>
      <c r="U171" s="510"/>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466"/>
      <c r="BA171" s="466"/>
      <c r="BB171" s="466"/>
      <c r="BC171" s="466"/>
      <c r="BD171" s="466"/>
      <c r="BE171" s="466"/>
      <c r="BF171" s="466"/>
      <c r="BG171" s="466"/>
      <c r="BH171" s="466"/>
      <c r="BI171" s="466"/>
      <c r="BJ171" s="466"/>
      <c r="BK171" s="466"/>
      <c r="BL171" s="466"/>
      <c r="BM171" s="518"/>
      <c r="BN171" s="524"/>
      <c r="BO171" s="518"/>
      <c r="BP171" s="518"/>
      <c r="BQ171" s="518"/>
      <c r="BR171" s="466"/>
      <c r="BS171" s="466"/>
      <c r="BT171" s="466"/>
      <c r="BU171" s="466"/>
      <c r="BV171" s="466"/>
      <c r="BW171" s="466"/>
      <c r="BX171" s="466"/>
      <c r="BY171" s="466"/>
      <c r="BZ171" s="466"/>
      <c r="CA171" s="466"/>
      <c r="CB171" s="466"/>
      <c r="CC171" s="466"/>
      <c r="CD171" s="466"/>
      <c r="CE171" s="466"/>
      <c r="CF171" s="466"/>
      <c r="CG171" s="466"/>
      <c r="CH171" s="466"/>
      <c r="CI171" s="466"/>
      <c r="CJ171" s="466"/>
      <c r="CK171" s="466"/>
      <c r="CL171" s="466"/>
      <c r="CM171" s="466"/>
      <c r="CN171" s="466"/>
      <c r="CO171" s="466"/>
      <c r="CP171" s="466"/>
      <c r="CQ171" s="466"/>
      <c r="CR171" s="466"/>
      <c r="CS171" s="466"/>
      <c r="CT171" s="466"/>
      <c r="CU171" s="466"/>
      <c r="CV171" s="466"/>
      <c r="CW171" s="466"/>
      <c r="CX171" s="466"/>
      <c r="CY171" s="466"/>
      <c r="CZ171" s="466"/>
      <c r="DA171" s="466"/>
      <c r="DB171" s="466"/>
      <c r="DC171" s="466"/>
      <c r="DD171" s="466"/>
      <c r="DE171" s="466"/>
      <c r="DF171" s="466"/>
      <c r="DG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V171" s="466"/>
      <c r="GW171" s="466"/>
      <c r="GX171" s="466"/>
      <c r="GY171" s="466"/>
      <c r="GZ171" s="466"/>
      <c r="HA171" s="466"/>
      <c r="HB171" s="466"/>
      <c r="HC171" s="466"/>
      <c r="HD171" s="466"/>
      <c r="HE171" s="844"/>
      <c r="HF171" s="844"/>
      <c r="HG171" s="844"/>
      <c r="HH171" s="844"/>
      <c r="HI171" s="844"/>
      <c r="HJ171" s="844"/>
      <c r="HK171" s="844"/>
      <c r="HL171" s="844"/>
      <c r="HM171" s="844"/>
      <c r="HN171" s="844"/>
      <c r="HP171" s="466"/>
      <c r="HQ171" s="466"/>
      <c r="HR171" s="466"/>
      <c r="HS171" s="415"/>
      <c r="HT171" s="2292"/>
    </row>
    <row r="172" spans="3:228">
      <c r="C172" s="466"/>
      <c r="D172" s="466"/>
      <c r="E172" s="3850"/>
      <c r="F172" s="516"/>
      <c r="G172" s="513"/>
      <c r="H172" s="525"/>
      <c r="I172" s="525"/>
      <c r="J172" s="523"/>
      <c r="K172" s="519"/>
      <c r="L172" s="466"/>
      <c r="M172" s="516"/>
      <c r="N172" s="513"/>
      <c r="O172" s="513"/>
      <c r="P172" s="510"/>
      <c r="Q172" s="510"/>
      <c r="R172" s="510"/>
      <c r="S172" s="510"/>
      <c r="T172" s="510"/>
      <c r="U172" s="510"/>
      <c r="V172" s="510"/>
      <c r="W172" s="510"/>
      <c r="X172" s="510"/>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466"/>
      <c r="BA172" s="466"/>
      <c r="BB172" s="466"/>
      <c r="BC172" s="466"/>
      <c r="BD172" s="466"/>
      <c r="BE172" s="466"/>
      <c r="BF172" s="466"/>
      <c r="BG172" s="466"/>
      <c r="BH172" s="466"/>
      <c r="BI172" s="466"/>
      <c r="BJ172" s="466"/>
      <c r="BK172" s="466"/>
      <c r="BL172" s="466"/>
      <c r="BM172" s="518"/>
      <c r="BN172" s="524"/>
      <c r="BO172" s="518"/>
      <c r="BP172" s="518"/>
      <c r="BQ172" s="518"/>
      <c r="BR172" s="466"/>
      <c r="BS172" s="466"/>
      <c r="BT172" s="466"/>
      <c r="BU172" s="466"/>
      <c r="BV172" s="466"/>
      <c r="BW172" s="466"/>
      <c r="BX172" s="466"/>
      <c r="BY172" s="466"/>
      <c r="BZ172" s="466"/>
      <c r="CA172" s="466"/>
      <c r="CB172" s="466"/>
      <c r="CC172" s="466"/>
      <c r="CD172" s="466"/>
      <c r="CE172" s="466"/>
      <c r="CF172" s="466"/>
      <c r="CG172" s="466"/>
      <c r="CH172" s="466"/>
      <c r="CI172" s="466"/>
      <c r="CJ172" s="466"/>
      <c r="CK172" s="466"/>
      <c r="CL172" s="466"/>
      <c r="CM172" s="466"/>
      <c r="CN172" s="466"/>
      <c r="CO172" s="466"/>
      <c r="CP172" s="466"/>
      <c r="CQ172" s="466"/>
      <c r="CR172" s="466"/>
      <c r="CS172" s="466"/>
      <c r="CT172" s="466"/>
      <c r="CU172" s="466"/>
      <c r="CV172" s="466"/>
      <c r="CW172" s="466"/>
      <c r="CX172" s="466"/>
      <c r="CY172" s="466"/>
      <c r="CZ172" s="466"/>
      <c r="DA172" s="466"/>
      <c r="DB172" s="466"/>
      <c r="DC172" s="466"/>
      <c r="DD172" s="466"/>
      <c r="DE172" s="466"/>
      <c r="DF172" s="466"/>
      <c r="DG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V172" s="466"/>
      <c r="GW172" s="466"/>
      <c r="GX172" s="466"/>
      <c r="GY172" s="466"/>
      <c r="GZ172" s="466"/>
      <c r="HA172" s="466"/>
      <c r="HB172" s="466"/>
      <c r="HC172" s="466"/>
      <c r="HD172" s="466"/>
      <c r="HE172" s="844"/>
      <c r="HF172" s="844"/>
      <c r="HG172" s="844"/>
      <c r="HH172" s="844"/>
      <c r="HI172" s="844"/>
      <c r="HJ172" s="844"/>
      <c r="HK172" s="844"/>
      <c r="HL172" s="844"/>
      <c r="HM172" s="844"/>
      <c r="HN172" s="844"/>
      <c r="HP172" s="466"/>
      <c r="HQ172" s="466"/>
      <c r="HR172" s="466"/>
      <c r="HS172" s="415"/>
      <c r="HT172" s="2292"/>
    </row>
    <row r="173" spans="3:228">
      <c r="C173" s="466"/>
      <c r="D173" s="466"/>
      <c r="E173" s="3850"/>
      <c r="F173" s="516"/>
      <c r="G173" s="513"/>
      <c r="H173" s="525"/>
      <c r="I173" s="525"/>
      <c r="J173" s="523"/>
      <c r="K173" s="519"/>
      <c r="L173" s="466"/>
      <c r="M173" s="516"/>
      <c r="N173" s="513"/>
      <c r="O173" s="513"/>
      <c r="P173" s="510"/>
      <c r="Q173" s="510"/>
      <c r="R173" s="510"/>
      <c r="S173" s="510"/>
      <c r="T173" s="510"/>
      <c r="U173" s="510"/>
      <c r="V173" s="510"/>
      <c r="W173" s="510"/>
      <c r="X173" s="510"/>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466"/>
      <c r="BA173" s="466"/>
      <c r="BB173" s="466"/>
      <c r="BC173" s="466"/>
      <c r="BD173" s="466"/>
      <c r="BE173" s="466"/>
      <c r="BF173" s="466"/>
      <c r="BG173" s="466"/>
      <c r="BH173" s="466"/>
      <c r="BI173" s="466"/>
      <c r="BJ173" s="466"/>
      <c r="BK173" s="466"/>
      <c r="BL173" s="466"/>
      <c r="BM173" s="518"/>
      <c r="BN173" s="524"/>
      <c r="BO173" s="518"/>
      <c r="BP173" s="518"/>
      <c r="BQ173" s="518"/>
      <c r="BR173" s="466"/>
      <c r="BS173" s="466"/>
      <c r="BT173" s="466"/>
      <c r="BU173" s="466"/>
      <c r="BV173" s="466"/>
      <c r="BW173" s="466"/>
      <c r="BX173" s="466"/>
      <c r="BY173" s="466"/>
      <c r="BZ173" s="466"/>
      <c r="CA173" s="466"/>
      <c r="CB173" s="466"/>
      <c r="CC173" s="466"/>
      <c r="CD173" s="466"/>
      <c r="CE173" s="466"/>
      <c r="CF173" s="466"/>
      <c r="CG173" s="466"/>
      <c r="CH173" s="466"/>
      <c r="CI173" s="466"/>
      <c r="CJ173" s="466"/>
      <c r="CK173" s="466"/>
      <c r="CL173" s="466"/>
      <c r="CM173" s="466"/>
      <c r="CN173" s="466"/>
      <c r="CO173" s="466"/>
      <c r="CP173" s="466"/>
      <c r="CQ173" s="466"/>
      <c r="CR173" s="466"/>
      <c r="CS173" s="466"/>
      <c r="CT173" s="466"/>
      <c r="CU173" s="466"/>
      <c r="CV173" s="466"/>
      <c r="CW173" s="466"/>
      <c r="CX173" s="466"/>
      <c r="CY173" s="466"/>
      <c r="CZ173" s="466"/>
      <c r="DA173" s="466"/>
      <c r="DB173" s="466"/>
      <c r="DC173" s="466"/>
      <c r="DD173" s="466"/>
      <c r="DE173" s="466"/>
      <c r="DF173" s="466"/>
      <c r="DG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V173" s="466"/>
      <c r="GW173" s="466"/>
      <c r="GX173" s="466"/>
      <c r="GY173" s="466"/>
      <c r="GZ173" s="466"/>
      <c r="HA173" s="466"/>
      <c r="HB173" s="466"/>
      <c r="HC173" s="466"/>
      <c r="HD173" s="466"/>
      <c r="HE173" s="844"/>
      <c r="HF173" s="844"/>
      <c r="HG173" s="844"/>
      <c r="HH173" s="844"/>
      <c r="HI173" s="844"/>
      <c r="HJ173" s="844"/>
      <c r="HK173" s="844"/>
      <c r="HL173" s="844"/>
      <c r="HM173" s="844"/>
      <c r="HN173" s="844"/>
      <c r="HP173" s="466"/>
      <c r="HQ173" s="466"/>
      <c r="HR173" s="466"/>
      <c r="HS173" s="415"/>
      <c r="HT173" s="2292"/>
    </row>
    <row r="174" spans="3:228">
      <c r="C174" s="466"/>
      <c r="D174" s="466"/>
      <c r="E174" s="3850"/>
      <c r="F174" s="516"/>
      <c r="G174" s="513"/>
      <c r="H174" s="525"/>
      <c r="I174" s="525"/>
      <c r="J174" s="523"/>
      <c r="K174" s="519"/>
      <c r="L174" s="466"/>
      <c r="M174" s="516"/>
      <c r="N174" s="513"/>
      <c r="O174" s="513"/>
      <c r="P174" s="510"/>
      <c r="Q174" s="510"/>
      <c r="R174" s="510"/>
      <c r="S174" s="510"/>
      <c r="T174" s="510"/>
      <c r="U174" s="510"/>
      <c r="V174" s="510"/>
      <c r="W174" s="510"/>
      <c r="X174" s="510"/>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466"/>
      <c r="BA174" s="466"/>
      <c r="BB174" s="466"/>
      <c r="BC174" s="466"/>
      <c r="BD174" s="466"/>
      <c r="BE174" s="466"/>
      <c r="BF174" s="466"/>
      <c r="BG174" s="466"/>
      <c r="BH174" s="466"/>
      <c r="BI174" s="466"/>
      <c r="BJ174" s="466"/>
      <c r="BK174" s="466"/>
      <c r="BL174" s="466"/>
      <c r="BM174" s="518"/>
      <c r="BN174" s="524"/>
      <c r="BO174" s="518"/>
      <c r="BP174" s="518"/>
      <c r="BQ174" s="518"/>
      <c r="BR174" s="466"/>
      <c r="BS174" s="466"/>
      <c r="BT174" s="466"/>
      <c r="BU174" s="466"/>
      <c r="BV174" s="466"/>
      <c r="BW174" s="466"/>
      <c r="BX174" s="466"/>
      <c r="BY174" s="466"/>
      <c r="BZ174" s="466"/>
      <c r="CA174" s="466"/>
      <c r="CB174" s="466"/>
      <c r="CC174" s="466"/>
      <c r="CD174" s="466"/>
      <c r="CE174" s="466"/>
      <c r="CF174" s="466"/>
      <c r="CG174" s="466"/>
      <c r="CH174" s="466"/>
      <c r="CI174" s="466"/>
      <c r="CJ174" s="466"/>
      <c r="CK174" s="466"/>
      <c r="CL174" s="466"/>
      <c r="CM174" s="466"/>
      <c r="CN174" s="466"/>
      <c r="CO174" s="466"/>
      <c r="CP174" s="466"/>
      <c r="CQ174" s="466"/>
      <c r="CR174" s="466"/>
      <c r="CS174" s="466"/>
      <c r="CT174" s="466"/>
      <c r="CU174" s="466"/>
      <c r="CV174" s="466"/>
      <c r="CW174" s="466"/>
      <c r="CX174" s="466"/>
      <c r="CY174" s="466"/>
      <c r="CZ174" s="466"/>
      <c r="DA174" s="466"/>
      <c r="DB174" s="466"/>
      <c r="DC174" s="466"/>
      <c r="DD174" s="466"/>
      <c r="DE174" s="466"/>
      <c r="DF174" s="466"/>
      <c r="DG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V174" s="466"/>
      <c r="GW174" s="466"/>
      <c r="GX174" s="466"/>
      <c r="GY174" s="466"/>
      <c r="GZ174" s="466"/>
      <c r="HA174" s="466"/>
      <c r="HB174" s="466"/>
      <c r="HC174" s="466"/>
      <c r="HD174" s="466"/>
      <c r="HE174" s="844"/>
      <c r="HF174" s="844"/>
      <c r="HG174" s="844"/>
      <c r="HH174" s="844"/>
      <c r="HI174" s="844"/>
      <c r="HJ174" s="844"/>
      <c r="HK174" s="844"/>
      <c r="HL174" s="844"/>
      <c r="HM174" s="844"/>
      <c r="HN174" s="844"/>
      <c r="HP174" s="466"/>
      <c r="HQ174" s="466"/>
      <c r="HR174" s="466"/>
      <c r="HS174" s="415"/>
      <c r="HT174" s="2292"/>
    </row>
    <row r="175" spans="3:228">
      <c r="C175" s="466"/>
      <c r="D175" s="466"/>
      <c r="E175" s="3850"/>
      <c r="F175" s="516"/>
      <c r="G175" s="513"/>
      <c r="H175" s="525"/>
      <c r="I175" s="525"/>
      <c r="J175" s="523"/>
      <c r="K175" s="519"/>
      <c r="L175" s="466"/>
      <c r="M175" s="516"/>
      <c r="N175" s="513"/>
      <c r="O175" s="513"/>
      <c r="P175" s="510"/>
      <c r="Q175" s="510"/>
      <c r="R175" s="510"/>
      <c r="S175" s="510"/>
      <c r="T175" s="510"/>
      <c r="U175" s="510"/>
      <c r="V175" s="510"/>
      <c r="W175" s="510"/>
      <c r="X175" s="510"/>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466"/>
      <c r="BA175" s="466"/>
      <c r="BB175" s="466"/>
      <c r="BC175" s="466"/>
      <c r="BD175" s="466"/>
      <c r="BE175" s="466"/>
      <c r="BF175" s="466"/>
      <c r="BG175" s="466"/>
      <c r="BH175" s="466"/>
      <c r="BI175" s="466"/>
      <c r="BJ175" s="466"/>
      <c r="BK175" s="466"/>
      <c r="BL175" s="466"/>
      <c r="BM175" s="518"/>
      <c r="BN175" s="524"/>
      <c r="BO175" s="518"/>
      <c r="BP175" s="518"/>
      <c r="BQ175" s="518"/>
      <c r="BR175" s="466"/>
      <c r="BS175" s="466"/>
      <c r="BT175" s="466"/>
      <c r="BU175" s="466"/>
      <c r="BV175" s="466"/>
      <c r="BW175" s="466"/>
      <c r="BX175" s="466"/>
      <c r="BY175" s="466"/>
      <c r="BZ175" s="466"/>
      <c r="CA175" s="466"/>
      <c r="CB175" s="466"/>
      <c r="CC175" s="466"/>
      <c r="CD175" s="466"/>
      <c r="CE175" s="466"/>
      <c r="CF175" s="466"/>
      <c r="CG175" s="466"/>
      <c r="CH175" s="466"/>
      <c r="CI175" s="466"/>
      <c r="CJ175" s="466"/>
      <c r="CK175" s="466"/>
      <c r="CL175" s="466"/>
      <c r="CM175" s="466"/>
      <c r="CN175" s="466"/>
      <c r="CO175" s="466"/>
      <c r="CP175" s="466"/>
      <c r="CQ175" s="466"/>
      <c r="CR175" s="466"/>
      <c r="CS175" s="466"/>
      <c r="CT175" s="466"/>
      <c r="CU175" s="466"/>
      <c r="CV175" s="466"/>
      <c r="CW175" s="466"/>
      <c r="CX175" s="466"/>
      <c r="CY175" s="466"/>
      <c r="CZ175" s="466"/>
      <c r="DA175" s="466"/>
      <c r="DB175" s="466"/>
      <c r="DC175" s="466"/>
      <c r="DD175" s="466"/>
      <c r="DE175" s="466"/>
      <c r="DF175" s="466"/>
      <c r="DG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V175" s="466"/>
      <c r="GW175" s="466"/>
      <c r="GX175" s="466"/>
      <c r="GY175" s="466"/>
      <c r="GZ175" s="466"/>
      <c r="HA175" s="466"/>
      <c r="HB175" s="466"/>
      <c r="HC175" s="466"/>
      <c r="HD175" s="466"/>
      <c r="HE175" s="844"/>
      <c r="HF175" s="844"/>
      <c r="HG175" s="844"/>
      <c r="HH175" s="844"/>
      <c r="HI175" s="844"/>
      <c r="HJ175" s="844"/>
      <c r="HK175" s="844"/>
      <c r="HL175" s="844"/>
      <c r="HM175" s="844"/>
      <c r="HN175" s="844"/>
      <c r="HP175" s="466"/>
      <c r="HQ175" s="466"/>
      <c r="HR175" s="466"/>
      <c r="HS175" s="415"/>
      <c r="HT175" s="2292"/>
    </row>
    <row r="176" spans="3:228">
      <c r="C176" s="466"/>
      <c r="D176" s="466"/>
      <c r="E176" s="3850"/>
      <c r="F176" s="516"/>
      <c r="G176" s="513"/>
      <c r="H176" s="525"/>
      <c r="I176" s="525"/>
      <c r="J176" s="523"/>
      <c r="K176" s="519"/>
      <c r="L176" s="466"/>
      <c r="M176" s="516"/>
      <c r="N176" s="513"/>
      <c r="O176" s="513"/>
      <c r="P176" s="510"/>
      <c r="Q176" s="510"/>
      <c r="R176" s="510"/>
      <c r="S176" s="510"/>
      <c r="T176" s="510"/>
      <c r="U176" s="510"/>
      <c r="V176" s="510"/>
      <c r="W176" s="510"/>
      <c r="X176" s="510"/>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466"/>
      <c r="BA176" s="466"/>
      <c r="BB176" s="466"/>
      <c r="BC176" s="466"/>
      <c r="BD176" s="466"/>
      <c r="BE176" s="466"/>
      <c r="BF176" s="466"/>
      <c r="BG176" s="466"/>
      <c r="BH176" s="466"/>
      <c r="BI176" s="466"/>
      <c r="BJ176" s="466"/>
      <c r="BK176" s="466"/>
      <c r="BL176" s="466"/>
      <c r="BM176" s="518"/>
      <c r="BN176" s="524"/>
      <c r="BO176" s="518"/>
      <c r="BP176" s="518"/>
      <c r="BQ176" s="518"/>
      <c r="BR176" s="466"/>
      <c r="BS176" s="466"/>
      <c r="BT176" s="466"/>
      <c r="BU176" s="466"/>
      <c r="BV176" s="466"/>
      <c r="BW176" s="466"/>
      <c r="BX176" s="466"/>
      <c r="BY176" s="466"/>
      <c r="BZ176" s="466"/>
      <c r="CA176" s="466"/>
      <c r="CB176" s="466"/>
      <c r="CC176" s="466"/>
      <c r="CD176" s="466"/>
      <c r="CE176" s="466"/>
      <c r="CF176" s="466"/>
      <c r="CG176" s="466"/>
      <c r="CH176" s="466"/>
      <c r="CI176" s="466"/>
      <c r="CJ176" s="466"/>
      <c r="CK176" s="466"/>
      <c r="CL176" s="466"/>
      <c r="CM176" s="466"/>
      <c r="CN176" s="466"/>
      <c r="CO176" s="466"/>
      <c r="CP176" s="466"/>
      <c r="CQ176" s="466"/>
      <c r="CR176" s="466"/>
      <c r="CS176" s="466"/>
      <c r="CT176" s="466"/>
      <c r="CU176" s="466"/>
      <c r="CV176" s="466"/>
      <c r="CW176" s="466"/>
      <c r="CX176" s="466"/>
      <c r="CY176" s="466"/>
      <c r="CZ176" s="466"/>
      <c r="DA176" s="466"/>
      <c r="DB176" s="466"/>
      <c r="DC176" s="466"/>
      <c r="DD176" s="466"/>
      <c r="DE176" s="466"/>
      <c r="DF176" s="466"/>
      <c r="DG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V176" s="466"/>
      <c r="GW176" s="466"/>
      <c r="GX176" s="466"/>
      <c r="GY176" s="466"/>
      <c r="GZ176" s="466"/>
      <c r="HA176" s="466"/>
      <c r="HB176" s="466"/>
      <c r="HC176" s="466"/>
      <c r="HD176" s="466"/>
      <c r="HE176" s="844"/>
      <c r="HF176" s="844"/>
      <c r="HG176" s="844"/>
      <c r="HH176" s="844"/>
      <c r="HI176" s="844"/>
      <c r="HJ176" s="844"/>
      <c r="HK176" s="844"/>
      <c r="HL176" s="844"/>
      <c r="HM176" s="844"/>
      <c r="HN176" s="844"/>
      <c r="HP176" s="466"/>
      <c r="HQ176" s="466"/>
      <c r="HR176" s="466"/>
      <c r="HS176" s="415"/>
      <c r="HT176" s="2292"/>
    </row>
    <row r="177" spans="3:228">
      <c r="C177" s="466"/>
      <c r="D177" s="466"/>
      <c r="E177" s="3850"/>
      <c r="F177" s="516"/>
      <c r="G177" s="513"/>
      <c r="H177" s="525"/>
      <c r="I177" s="525"/>
      <c r="J177" s="523"/>
      <c r="K177" s="519"/>
      <c r="L177" s="466"/>
      <c r="M177" s="516"/>
      <c r="N177" s="513"/>
      <c r="O177" s="513"/>
      <c r="P177" s="510"/>
      <c r="Q177" s="510"/>
      <c r="R177" s="510"/>
      <c r="S177" s="510"/>
      <c r="T177" s="510"/>
      <c r="U177" s="510"/>
      <c r="V177" s="510"/>
      <c r="W177" s="510"/>
      <c r="X177" s="510"/>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466"/>
      <c r="BA177" s="466"/>
      <c r="BB177" s="466"/>
      <c r="BC177" s="466"/>
      <c r="BD177" s="466"/>
      <c r="BE177" s="466"/>
      <c r="BF177" s="466"/>
      <c r="BG177" s="466"/>
      <c r="BH177" s="466"/>
      <c r="BI177" s="466"/>
      <c r="BJ177" s="466"/>
      <c r="BK177" s="466"/>
      <c r="BL177" s="466"/>
      <c r="BM177" s="518"/>
      <c r="BN177" s="524"/>
      <c r="BO177" s="518"/>
      <c r="BP177" s="518"/>
      <c r="BQ177" s="518"/>
      <c r="BR177" s="466"/>
      <c r="BS177" s="466"/>
      <c r="BT177" s="466"/>
      <c r="BU177" s="466"/>
      <c r="BV177" s="466"/>
      <c r="BW177" s="466"/>
      <c r="BX177" s="466"/>
      <c r="BY177" s="466"/>
      <c r="BZ177" s="466"/>
      <c r="CA177" s="466"/>
      <c r="CB177" s="466"/>
      <c r="CC177" s="466"/>
      <c r="CD177" s="466"/>
      <c r="CE177" s="466"/>
      <c r="CF177" s="466"/>
      <c r="CG177" s="466"/>
      <c r="CH177" s="466"/>
      <c r="CI177" s="466"/>
      <c r="CJ177" s="466"/>
      <c r="CK177" s="466"/>
      <c r="CL177" s="466"/>
      <c r="CM177" s="466"/>
      <c r="CN177" s="466"/>
      <c r="CO177" s="466"/>
      <c r="CP177" s="466"/>
      <c r="CQ177" s="466"/>
      <c r="CR177" s="466"/>
      <c r="CS177" s="466"/>
      <c r="CT177" s="466"/>
      <c r="CU177" s="466"/>
      <c r="CV177" s="466"/>
      <c r="CW177" s="466"/>
      <c r="CX177" s="466"/>
      <c r="CY177" s="466"/>
      <c r="CZ177" s="466"/>
      <c r="DA177" s="466"/>
      <c r="DB177" s="466"/>
      <c r="DC177" s="466"/>
      <c r="DD177" s="466"/>
      <c r="DE177" s="466"/>
      <c r="DF177" s="466"/>
      <c r="DG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V177" s="466"/>
      <c r="GW177" s="466"/>
      <c r="GX177" s="466"/>
      <c r="GY177" s="466"/>
      <c r="GZ177" s="466"/>
      <c r="HA177" s="466"/>
      <c r="HB177" s="466"/>
      <c r="HC177" s="466"/>
      <c r="HD177" s="466"/>
      <c r="HE177" s="844"/>
      <c r="HF177" s="844"/>
      <c r="HG177" s="844"/>
      <c r="HH177" s="844"/>
      <c r="HI177" s="844"/>
      <c r="HJ177" s="844"/>
      <c r="HK177" s="844"/>
      <c r="HL177" s="844"/>
      <c r="HM177" s="844"/>
      <c r="HN177" s="844"/>
      <c r="HP177" s="466"/>
      <c r="HQ177" s="466"/>
      <c r="HR177" s="466"/>
      <c r="HS177" s="415"/>
      <c r="HT177" s="2292"/>
    </row>
    <row r="178" spans="3:228">
      <c r="C178" s="466"/>
      <c r="D178" s="466"/>
      <c r="E178" s="3850"/>
      <c r="F178" s="516"/>
      <c r="G178" s="513"/>
      <c r="H178" s="525"/>
      <c r="I178" s="525"/>
      <c r="J178" s="523"/>
      <c r="K178" s="519"/>
      <c r="L178" s="466"/>
      <c r="M178" s="516"/>
      <c r="N178" s="513"/>
      <c r="O178" s="513"/>
      <c r="P178" s="510"/>
      <c r="Q178" s="510"/>
      <c r="R178" s="510"/>
      <c r="S178" s="510"/>
      <c r="T178" s="510"/>
      <c r="U178" s="510"/>
      <c r="V178" s="510"/>
      <c r="W178" s="510"/>
      <c r="X178" s="510"/>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466"/>
      <c r="BA178" s="466"/>
      <c r="BB178" s="466"/>
      <c r="BC178" s="466"/>
      <c r="BD178" s="466"/>
      <c r="BE178" s="466"/>
      <c r="BF178" s="466"/>
      <c r="BG178" s="466"/>
      <c r="BH178" s="466"/>
      <c r="BI178" s="466"/>
      <c r="BJ178" s="466"/>
      <c r="BK178" s="466"/>
      <c r="BL178" s="466"/>
      <c r="BM178" s="518"/>
      <c r="BN178" s="524"/>
      <c r="BO178" s="518"/>
      <c r="BP178" s="518"/>
      <c r="BQ178" s="518"/>
      <c r="BR178" s="466"/>
      <c r="BS178" s="466"/>
      <c r="BT178" s="466"/>
      <c r="BU178" s="466"/>
      <c r="BV178" s="466"/>
      <c r="BW178" s="466"/>
      <c r="BX178" s="466"/>
      <c r="BY178" s="466"/>
      <c r="BZ178" s="466"/>
      <c r="CA178" s="466"/>
      <c r="CB178" s="466"/>
      <c r="CC178" s="466"/>
      <c r="CD178" s="466"/>
      <c r="CE178" s="466"/>
      <c r="CF178" s="466"/>
      <c r="CG178" s="466"/>
      <c r="CH178" s="466"/>
      <c r="CI178" s="466"/>
      <c r="CJ178" s="466"/>
      <c r="CK178" s="466"/>
      <c r="CL178" s="466"/>
      <c r="CM178" s="466"/>
      <c r="CN178" s="466"/>
      <c r="CO178" s="466"/>
      <c r="CP178" s="466"/>
      <c r="CQ178" s="466"/>
      <c r="CR178" s="466"/>
      <c r="CS178" s="466"/>
      <c r="CT178" s="466"/>
      <c r="CU178" s="466"/>
      <c r="CV178" s="466"/>
      <c r="CW178" s="466"/>
      <c r="CX178" s="466"/>
      <c r="CY178" s="466"/>
      <c r="CZ178" s="466"/>
      <c r="DA178" s="466"/>
      <c r="DB178" s="466"/>
      <c r="DC178" s="466"/>
      <c r="DD178" s="466"/>
      <c r="DE178" s="466"/>
      <c r="DF178" s="466"/>
      <c r="DG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V178" s="466"/>
      <c r="GW178" s="466"/>
      <c r="GX178" s="466"/>
      <c r="GY178" s="466"/>
      <c r="GZ178" s="466"/>
      <c r="HA178" s="466"/>
      <c r="HB178" s="466"/>
      <c r="HC178" s="466"/>
      <c r="HD178" s="466"/>
      <c r="HE178" s="844"/>
      <c r="HF178" s="844"/>
      <c r="HG178" s="844"/>
      <c r="HH178" s="844"/>
      <c r="HI178" s="844"/>
      <c r="HJ178" s="844"/>
      <c r="HK178" s="844"/>
      <c r="HL178" s="844"/>
      <c r="HM178" s="844"/>
      <c r="HN178" s="844"/>
      <c r="HP178" s="466"/>
      <c r="HQ178" s="466"/>
      <c r="HR178" s="466"/>
      <c r="HS178" s="415"/>
      <c r="HT178" s="2292"/>
    </row>
    <row r="179" spans="3:228">
      <c r="C179" s="466"/>
      <c r="D179" s="466"/>
      <c r="E179" s="3850"/>
      <c r="F179" s="516"/>
      <c r="G179" s="513"/>
      <c r="H179" s="525"/>
      <c r="I179" s="525"/>
      <c r="J179" s="523"/>
      <c r="K179" s="519"/>
      <c r="L179" s="466"/>
      <c r="M179" s="516"/>
      <c r="N179" s="513"/>
      <c r="O179" s="513"/>
      <c r="P179" s="510"/>
      <c r="Q179" s="510"/>
      <c r="R179" s="510"/>
      <c r="S179" s="510"/>
      <c r="T179" s="510"/>
      <c r="U179" s="510"/>
      <c r="V179" s="510"/>
      <c r="W179" s="510"/>
      <c r="X179" s="510"/>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466"/>
      <c r="BA179" s="466"/>
      <c r="BB179" s="466"/>
      <c r="BC179" s="466"/>
      <c r="BD179" s="466"/>
      <c r="BE179" s="466"/>
      <c r="BF179" s="466"/>
      <c r="BG179" s="466"/>
      <c r="BH179" s="466"/>
      <c r="BI179" s="466"/>
      <c r="BJ179" s="466"/>
      <c r="BK179" s="466"/>
      <c r="BL179" s="466"/>
      <c r="BM179" s="518"/>
      <c r="BN179" s="524"/>
      <c r="BO179" s="518"/>
      <c r="BP179" s="518"/>
      <c r="BQ179" s="518"/>
      <c r="BR179" s="466"/>
      <c r="BS179" s="466"/>
      <c r="BT179" s="466"/>
      <c r="BU179" s="466"/>
      <c r="BV179" s="466"/>
      <c r="BW179" s="466"/>
      <c r="BX179" s="466"/>
      <c r="BY179" s="466"/>
      <c r="BZ179" s="466"/>
      <c r="CA179" s="466"/>
      <c r="CB179" s="466"/>
      <c r="CC179" s="466"/>
      <c r="CD179" s="466"/>
      <c r="CE179" s="466"/>
      <c r="CF179" s="466"/>
      <c r="CG179" s="466"/>
      <c r="CH179" s="466"/>
      <c r="CI179" s="466"/>
      <c r="CJ179" s="466"/>
      <c r="CK179" s="466"/>
      <c r="CL179" s="466"/>
      <c r="CM179" s="466"/>
      <c r="CN179" s="466"/>
      <c r="CO179" s="466"/>
      <c r="CP179" s="466"/>
      <c r="CQ179" s="466"/>
      <c r="CR179" s="466"/>
      <c r="CS179" s="466"/>
      <c r="CT179" s="466"/>
      <c r="CU179" s="466"/>
      <c r="CV179" s="466"/>
      <c r="CW179" s="466"/>
      <c r="CX179" s="466"/>
      <c r="CY179" s="466"/>
      <c r="CZ179" s="466"/>
      <c r="DA179" s="466"/>
      <c r="DB179" s="466"/>
      <c r="DC179" s="466"/>
      <c r="DD179" s="466"/>
      <c r="DE179" s="466"/>
      <c r="DF179" s="466"/>
      <c r="DG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V179" s="466"/>
      <c r="GW179" s="466"/>
      <c r="GX179" s="466"/>
      <c r="GY179" s="466"/>
      <c r="GZ179" s="466"/>
      <c r="HA179" s="466"/>
      <c r="HB179" s="466"/>
      <c r="HC179" s="466"/>
      <c r="HD179" s="466"/>
      <c r="HE179" s="844"/>
      <c r="HF179" s="844"/>
      <c r="HG179" s="844"/>
      <c r="HH179" s="844"/>
      <c r="HI179" s="844"/>
      <c r="HJ179" s="844"/>
      <c r="HK179" s="844"/>
      <c r="HL179" s="844"/>
      <c r="HM179" s="844"/>
      <c r="HN179" s="844"/>
      <c r="HP179" s="466"/>
      <c r="HQ179" s="466"/>
      <c r="HR179" s="466"/>
      <c r="HS179" s="415"/>
      <c r="HT179" s="2292"/>
    </row>
    <row r="180" spans="3:228">
      <c r="C180" s="466"/>
      <c r="D180" s="466"/>
      <c r="E180" s="3850"/>
      <c r="F180" s="516"/>
      <c r="G180" s="513"/>
      <c r="H180" s="525"/>
      <c r="I180" s="525"/>
      <c r="J180" s="523"/>
      <c r="K180" s="519"/>
      <c r="L180" s="466"/>
      <c r="M180" s="516"/>
      <c r="N180" s="513"/>
      <c r="O180" s="513"/>
      <c r="P180" s="510"/>
      <c r="Q180" s="510"/>
      <c r="R180" s="510"/>
      <c r="S180" s="510"/>
      <c r="T180" s="510"/>
      <c r="U180" s="510"/>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466"/>
      <c r="BA180" s="466"/>
      <c r="BB180" s="466"/>
      <c r="BC180" s="466"/>
      <c r="BD180" s="466"/>
      <c r="BE180" s="466"/>
      <c r="BF180" s="466"/>
      <c r="BG180" s="466"/>
      <c r="BH180" s="466"/>
      <c r="BI180" s="466"/>
      <c r="BJ180" s="466"/>
      <c r="BK180" s="466"/>
      <c r="BL180" s="466"/>
      <c r="BM180" s="518"/>
      <c r="BN180" s="524"/>
      <c r="BO180" s="518"/>
      <c r="BP180" s="518"/>
      <c r="BQ180" s="518"/>
      <c r="BR180" s="466"/>
      <c r="BS180" s="466"/>
      <c r="BT180" s="466"/>
      <c r="BU180" s="466"/>
      <c r="BV180" s="466"/>
      <c r="BW180" s="466"/>
      <c r="BX180" s="466"/>
      <c r="BY180" s="466"/>
      <c r="BZ180" s="466"/>
      <c r="CA180" s="466"/>
      <c r="CB180" s="466"/>
      <c r="CC180" s="466"/>
      <c r="CD180" s="466"/>
      <c r="CE180" s="466"/>
      <c r="CF180" s="466"/>
      <c r="CG180" s="466"/>
      <c r="CH180" s="466"/>
      <c r="CI180" s="466"/>
      <c r="CJ180" s="466"/>
      <c r="CK180" s="466"/>
      <c r="CL180" s="466"/>
      <c r="CM180" s="466"/>
      <c r="CN180" s="466"/>
      <c r="CO180" s="466"/>
      <c r="CP180" s="466"/>
      <c r="CQ180" s="466"/>
      <c r="CR180" s="466"/>
      <c r="CS180" s="466"/>
      <c r="CT180" s="466"/>
      <c r="CU180" s="466"/>
      <c r="CV180" s="466"/>
      <c r="CW180" s="466"/>
      <c r="CX180" s="466"/>
      <c r="CY180" s="466"/>
      <c r="CZ180" s="466"/>
      <c r="DA180" s="466"/>
      <c r="DB180" s="466"/>
      <c r="DC180" s="466"/>
      <c r="DD180" s="466"/>
      <c r="DE180" s="466"/>
      <c r="DF180" s="466"/>
      <c r="DG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V180" s="466"/>
      <c r="GW180" s="466"/>
      <c r="GX180" s="466"/>
      <c r="GY180" s="466"/>
      <c r="GZ180" s="466"/>
      <c r="HA180" s="466"/>
      <c r="HB180" s="466"/>
      <c r="HC180" s="466"/>
      <c r="HD180" s="466"/>
      <c r="HE180" s="844"/>
      <c r="HF180" s="844"/>
      <c r="HG180" s="844"/>
      <c r="HH180" s="844"/>
      <c r="HI180" s="844"/>
      <c r="HJ180" s="844"/>
      <c r="HK180" s="844"/>
      <c r="HL180" s="844"/>
      <c r="HM180" s="844"/>
      <c r="HN180" s="844"/>
      <c r="HP180" s="466"/>
      <c r="HQ180" s="466"/>
      <c r="HR180" s="466"/>
      <c r="HS180" s="415"/>
      <c r="HT180" s="2292"/>
    </row>
    <row r="181" spans="3:228">
      <c r="C181" s="466"/>
      <c r="D181" s="466"/>
      <c r="E181" s="3850"/>
      <c r="F181" s="516"/>
      <c r="G181" s="513"/>
      <c r="H181" s="525"/>
      <c r="I181" s="525"/>
      <c r="J181" s="523"/>
      <c r="K181" s="519"/>
      <c r="L181" s="466"/>
      <c r="M181" s="516"/>
      <c r="N181" s="513"/>
      <c r="O181" s="513"/>
      <c r="P181" s="510"/>
      <c r="Q181" s="510"/>
      <c r="R181" s="510"/>
      <c r="S181" s="510"/>
      <c r="T181" s="510"/>
      <c r="U181" s="510"/>
      <c r="V181" s="510"/>
      <c r="W181" s="510"/>
      <c r="X181" s="510"/>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466"/>
      <c r="BA181" s="466"/>
      <c r="BB181" s="466"/>
      <c r="BC181" s="466"/>
      <c r="BD181" s="466"/>
      <c r="BE181" s="466"/>
      <c r="BF181" s="466"/>
      <c r="BG181" s="466"/>
      <c r="BH181" s="466"/>
      <c r="BI181" s="466"/>
      <c r="BJ181" s="466"/>
      <c r="BK181" s="466"/>
      <c r="BL181" s="466"/>
      <c r="BM181" s="518"/>
      <c r="BN181" s="524"/>
      <c r="BO181" s="518"/>
      <c r="BP181" s="518"/>
      <c r="BQ181" s="518"/>
      <c r="BR181" s="466"/>
      <c r="BS181" s="466"/>
      <c r="BT181" s="466"/>
      <c r="BU181" s="466"/>
      <c r="BV181" s="466"/>
      <c r="BW181" s="466"/>
      <c r="BX181" s="466"/>
      <c r="BY181" s="466"/>
      <c r="BZ181" s="466"/>
      <c r="CA181" s="466"/>
      <c r="CB181" s="466"/>
      <c r="CC181" s="466"/>
      <c r="CD181" s="466"/>
      <c r="CE181" s="466"/>
      <c r="CF181" s="466"/>
      <c r="CG181" s="466"/>
      <c r="CH181" s="466"/>
      <c r="CI181" s="466"/>
      <c r="CJ181" s="466"/>
      <c r="CK181" s="466"/>
      <c r="CL181" s="466"/>
      <c r="CM181" s="466"/>
      <c r="CN181" s="466"/>
      <c r="CO181" s="466"/>
      <c r="CP181" s="466"/>
      <c r="CQ181" s="466"/>
      <c r="CR181" s="466"/>
      <c r="CS181" s="466"/>
      <c r="CT181" s="466"/>
      <c r="CU181" s="466"/>
      <c r="CV181" s="466"/>
      <c r="CW181" s="466"/>
      <c r="CX181" s="466"/>
      <c r="CY181" s="466"/>
      <c r="CZ181" s="466"/>
      <c r="DA181" s="466"/>
      <c r="DB181" s="466"/>
      <c r="DC181" s="466"/>
      <c r="DD181" s="466"/>
      <c r="DE181" s="466"/>
      <c r="DF181" s="466"/>
      <c r="DG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V181" s="466"/>
      <c r="GW181" s="466"/>
      <c r="GX181" s="466"/>
      <c r="GY181" s="466"/>
      <c r="GZ181" s="466"/>
      <c r="HA181" s="466"/>
      <c r="HB181" s="466"/>
      <c r="HC181" s="466"/>
      <c r="HD181" s="466"/>
      <c r="HE181" s="844"/>
      <c r="HF181" s="844"/>
      <c r="HG181" s="844"/>
      <c r="HH181" s="844"/>
      <c r="HI181" s="844"/>
      <c r="HJ181" s="844"/>
      <c r="HK181" s="844"/>
      <c r="HL181" s="844"/>
      <c r="HM181" s="844"/>
      <c r="HN181" s="844"/>
      <c r="HP181" s="466"/>
      <c r="HQ181" s="466"/>
      <c r="HR181" s="466"/>
      <c r="HS181" s="415"/>
      <c r="HT181" s="2292"/>
    </row>
    <row r="182" spans="3:228">
      <c r="C182" s="466"/>
      <c r="D182" s="466"/>
      <c r="E182" s="3850"/>
      <c r="F182" s="516"/>
      <c r="G182" s="513"/>
      <c r="H182" s="525"/>
      <c r="I182" s="525"/>
      <c r="J182" s="523"/>
      <c r="K182" s="519"/>
      <c r="L182" s="466"/>
      <c r="M182" s="516"/>
      <c r="N182" s="513"/>
      <c r="O182" s="513"/>
      <c r="P182" s="510"/>
      <c r="Q182" s="510"/>
      <c r="R182" s="510"/>
      <c r="S182" s="510"/>
      <c r="T182" s="510"/>
      <c r="U182" s="510"/>
      <c r="V182" s="510"/>
      <c r="W182" s="510"/>
      <c r="X182" s="510"/>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466"/>
      <c r="BA182" s="466"/>
      <c r="BB182" s="466"/>
      <c r="BC182" s="466"/>
      <c r="BD182" s="466"/>
      <c r="BE182" s="466"/>
      <c r="BF182" s="466"/>
      <c r="BG182" s="466"/>
      <c r="BH182" s="466"/>
      <c r="BI182" s="466"/>
      <c r="BJ182" s="466"/>
      <c r="BK182" s="466"/>
      <c r="BL182" s="466"/>
      <c r="BM182" s="518"/>
      <c r="BN182" s="524"/>
      <c r="BO182" s="518"/>
      <c r="BP182" s="518"/>
      <c r="BQ182" s="518"/>
      <c r="BR182" s="466"/>
      <c r="BS182" s="466"/>
      <c r="BT182" s="466"/>
      <c r="BU182" s="466"/>
      <c r="BV182" s="466"/>
      <c r="BW182" s="466"/>
      <c r="BX182" s="466"/>
      <c r="BY182" s="466"/>
      <c r="BZ182" s="466"/>
      <c r="CA182" s="466"/>
      <c r="CB182" s="466"/>
      <c r="CC182" s="466"/>
      <c r="CD182" s="466"/>
      <c r="CE182" s="466"/>
      <c r="CF182" s="466"/>
      <c r="CG182" s="466"/>
      <c r="CH182" s="466"/>
      <c r="CI182" s="466"/>
      <c r="CJ182" s="466"/>
      <c r="CK182" s="466"/>
      <c r="CL182" s="466"/>
      <c r="CM182" s="466"/>
      <c r="CN182" s="466"/>
      <c r="CO182" s="466"/>
      <c r="CP182" s="466"/>
      <c r="CQ182" s="466"/>
      <c r="CR182" s="466"/>
      <c r="CS182" s="466"/>
      <c r="CT182" s="466"/>
      <c r="CU182" s="466"/>
      <c r="CV182" s="466"/>
      <c r="CW182" s="466"/>
      <c r="CX182" s="466"/>
      <c r="CY182" s="466"/>
      <c r="CZ182" s="466"/>
      <c r="DA182" s="466"/>
      <c r="DB182" s="466"/>
      <c r="DC182" s="466"/>
      <c r="DD182" s="466"/>
      <c r="DE182" s="466"/>
      <c r="DF182" s="466"/>
      <c r="DG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V182" s="466"/>
      <c r="GW182" s="466"/>
      <c r="GX182" s="466"/>
      <c r="GY182" s="466"/>
      <c r="GZ182" s="466"/>
      <c r="HA182" s="466"/>
      <c r="HB182" s="466"/>
      <c r="HC182" s="466"/>
      <c r="HD182" s="466"/>
      <c r="HE182" s="844"/>
      <c r="HF182" s="844"/>
      <c r="HG182" s="844"/>
      <c r="HH182" s="844"/>
      <c r="HI182" s="844"/>
      <c r="HJ182" s="844"/>
      <c r="HK182" s="844"/>
      <c r="HL182" s="844"/>
      <c r="HM182" s="844"/>
      <c r="HN182" s="844"/>
      <c r="HP182" s="466"/>
      <c r="HQ182" s="466"/>
      <c r="HR182" s="466"/>
      <c r="HS182" s="415"/>
      <c r="HT182" s="2292"/>
    </row>
    <row r="183" spans="3:228">
      <c r="C183" s="466"/>
      <c r="D183" s="466"/>
      <c r="E183" s="3850"/>
      <c r="F183" s="516"/>
      <c r="G183" s="513"/>
      <c r="H183" s="525"/>
      <c r="I183" s="525"/>
      <c r="J183" s="523"/>
      <c r="K183" s="519"/>
      <c r="L183" s="466"/>
      <c r="M183" s="516"/>
      <c r="N183" s="513"/>
      <c r="O183" s="513"/>
      <c r="P183" s="510"/>
      <c r="Q183" s="510"/>
      <c r="R183" s="510"/>
      <c r="S183" s="510"/>
      <c r="T183" s="510"/>
      <c r="U183" s="510"/>
      <c r="V183" s="510"/>
      <c r="W183" s="510"/>
      <c r="X183" s="510"/>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466"/>
      <c r="BA183" s="466"/>
      <c r="BB183" s="466"/>
      <c r="BC183" s="466"/>
      <c r="BD183" s="466"/>
      <c r="BE183" s="466"/>
      <c r="BF183" s="466"/>
      <c r="BG183" s="466"/>
      <c r="BH183" s="466"/>
      <c r="BI183" s="466"/>
      <c r="BJ183" s="466"/>
      <c r="BK183" s="466"/>
      <c r="BL183" s="466"/>
      <c r="BM183" s="518"/>
      <c r="BN183" s="524"/>
      <c r="BO183" s="518"/>
      <c r="BP183" s="518"/>
      <c r="BQ183" s="518"/>
      <c r="BR183" s="466"/>
      <c r="BS183" s="466"/>
      <c r="BT183" s="466"/>
      <c r="BU183" s="466"/>
      <c r="BV183" s="466"/>
      <c r="BW183" s="466"/>
      <c r="BX183" s="466"/>
      <c r="BY183" s="466"/>
      <c r="BZ183" s="466"/>
      <c r="CA183" s="466"/>
      <c r="CB183" s="466"/>
      <c r="CC183" s="466"/>
      <c r="CD183" s="466"/>
      <c r="CE183" s="466"/>
      <c r="CF183" s="466"/>
      <c r="CG183" s="466"/>
      <c r="CH183" s="466"/>
      <c r="CI183" s="466"/>
      <c r="CJ183" s="466"/>
      <c r="CK183" s="466"/>
      <c r="CL183" s="466"/>
      <c r="CM183" s="466"/>
      <c r="CN183" s="466"/>
      <c r="CO183" s="466"/>
      <c r="CP183" s="466"/>
      <c r="CQ183" s="466"/>
      <c r="CR183" s="466"/>
      <c r="CS183" s="466"/>
      <c r="CT183" s="466"/>
      <c r="CU183" s="466"/>
      <c r="CV183" s="466"/>
      <c r="CW183" s="466"/>
      <c r="CX183" s="466"/>
      <c r="CY183" s="466"/>
      <c r="CZ183" s="466"/>
      <c r="DA183" s="466"/>
      <c r="DB183" s="466"/>
      <c r="DC183" s="466"/>
      <c r="DD183" s="466"/>
      <c r="DE183" s="466"/>
      <c r="DF183" s="466"/>
      <c r="DG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V183" s="466"/>
      <c r="GW183" s="466"/>
      <c r="GX183" s="466"/>
      <c r="GY183" s="466"/>
      <c r="GZ183" s="466"/>
      <c r="HA183" s="466"/>
      <c r="HB183" s="466"/>
      <c r="HC183" s="466"/>
      <c r="HD183" s="466"/>
      <c r="HE183" s="844"/>
      <c r="HF183" s="844"/>
      <c r="HG183" s="844"/>
      <c r="HH183" s="844"/>
      <c r="HI183" s="844"/>
      <c r="HJ183" s="844"/>
      <c r="HK183" s="844"/>
      <c r="HL183" s="844"/>
      <c r="HM183" s="844"/>
      <c r="HN183" s="844"/>
      <c r="HP183" s="466"/>
      <c r="HQ183" s="466"/>
      <c r="HR183" s="466"/>
      <c r="HS183" s="415"/>
      <c r="HT183" s="2292"/>
    </row>
    <row r="184" spans="3:228">
      <c r="C184" s="466"/>
      <c r="D184" s="466"/>
      <c r="E184" s="3850"/>
      <c r="F184" s="516"/>
      <c r="G184" s="513"/>
      <c r="H184" s="525"/>
      <c r="I184" s="525"/>
      <c r="J184" s="523"/>
      <c r="K184" s="519"/>
      <c r="L184" s="466"/>
      <c r="M184" s="516"/>
      <c r="N184" s="513"/>
      <c r="O184" s="513"/>
      <c r="P184" s="510"/>
      <c r="Q184" s="510"/>
      <c r="R184" s="510"/>
      <c r="S184" s="510"/>
      <c r="T184" s="510"/>
      <c r="U184" s="510"/>
      <c r="V184" s="510"/>
      <c r="W184" s="510"/>
      <c r="X184" s="510"/>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466"/>
      <c r="BA184" s="466"/>
      <c r="BB184" s="466"/>
      <c r="BC184" s="466"/>
      <c r="BD184" s="466"/>
      <c r="BE184" s="466"/>
      <c r="BF184" s="466"/>
      <c r="BG184" s="466"/>
      <c r="BH184" s="466"/>
      <c r="BI184" s="466"/>
      <c r="BJ184" s="466"/>
      <c r="BK184" s="466"/>
      <c r="BL184" s="466"/>
      <c r="BM184" s="518"/>
      <c r="BN184" s="524"/>
      <c r="BO184" s="518"/>
      <c r="BP184" s="518"/>
      <c r="BQ184" s="518"/>
      <c r="BR184" s="466"/>
      <c r="BS184" s="466"/>
      <c r="BT184" s="466"/>
      <c r="BU184" s="466"/>
      <c r="BV184" s="466"/>
      <c r="BW184" s="466"/>
      <c r="BX184" s="466"/>
      <c r="BY184" s="466"/>
      <c r="BZ184" s="466"/>
      <c r="CA184" s="466"/>
      <c r="CB184" s="466"/>
      <c r="CC184" s="466"/>
      <c r="CD184" s="466"/>
      <c r="CE184" s="466"/>
      <c r="CF184" s="466"/>
      <c r="CG184" s="466"/>
      <c r="CH184" s="466"/>
      <c r="CI184" s="466"/>
      <c r="CJ184" s="466"/>
      <c r="CK184" s="466"/>
      <c r="CL184" s="466"/>
      <c r="CM184" s="466"/>
      <c r="CN184" s="466"/>
      <c r="CO184" s="466"/>
      <c r="CP184" s="466"/>
      <c r="CQ184" s="466"/>
      <c r="CR184" s="466"/>
      <c r="CS184" s="466"/>
      <c r="CT184" s="466"/>
      <c r="CU184" s="466"/>
      <c r="CV184" s="466"/>
      <c r="CW184" s="466"/>
      <c r="CX184" s="466"/>
      <c r="CY184" s="466"/>
      <c r="CZ184" s="466"/>
      <c r="DA184" s="466"/>
      <c r="DB184" s="466"/>
      <c r="DC184" s="466"/>
      <c r="DD184" s="466"/>
      <c r="DE184" s="466"/>
      <c r="DF184" s="466"/>
      <c r="DG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V184" s="466"/>
      <c r="GW184" s="466"/>
      <c r="GX184" s="466"/>
      <c r="GY184" s="466"/>
      <c r="GZ184" s="466"/>
      <c r="HA184" s="466"/>
      <c r="HB184" s="466"/>
      <c r="HC184" s="466"/>
      <c r="HD184" s="466"/>
      <c r="HE184" s="844"/>
      <c r="HF184" s="844"/>
      <c r="HG184" s="844"/>
      <c r="HH184" s="844"/>
      <c r="HI184" s="844"/>
      <c r="HJ184" s="844"/>
      <c r="HK184" s="844"/>
      <c r="HL184" s="844"/>
      <c r="HM184" s="844"/>
      <c r="HN184" s="844"/>
      <c r="HP184" s="466"/>
      <c r="HQ184" s="466"/>
      <c r="HR184" s="466"/>
      <c r="HS184" s="415"/>
      <c r="HT184" s="2292"/>
    </row>
    <row r="185" spans="3:228">
      <c r="C185" s="466"/>
      <c r="D185" s="466"/>
      <c r="E185" s="3850"/>
      <c r="F185" s="516"/>
      <c r="G185" s="513"/>
      <c r="H185" s="525"/>
      <c r="I185" s="525"/>
      <c r="J185" s="523"/>
      <c r="K185" s="519"/>
      <c r="L185" s="466"/>
      <c r="M185" s="516"/>
      <c r="N185" s="513"/>
      <c r="O185" s="513"/>
      <c r="P185" s="510"/>
      <c r="Q185" s="510"/>
      <c r="R185" s="510"/>
      <c r="S185" s="510"/>
      <c r="T185" s="510"/>
      <c r="U185" s="510"/>
      <c r="V185" s="510"/>
      <c r="W185" s="510"/>
      <c r="X185" s="510"/>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466"/>
      <c r="BA185" s="466"/>
      <c r="BB185" s="466"/>
      <c r="BC185" s="466"/>
      <c r="BD185" s="466"/>
      <c r="BE185" s="466"/>
      <c r="BF185" s="466"/>
      <c r="BG185" s="466"/>
      <c r="BH185" s="466"/>
      <c r="BI185" s="466"/>
      <c r="BJ185" s="466"/>
      <c r="BK185" s="466"/>
      <c r="BL185" s="466"/>
      <c r="BM185" s="518"/>
      <c r="BN185" s="524"/>
      <c r="BO185" s="518"/>
      <c r="BP185" s="518"/>
      <c r="BQ185" s="518"/>
      <c r="BR185" s="466"/>
      <c r="BS185" s="466"/>
      <c r="BT185" s="466"/>
      <c r="BU185" s="466"/>
      <c r="BV185" s="466"/>
      <c r="BW185" s="466"/>
      <c r="BX185" s="466"/>
      <c r="BY185" s="466"/>
      <c r="BZ185" s="466"/>
      <c r="CA185" s="466"/>
      <c r="CB185" s="466"/>
      <c r="CC185" s="466"/>
      <c r="CD185" s="466"/>
      <c r="CE185" s="466"/>
      <c r="CF185" s="466"/>
      <c r="CG185" s="466"/>
      <c r="CH185" s="466"/>
      <c r="CI185" s="466"/>
      <c r="CJ185" s="466"/>
      <c r="CK185" s="466"/>
      <c r="CL185" s="466"/>
      <c r="CM185" s="466"/>
      <c r="CN185" s="466"/>
      <c r="CO185" s="466"/>
      <c r="CP185" s="466"/>
      <c r="CQ185" s="466"/>
      <c r="CR185" s="466"/>
      <c r="CS185" s="466"/>
      <c r="CT185" s="466"/>
      <c r="CU185" s="466"/>
      <c r="CV185" s="466"/>
      <c r="CW185" s="466"/>
      <c r="CX185" s="466"/>
      <c r="CY185" s="466"/>
      <c r="CZ185" s="466"/>
      <c r="DA185" s="466"/>
      <c r="DB185" s="466"/>
      <c r="DC185" s="466"/>
      <c r="DD185" s="466"/>
      <c r="DE185" s="466"/>
      <c r="DF185" s="466"/>
      <c r="DG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V185" s="466"/>
      <c r="GW185" s="466"/>
      <c r="GX185" s="466"/>
      <c r="GY185" s="466"/>
      <c r="GZ185" s="466"/>
      <c r="HA185" s="466"/>
      <c r="HB185" s="466"/>
      <c r="HC185" s="466"/>
      <c r="HD185" s="466"/>
      <c r="HE185" s="844"/>
      <c r="HF185" s="844"/>
      <c r="HG185" s="844"/>
      <c r="HH185" s="844"/>
      <c r="HI185" s="844"/>
      <c r="HJ185" s="844"/>
      <c r="HK185" s="844"/>
      <c r="HL185" s="844"/>
      <c r="HM185" s="844"/>
      <c r="HN185" s="844"/>
      <c r="HP185" s="466"/>
      <c r="HQ185" s="466"/>
      <c r="HR185" s="466"/>
      <c r="HS185" s="415"/>
      <c r="HT185" s="2292"/>
    </row>
    <row r="186" spans="3:228">
      <c r="C186" s="466"/>
      <c r="D186" s="466"/>
      <c r="E186" s="3850"/>
      <c r="F186" s="516"/>
      <c r="G186" s="513"/>
      <c r="H186" s="525"/>
      <c r="I186" s="525"/>
      <c r="J186" s="523"/>
      <c r="K186" s="519"/>
      <c r="L186" s="466"/>
      <c r="M186" s="516"/>
      <c r="N186" s="513"/>
      <c r="O186" s="513"/>
      <c r="P186" s="510"/>
      <c r="Q186" s="510"/>
      <c r="R186" s="510"/>
      <c r="S186" s="510"/>
      <c r="T186" s="510"/>
      <c r="U186" s="510"/>
      <c r="V186" s="510"/>
      <c r="W186" s="510"/>
      <c r="X186" s="510"/>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466"/>
      <c r="BA186" s="466"/>
      <c r="BB186" s="466"/>
      <c r="BC186" s="466"/>
      <c r="BD186" s="466"/>
      <c r="BE186" s="466"/>
      <c r="BF186" s="466"/>
      <c r="BG186" s="466"/>
      <c r="BH186" s="466"/>
      <c r="BI186" s="466"/>
      <c r="BJ186" s="466"/>
      <c r="BK186" s="466"/>
      <c r="BL186" s="466"/>
      <c r="BM186" s="518"/>
      <c r="BN186" s="524"/>
      <c r="BO186" s="518"/>
      <c r="BP186" s="518"/>
      <c r="BQ186" s="518"/>
      <c r="BR186" s="466"/>
      <c r="BS186" s="466"/>
      <c r="BT186" s="466"/>
      <c r="BU186" s="466"/>
      <c r="BV186" s="466"/>
      <c r="BW186" s="466"/>
      <c r="BX186" s="466"/>
      <c r="BY186" s="466"/>
      <c r="BZ186" s="466"/>
      <c r="CA186" s="466"/>
      <c r="CB186" s="466"/>
      <c r="CC186" s="466"/>
      <c r="CD186" s="466"/>
      <c r="CE186" s="466"/>
      <c r="CF186" s="466"/>
      <c r="CG186" s="466"/>
      <c r="CH186" s="466"/>
      <c r="CI186" s="466"/>
      <c r="CJ186" s="466"/>
      <c r="CK186" s="466"/>
      <c r="CL186" s="466"/>
      <c r="CM186" s="466"/>
      <c r="CN186" s="466"/>
      <c r="CO186" s="466"/>
      <c r="CP186" s="466"/>
      <c r="CQ186" s="466"/>
      <c r="CR186" s="466"/>
      <c r="CS186" s="466"/>
      <c r="CT186" s="466"/>
      <c r="CU186" s="466"/>
      <c r="CV186" s="466"/>
      <c r="CW186" s="466"/>
      <c r="CX186" s="466"/>
      <c r="CY186" s="466"/>
      <c r="CZ186" s="466"/>
      <c r="DA186" s="466"/>
      <c r="DB186" s="466"/>
      <c r="DC186" s="466"/>
      <c r="DD186" s="466"/>
      <c r="DE186" s="466"/>
      <c r="DF186" s="466"/>
      <c r="DG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V186" s="466"/>
      <c r="GW186" s="466"/>
      <c r="GX186" s="466"/>
      <c r="GY186" s="466"/>
      <c r="GZ186" s="466"/>
      <c r="HA186" s="466"/>
      <c r="HB186" s="466"/>
      <c r="HC186" s="466"/>
      <c r="HD186" s="466"/>
      <c r="HE186" s="844"/>
      <c r="HF186" s="844"/>
      <c r="HG186" s="844"/>
      <c r="HH186" s="844"/>
      <c r="HI186" s="844"/>
      <c r="HJ186" s="844"/>
      <c r="HK186" s="844"/>
      <c r="HL186" s="844"/>
      <c r="HM186" s="844"/>
      <c r="HN186" s="844"/>
      <c r="HP186" s="466"/>
      <c r="HQ186" s="466"/>
      <c r="HR186" s="466"/>
      <c r="HS186" s="415"/>
      <c r="HT186" s="2292"/>
    </row>
    <row r="187" spans="3:228">
      <c r="C187" s="466"/>
      <c r="D187" s="466"/>
      <c r="E187" s="3850"/>
      <c r="F187" s="516"/>
      <c r="G187" s="513"/>
      <c r="H187" s="523"/>
      <c r="I187" s="523"/>
      <c r="J187" s="526"/>
      <c r="K187" s="519"/>
      <c r="L187" s="466"/>
      <c r="M187" s="516"/>
      <c r="N187" s="513"/>
      <c r="O187" s="513"/>
      <c r="P187" s="510"/>
      <c r="Q187" s="510"/>
      <c r="R187" s="510"/>
      <c r="S187" s="510"/>
      <c r="T187" s="510"/>
      <c r="U187" s="510"/>
      <c r="V187" s="510"/>
      <c r="W187" s="510"/>
      <c r="X187" s="510"/>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466"/>
      <c r="BA187" s="466"/>
      <c r="BB187" s="466"/>
      <c r="BC187" s="466"/>
      <c r="BD187" s="466"/>
      <c r="BE187" s="466"/>
      <c r="BF187" s="466"/>
      <c r="BG187" s="466"/>
      <c r="BH187" s="466"/>
      <c r="BI187" s="466"/>
      <c r="BJ187" s="466"/>
      <c r="BK187" s="466"/>
      <c r="BL187" s="466"/>
      <c r="BM187" s="518"/>
      <c r="BN187" s="524"/>
      <c r="BO187" s="518"/>
      <c r="BP187" s="518"/>
      <c r="BQ187" s="518"/>
      <c r="BR187" s="466"/>
      <c r="BS187" s="466"/>
      <c r="BT187" s="466"/>
      <c r="BU187" s="466"/>
      <c r="BV187" s="466"/>
      <c r="BW187" s="466"/>
      <c r="BX187" s="466"/>
      <c r="BY187" s="466"/>
      <c r="BZ187" s="466"/>
      <c r="CA187" s="466"/>
      <c r="CB187" s="466"/>
      <c r="CC187" s="466"/>
      <c r="CD187" s="466"/>
      <c r="CE187" s="466"/>
      <c r="CF187" s="466"/>
      <c r="CG187" s="466"/>
      <c r="CH187" s="466"/>
      <c r="CI187" s="466"/>
      <c r="CJ187" s="466"/>
      <c r="CK187" s="466"/>
      <c r="CL187" s="466"/>
      <c r="CM187" s="466"/>
      <c r="CN187" s="466"/>
      <c r="CO187" s="466"/>
      <c r="CP187" s="466"/>
      <c r="CQ187" s="466"/>
      <c r="CR187" s="466"/>
      <c r="CS187" s="466"/>
      <c r="CT187" s="466"/>
      <c r="CU187" s="466"/>
      <c r="CV187" s="466"/>
      <c r="CW187" s="466"/>
      <c r="CX187" s="466"/>
      <c r="CY187" s="466"/>
      <c r="CZ187" s="466"/>
      <c r="DA187" s="466"/>
      <c r="DB187" s="466"/>
      <c r="DC187" s="466"/>
      <c r="DD187" s="466"/>
      <c r="DE187" s="466"/>
      <c r="DF187" s="466"/>
      <c r="DG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V187" s="466"/>
      <c r="GW187" s="466"/>
      <c r="GX187" s="466"/>
      <c r="GY187" s="466"/>
      <c r="GZ187" s="466"/>
      <c r="HA187" s="466"/>
      <c r="HB187" s="466"/>
      <c r="HC187" s="466"/>
      <c r="HD187" s="466"/>
      <c r="HE187" s="844"/>
      <c r="HF187" s="844"/>
      <c r="HG187" s="844"/>
      <c r="HH187" s="844"/>
      <c r="HI187" s="844"/>
      <c r="HJ187" s="844"/>
      <c r="HK187" s="844"/>
      <c r="HL187" s="844"/>
      <c r="HM187" s="844"/>
      <c r="HN187" s="844"/>
      <c r="HP187" s="466"/>
      <c r="HQ187" s="466"/>
      <c r="HR187" s="466"/>
      <c r="HS187" s="415"/>
      <c r="HT187" s="2292"/>
    </row>
    <row r="188" spans="3:228">
      <c r="C188" s="466"/>
      <c r="D188" s="466"/>
      <c r="E188" s="466"/>
      <c r="F188" s="466"/>
      <c r="G188" s="466"/>
      <c r="H188" s="466"/>
      <c r="I188" s="466"/>
      <c r="J188" s="466"/>
      <c r="K188" s="466"/>
      <c r="L188" s="466"/>
      <c r="M188" s="516"/>
      <c r="N188" s="513"/>
      <c r="O188" s="513"/>
      <c r="P188" s="510"/>
      <c r="Q188" s="510"/>
      <c r="R188" s="510"/>
      <c r="S188" s="510"/>
      <c r="T188" s="510"/>
      <c r="U188" s="510"/>
      <c r="V188" s="510"/>
      <c r="W188" s="510"/>
      <c r="X188" s="510"/>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466"/>
      <c r="BA188" s="466"/>
      <c r="BB188" s="466"/>
      <c r="BC188" s="466"/>
      <c r="BD188" s="466"/>
      <c r="BE188" s="466"/>
      <c r="BF188" s="466"/>
      <c r="BG188" s="466"/>
      <c r="BH188" s="466"/>
      <c r="BI188" s="466"/>
      <c r="BJ188" s="466"/>
      <c r="BK188" s="466"/>
      <c r="BL188" s="466"/>
      <c r="BM188" s="518"/>
      <c r="BN188" s="524"/>
      <c r="BO188" s="518"/>
      <c r="BP188" s="518"/>
      <c r="BQ188" s="518"/>
      <c r="BR188" s="466"/>
      <c r="BS188" s="466"/>
      <c r="BT188" s="466"/>
      <c r="BU188" s="466"/>
      <c r="BV188" s="466"/>
      <c r="BW188" s="466"/>
      <c r="BX188" s="466"/>
      <c r="BY188" s="466"/>
      <c r="BZ188" s="466"/>
      <c r="CA188" s="466"/>
      <c r="CB188" s="466"/>
      <c r="CC188" s="466"/>
      <c r="CD188" s="466"/>
      <c r="CE188" s="466"/>
      <c r="CF188" s="466"/>
      <c r="CG188" s="466"/>
      <c r="CH188" s="466"/>
      <c r="CI188" s="466"/>
      <c r="CJ188" s="466"/>
      <c r="CK188" s="466"/>
      <c r="CL188" s="466"/>
      <c r="CM188" s="466"/>
      <c r="CN188" s="466"/>
      <c r="CO188" s="466"/>
      <c r="CP188" s="466"/>
      <c r="CQ188" s="466"/>
      <c r="CR188" s="466"/>
      <c r="CS188" s="466"/>
      <c r="CT188" s="466"/>
      <c r="CU188" s="466"/>
      <c r="CV188" s="466"/>
      <c r="CW188" s="466"/>
      <c r="CX188" s="466"/>
      <c r="CY188" s="466"/>
      <c r="CZ188" s="466"/>
      <c r="DA188" s="466"/>
      <c r="DB188" s="466"/>
      <c r="DC188" s="466"/>
      <c r="DD188" s="466"/>
      <c r="DE188" s="466"/>
      <c r="DF188" s="466"/>
      <c r="DG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V188" s="466"/>
      <c r="GW188" s="466"/>
      <c r="GX188" s="466"/>
      <c r="GY188" s="466"/>
      <c r="GZ188" s="466"/>
      <c r="HA188" s="466"/>
      <c r="HB188" s="466"/>
      <c r="HC188" s="466"/>
      <c r="HD188" s="466"/>
      <c r="HE188" s="844"/>
      <c r="HF188" s="844"/>
      <c r="HG188" s="844"/>
      <c r="HH188" s="844"/>
      <c r="HI188" s="844"/>
      <c r="HJ188" s="844"/>
      <c r="HK188" s="844"/>
      <c r="HL188" s="844"/>
      <c r="HM188" s="844"/>
      <c r="HN188" s="844"/>
      <c r="HP188" s="466"/>
      <c r="HQ188" s="466"/>
      <c r="HR188" s="466"/>
      <c r="HS188" s="415"/>
      <c r="HT188" s="2292"/>
    </row>
    <row r="189" spans="3:228">
      <c r="C189" s="466"/>
      <c r="D189" s="466"/>
      <c r="E189" s="466"/>
      <c r="F189" s="466"/>
      <c r="G189" s="466"/>
      <c r="H189" s="466"/>
      <c r="I189" s="466"/>
      <c r="J189" s="466"/>
      <c r="K189" s="466"/>
      <c r="L189" s="466"/>
      <c r="M189" s="516"/>
      <c r="N189" s="513"/>
      <c r="O189" s="513"/>
      <c r="P189" s="510"/>
      <c r="Q189" s="510"/>
      <c r="R189" s="510"/>
      <c r="S189" s="510"/>
      <c r="T189" s="510"/>
      <c r="U189" s="510"/>
      <c r="V189" s="510"/>
      <c r="W189" s="510"/>
      <c r="X189" s="510"/>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466"/>
      <c r="BA189" s="466"/>
      <c r="BB189" s="466"/>
      <c r="BC189" s="466"/>
      <c r="BD189" s="466"/>
      <c r="BE189" s="466"/>
      <c r="BF189" s="466"/>
      <c r="BG189" s="466"/>
      <c r="BH189" s="466"/>
      <c r="BI189" s="466"/>
      <c r="BJ189" s="466"/>
      <c r="BK189" s="466"/>
      <c r="BL189" s="466"/>
      <c r="BM189" s="518"/>
      <c r="BN189" s="524"/>
      <c r="BO189" s="518"/>
      <c r="BP189" s="518"/>
      <c r="BQ189" s="518"/>
      <c r="BR189" s="466"/>
      <c r="BS189" s="466"/>
      <c r="BT189" s="466"/>
      <c r="BU189" s="466"/>
      <c r="BV189" s="466"/>
      <c r="BW189" s="466"/>
      <c r="BX189" s="466"/>
      <c r="BY189" s="466"/>
      <c r="BZ189" s="466"/>
      <c r="CA189" s="466"/>
      <c r="CB189" s="466"/>
      <c r="CC189" s="466"/>
      <c r="CD189" s="466"/>
      <c r="CE189" s="466"/>
      <c r="CF189" s="466"/>
      <c r="CG189" s="466"/>
      <c r="CH189" s="466"/>
      <c r="CI189" s="466"/>
      <c r="CJ189" s="466"/>
      <c r="CK189" s="466"/>
      <c r="CL189" s="466"/>
      <c r="CM189" s="466"/>
      <c r="CN189" s="466"/>
      <c r="CO189" s="466"/>
      <c r="CP189" s="466"/>
      <c r="CQ189" s="466"/>
      <c r="CR189" s="466"/>
      <c r="CS189" s="466"/>
      <c r="CT189" s="466"/>
      <c r="CU189" s="466"/>
      <c r="CV189" s="466"/>
      <c r="CW189" s="466"/>
      <c r="CX189" s="466"/>
      <c r="CY189" s="466"/>
      <c r="CZ189" s="466"/>
      <c r="DA189" s="466"/>
      <c r="DB189" s="466"/>
      <c r="DC189" s="466"/>
      <c r="DD189" s="466"/>
      <c r="DE189" s="466"/>
      <c r="DF189" s="466"/>
      <c r="DG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V189" s="466"/>
      <c r="GW189" s="466"/>
      <c r="GX189" s="466"/>
      <c r="GY189" s="466"/>
      <c r="GZ189" s="466"/>
      <c r="HA189" s="466"/>
      <c r="HB189" s="466"/>
      <c r="HC189" s="466"/>
      <c r="HD189" s="466"/>
      <c r="HE189" s="844"/>
      <c r="HF189" s="844"/>
      <c r="HG189" s="844"/>
      <c r="HH189" s="844"/>
      <c r="HI189" s="844"/>
      <c r="HJ189" s="844"/>
      <c r="HK189" s="844"/>
      <c r="HL189" s="844"/>
      <c r="HM189" s="844"/>
      <c r="HN189" s="844"/>
      <c r="HP189" s="466"/>
      <c r="HQ189" s="466"/>
      <c r="HR189" s="466"/>
      <c r="HS189" s="415"/>
      <c r="HT189" s="2292"/>
    </row>
    <row r="190" spans="3:228">
      <c r="C190" s="466"/>
      <c r="D190" s="466"/>
      <c r="E190" s="466"/>
      <c r="F190" s="466"/>
      <c r="G190" s="466"/>
      <c r="H190" s="466"/>
      <c r="I190" s="466"/>
      <c r="J190" s="466"/>
      <c r="K190" s="466"/>
      <c r="L190" s="466"/>
      <c r="M190" s="516"/>
      <c r="N190" s="513"/>
      <c r="O190" s="513"/>
      <c r="P190" s="510"/>
      <c r="Q190" s="510"/>
      <c r="R190" s="510"/>
      <c r="S190" s="510"/>
      <c r="T190" s="510"/>
      <c r="U190" s="510"/>
      <c r="V190" s="510"/>
      <c r="W190" s="510"/>
      <c r="X190" s="510"/>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466"/>
      <c r="BA190" s="466"/>
      <c r="BB190" s="466"/>
      <c r="BC190" s="466"/>
      <c r="BD190" s="466"/>
      <c r="BE190" s="466"/>
      <c r="BF190" s="466"/>
      <c r="BG190" s="466"/>
      <c r="BH190" s="466"/>
      <c r="BI190" s="466"/>
      <c r="BJ190" s="466"/>
      <c r="BK190" s="466"/>
      <c r="BL190" s="466"/>
      <c r="BM190" s="518"/>
      <c r="BN190" s="524"/>
      <c r="BO190" s="518"/>
      <c r="BP190" s="518"/>
      <c r="BQ190" s="518"/>
      <c r="BR190" s="466"/>
      <c r="BS190" s="466"/>
      <c r="BT190" s="466"/>
      <c r="BU190" s="466"/>
      <c r="BV190" s="466"/>
      <c r="BW190" s="466"/>
      <c r="BX190" s="466"/>
      <c r="BY190" s="466"/>
      <c r="BZ190" s="466"/>
      <c r="CA190" s="466"/>
      <c r="CB190" s="466"/>
      <c r="CC190" s="466"/>
      <c r="CD190" s="466"/>
      <c r="CE190" s="466"/>
      <c r="CF190" s="466"/>
      <c r="CG190" s="466"/>
      <c r="CH190" s="466"/>
      <c r="CI190" s="466"/>
      <c r="CJ190" s="466"/>
      <c r="CK190" s="466"/>
      <c r="CL190" s="466"/>
      <c r="CM190" s="466"/>
      <c r="CN190" s="466"/>
      <c r="CO190" s="466"/>
      <c r="CP190" s="466"/>
      <c r="CQ190" s="466"/>
      <c r="CR190" s="466"/>
      <c r="CS190" s="466"/>
      <c r="CT190" s="466"/>
      <c r="CU190" s="466"/>
      <c r="CV190" s="466"/>
      <c r="CW190" s="466"/>
      <c r="CX190" s="466"/>
      <c r="CY190" s="466"/>
      <c r="CZ190" s="466"/>
      <c r="DA190" s="466"/>
      <c r="DB190" s="466"/>
      <c r="DC190" s="466"/>
      <c r="DD190" s="466"/>
      <c r="DE190" s="466"/>
      <c r="DF190" s="466"/>
      <c r="DG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V190" s="466"/>
      <c r="GW190" s="466"/>
      <c r="GX190" s="466"/>
      <c r="GY190" s="466"/>
      <c r="GZ190" s="466"/>
      <c r="HA190" s="466"/>
      <c r="HB190" s="466"/>
      <c r="HC190" s="466"/>
      <c r="HD190" s="466"/>
      <c r="HE190" s="844"/>
      <c r="HF190" s="844"/>
      <c r="HG190" s="844"/>
      <c r="HH190" s="844"/>
      <c r="HI190" s="844"/>
      <c r="HJ190" s="844"/>
      <c r="HK190" s="844"/>
      <c r="HL190" s="844"/>
      <c r="HM190" s="844"/>
      <c r="HN190" s="844"/>
      <c r="HP190" s="466"/>
      <c r="HQ190" s="466"/>
      <c r="HR190" s="466"/>
      <c r="HS190" s="415"/>
      <c r="HT190" s="2292"/>
    </row>
    <row r="191" spans="3:228">
      <c r="C191" s="466"/>
      <c r="D191" s="466"/>
      <c r="E191" s="466"/>
      <c r="F191" s="466"/>
      <c r="G191" s="466"/>
      <c r="H191" s="466"/>
      <c r="I191" s="466"/>
      <c r="J191" s="466"/>
      <c r="K191" s="466"/>
      <c r="L191" s="466"/>
      <c r="M191" s="516"/>
      <c r="N191" s="513"/>
      <c r="O191" s="513"/>
      <c r="P191" s="510"/>
      <c r="Q191" s="510"/>
      <c r="R191" s="510"/>
      <c r="S191" s="510"/>
      <c r="T191" s="510"/>
      <c r="U191" s="510"/>
      <c r="V191" s="510"/>
      <c r="W191" s="510"/>
      <c r="X191" s="510"/>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466"/>
      <c r="BA191" s="466"/>
      <c r="BB191" s="466"/>
      <c r="BC191" s="466"/>
      <c r="BD191" s="466"/>
      <c r="BE191" s="466"/>
      <c r="BF191" s="466"/>
      <c r="BG191" s="466"/>
      <c r="BH191" s="466"/>
      <c r="BI191" s="466"/>
      <c r="BJ191" s="466"/>
      <c r="BK191" s="466"/>
      <c r="BL191" s="466"/>
      <c r="BR191" s="466"/>
      <c r="BS191" s="466"/>
      <c r="BT191" s="466"/>
      <c r="BU191" s="466"/>
      <c r="BV191" s="466"/>
      <c r="BW191" s="466"/>
      <c r="BX191" s="466"/>
      <c r="BY191" s="466"/>
      <c r="BZ191" s="466"/>
      <c r="CA191" s="466"/>
      <c r="CB191" s="466"/>
      <c r="CC191" s="466"/>
      <c r="CD191" s="466"/>
      <c r="CE191" s="466"/>
      <c r="CF191" s="466"/>
      <c r="CG191" s="466"/>
      <c r="CH191" s="466"/>
      <c r="CI191" s="466"/>
      <c r="CJ191" s="466"/>
      <c r="CK191" s="466"/>
      <c r="CL191" s="466"/>
      <c r="CM191" s="466"/>
      <c r="CN191" s="466"/>
      <c r="CO191" s="466"/>
      <c r="CP191" s="466"/>
      <c r="CQ191" s="466"/>
      <c r="CR191" s="466"/>
      <c r="CS191" s="466"/>
      <c r="CT191" s="466"/>
      <c r="CU191" s="466"/>
      <c r="CV191" s="466"/>
      <c r="CW191" s="466"/>
      <c r="CX191" s="466"/>
      <c r="CY191" s="466"/>
      <c r="CZ191" s="466"/>
      <c r="DA191" s="466"/>
      <c r="DB191" s="466"/>
      <c r="DC191" s="466"/>
      <c r="DD191" s="466"/>
      <c r="DE191" s="466"/>
      <c r="DF191" s="466"/>
      <c r="DG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V191" s="466"/>
      <c r="GW191" s="466"/>
      <c r="GX191" s="466"/>
      <c r="GY191" s="466"/>
      <c r="GZ191" s="466"/>
      <c r="HA191" s="466"/>
      <c r="HB191" s="466"/>
      <c r="HC191" s="466"/>
      <c r="HD191" s="466"/>
      <c r="HE191" s="844"/>
      <c r="HF191" s="844"/>
      <c r="HG191" s="844"/>
      <c r="HH191" s="844"/>
      <c r="HI191" s="844"/>
      <c r="HJ191" s="844"/>
      <c r="HK191" s="844"/>
      <c r="HL191" s="844"/>
      <c r="HM191" s="844"/>
      <c r="HN191" s="844"/>
      <c r="HP191" s="466"/>
      <c r="HQ191" s="466"/>
      <c r="HR191" s="466"/>
      <c r="HS191" s="415"/>
      <c r="HT191" s="2292"/>
    </row>
    <row r="192" spans="3:228">
      <c r="C192" s="466"/>
      <c r="D192" s="466"/>
      <c r="E192" s="466"/>
      <c r="F192" s="466"/>
      <c r="G192" s="466"/>
      <c r="H192" s="466"/>
      <c r="I192" s="466"/>
      <c r="J192" s="466"/>
      <c r="K192" s="466"/>
      <c r="L192" s="466"/>
      <c r="M192" s="516"/>
      <c r="N192" s="513"/>
      <c r="O192" s="513"/>
      <c r="P192" s="510"/>
      <c r="Q192" s="510"/>
      <c r="R192" s="510"/>
      <c r="S192" s="510"/>
      <c r="T192" s="510"/>
      <c r="U192" s="510"/>
      <c r="V192" s="510"/>
      <c r="W192" s="510"/>
      <c r="X192" s="510"/>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466"/>
      <c r="BA192" s="466"/>
      <c r="BB192" s="466"/>
      <c r="BC192" s="466"/>
      <c r="BD192" s="466"/>
      <c r="BE192" s="466"/>
      <c r="BF192" s="466"/>
      <c r="BG192" s="466"/>
      <c r="BH192" s="466"/>
      <c r="BI192" s="466"/>
      <c r="BJ192" s="466"/>
      <c r="BK192" s="466"/>
      <c r="BL192" s="466"/>
      <c r="BR192" s="466"/>
      <c r="BS192" s="466"/>
      <c r="BT192" s="466"/>
      <c r="BU192" s="466"/>
      <c r="BV192" s="466"/>
      <c r="BW192" s="466"/>
      <c r="BX192" s="466"/>
      <c r="BY192" s="466"/>
      <c r="BZ192" s="466"/>
      <c r="CA192" s="466"/>
      <c r="CB192" s="466"/>
      <c r="CC192" s="466"/>
      <c r="CD192" s="466"/>
      <c r="CE192" s="466"/>
      <c r="CF192" s="466"/>
      <c r="CG192" s="466"/>
      <c r="CH192" s="466"/>
      <c r="CI192" s="466"/>
      <c r="CJ192" s="466"/>
      <c r="CK192" s="466"/>
      <c r="CL192" s="466"/>
      <c r="CM192" s="466"/>
      <c r="CN192" s="466"/>
      <c r="CO192" s="466"/>
      <c r="CP192" s="466"/>
      <c r="CQ192" s="466"/>
      <c r="CR192" s="466"/>
      <c r="CS192" s="466"/>
      <c r="CT192" s="466"/>
      <c r="CU192" s="466"/>
      <c r="CV192" s="466"/>
      <c r="CW192" s="466"/>
      <c r="CX192" s="466"/>
      <c r="CY192" s="466"/>
      <c r="CZ192" s="466"/>
      <c r="DA192" s="466"/>
      <c r="DB192" s="466"/>
      <c r="DC192" s="466"/>
      <c r="DD192" s="466"/>
      <c r="DE192" s="466"/>
      <c r="DF192" s="466"/>
      <c r="DG192" s="466"/>
      <c r="FE192" s="466"/>
      <c r="FF192" s="466"/>
      <c r="FG192" s="466"/>
      <c r="FH192" s="466"/>
      <c r="FI192" s="466"/>
      <c r="FJ192" s="466"/>
      <c r="FK192" s="466"/>
      <c r="FL192" s="466"/>
      <c r="FM192" s="466"/>
      <c r="FN192" s="466"/>
      <c r="FO192" s="466"/>
      <c r="FP192" s="466"/>
      <c r="FQ192" s="466"/>
      <c r="FR192" s="466"/>
      <c r="FS192" s="466"/>
      <c r="FT192" s="466"/>
      <c r="FU192" s="466"/>
      <c r="FV192" s="466"/>
      <c r="FW192" s="466"/>
      <c r="FX192" s="466"/>
      <c r="FY192" s="466"/>
      <c r="FZ192" s="466"/>
      <c r="GA192" s="466"/>
      <c r="GB192" s="466"/>
      <c r="GC192" s="466"/>
      <c r="GD192" s="466"/>
      <c r="GE192" s="466"/>
      <c r="GF192" s="466"/>
      <c r="GG192" s="466"/>
      <c r="GH192" s="466"/>
      <c r="GI192" s="466"/>
      <c r="GJ192" s="466"/>
      <c r="GK192" s="466"/>
      <c r="GL192" s="466"/>
      <c r="GM192" s="466"/>
      <c r="GN192" s="466"/>
      <c r="GV192" s="466"/>
      <c r="GW192" s="466"/>
      <c r="GX192" s="466"/>
      <c r="GY192" s="466"/>
      <c r="GZ192" s="466"/>
      <c r="HA192" s="466"/>
      <c r="HB192" s="466"/>
      <c r="HC192" s="466"/>
      <c r="HD192" s="466"/>
      <c r="HE192" s="844"/>
      <c r="HF192" s="844"/>
      <c r="HG192" s="844"/>
      <c r="HH192" s="844"/>
      <c r="HI192" s="844"/>
      <c r="HJ192" s="844"/>
      <c r="HK192" s="844"/>
      <c r="HL192" s="844"/>
      <c r="HM192" s="844"/>
      <c r="HN192" s="844"/>
      <c r="HP192" s="466"/>
      <c r="HQ192" s="466"/>
      <c r="HR192" s="466"/>
      <c r="HS192" s="415"/>
      <c r="HT192" s="2292"/>
    </row>
    <row r="193" spans="3:228">
      <c r="C193" s="466"/>
      <c r="D193" s="466"/>
      <c r="E193" s="466"/>
      <c r="F193" s="466"/>
      <c r="G193" s="466"/>
      <c r="H193" s="466"/>
      <c r="I193" s="466"/>
      <c r="J193" s="466"/>
      <c r="K193" s="466"/>
      <c r="L193" s="466"/>
      <c r="M193" s="516"/>
      <c r="N193" s="513"/>
      <c r="O193" s="513"/>
      <c r="P193" s="510"/>
      <c r="Q193" s="510"/>
      <c r="R193" s="510"/>
      <c r="S193" s="510"/>
      <c r="T193" s="510"/>
      <c r="U193" s="510"/>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466"/>
      <c r="BA193" s="466"/>
      <c r="BB193" s="466"/>
      <c r="BC193" s="466"/>
      <c r="BD193" s="466"/>
      <c r="BE193" s="466"/>
      <c r="BF193" s="466"/>
      <c r="BG193" s="466"/>
      <c r="BH193" s="466"/>
      <c r="BI193" s="466"/>
      <c r="BJ193" s="466"/>
      <c r="BK193" s="466"/>
      <c r="BL193" s="466"/>
      <c r="BR193" s="466"/>
      <c r="BS193" s="466"/>
      <c r="BT193" s="466"/>
      <c r="BU193" s="466"/>
      <c r="BV193" s="466"/>
      <c r="BW193" s="466"/>
      <c r="BX193" s="466"/>
      <c r="BY193" s="466"/>
      <c r="BZ193" s="466"/>
      <c r="CA193" s="466"/>
      <c r="CB193" s="466"/>
      <c r="CC193" s="466"/>
      <c r="CD193" s="466"/>
      <c r="CE193" s="466"/>
      <c r="CF193" s="466"/>
      <c r="CG193" s="466"/>
      <c r="CH193" s="466"/>
      <c r="CI193" s="466"/>
      <c r="CJ193" s="466"/>
      <c r="CK193" s="466"/>
      <c r="CL193" s="466"/>
      <c r="CM193" s="466"/>
      <c r="CN193" s="466"/>
      <c r="CO193" s="466"/>
      <c r="CP193" s="466"/>
      <c r="CQ193" s="466"/>
      <c r="CR193" s="466"/>
      <c r="CS193" s="466"/>
      <c r="CT193" s="466"/>
      <c r="CU193" s="466"/>
      <c r="CV193" s="466"/>
      <c r="CW193" s="466"/>
      <c r="CX193" s="466"/>
      <c r="CY193" s="466"/>
      <c r="CZ193" s="466"/>
      <c r="DA193" s="466"/>
      <c r="DB193" s="466"/>
      <c r="DC193" s="466"/>
      <c r="DD193" s="466"/>
      <c r="DE193" s="466"/>
      <c r="DF193" s="466"/>
      <c r="DG193" s="466"/>
      <c r="FE193" s="466"/>
      <c r="FF193" s="466"/>
      <c r="FG193" s="466"/>
      <c r="FH193" s="466"/>
      <c r="FI193" s="466"/>
      <c r="FJ193" s="466"/>
      <c r="FK193" s="466"/>
      <c r="FL193" s="466"/>
      <c r="FM193" s="466"/>
      <c r="FN193" s="466"/>
      <c r="FO193" s="466"/>
      <c r="FP193" s="466"/>
      <c r="FQ193" s="466"/>
      <c r="FR193" s="466"/>
      <c r="FS193" s="466"/>
      <c r="FT193" s="466"/>
      <c r="FU193" s="466"/>
      <c r="FV193" s="466"/>
      <c r="FW193" s="466"/>
      <c r="FX193" s="466"/>
      <c r="FY193" s="466"/>
      <c r="FZ193" s="466"/>
      <c r="GA193" s="466"/>
      <c r="GB193" s="466"/>
      <c r="GC193" s="466"/>
      <c r="GD193" s="466"/>
      <c r="GE193" s="466"/>
      <c r="GF193" s="466"/>
      <c r="GG193" s="466"/>
      <c r="GH193" s="466"/>
      <c r="GI193" s="466"/>
      <c r="GJ193" s="466"/>
      <c r="GK193" s="466"/>
      <c r="GL193" s="466"/>
      <c r="GM193" s="466"/>
      <c r="GN193" s="466"/>
      <c r="GV193" s="466"/>
      <c r="GW193" s="466"/>
      <c r="GX193" s="466"/>
      <c r="GY193" s="466"/>
      <c r="GZ193" s="466"/>
      <c r="HA193" s="466"/>
      <c r="HB193" s="466"/>
      <c r="HC193" s="466"/>
      <c r="HD193" s="466"/>
      <c r="HE193" s="844"/>
      <c r="HF193" s="844"/>
      <c r="HG193" s="844"/>
      <c r="HH193" s="844"/>
      <c r="HI193" s="844"/>
      <c r="HJ193" s="844"/>
      <c r="HK193" s="844"/>
      <c r="HL193" s="844"/>
      <c r="HM193" s="844"/>
      <c r="HN193" s="844"/>
      <c r="HP193" s="466"/>
      <c r="HQ193" s="466"/>
      <c r="HR193" s="466"/>
      <c r="HS193" s="415"/>
      <c r="HT193" s="2292"/>
    </row>
    <row r="194" spans="3:228">
      <c r="C194" s="466"/>
      <c r="D194" s="466"/>
      <c r="E194" s="466"/>
      <c r="F194" s="466"/>
      <c r="G194" s="466"/>
      <c r="H194" s="466"/>
      <c r="I194" s="466"/>
      <c r="J194" s="466"/>
      <c r="K194" s="466"/>
      <c r="L194" s="466"/>
      <c r="M194" s="516"/>
      <c r="N194" s="513"/>
      <c r="O194" s="513"/>
      <c r="P194" s="510"/>
      <c r="Q194" s="510"/>
      <c r="R194" s="510"/>
      <c r="S194" s="510"/>
      <c r="T194" s="510"/>
      <c r="U194" s="510"/>
      <c r="V194" s="510"/>
      <c r="W194" s="510"/>
      <c r="X194" s="510"/>
      <c r="Y194" s="510"/>
      <c r="Z194" s="510"/>
      <c r="AA194" s="510"/>
      <c r="AB194" s="510"/>
      <c r="AC194" s="510"/>
      <c r="AD194" s="510"/>
      <c r="AE194" s="510"/>
      <c r="AF194" s="510"/>
      <c r="AG194" s="510"/>
      <c r="AH194" s="510"/>
      <c r="AI194" s="510"/>
      <c r="AJ194" s="510"/>
      <c r="AK194" s="510"/>
      <c r="AL194" s="510"/>
      <c r="AM194" s="510"/>
      <c r="AN194" s="510"/>
      <c r="AO194" s="510"/>
      <c r="AP194" s="510"/>
      <c r="AQ194" s="510"/>
      <c r="AR194" s="510"/>
      <c r="AS194" s="510"/>
      <c r="AT194" s="510"/>
      <c r="AU194" s="510"/>
      <c r="AV194" s="510"/>
      <c r="AW194" s="510"/>
      <c r="AX194" s="510"/>
      <c r="AY194" s="510"/>
      <c r="AZ194" s="466"/>
      <c r="BA194" s="466"/>
      <c r="BB194" s="466"/>
      <c r="BC194" s="466"/>
      <c r="BD194" s="466"/>
      <c r="BE194" s="466"/>
      <c r="BF194" s="466"/>
      <c r="BG194" s="466"/>
      <c r="BH194" s="466"/>
      <c r="BI194" s="466"/>
      <c r="BJ194" s="466"/>
      <c r="BK194" s="466"/>
      <c r="BL194" s="466"/>
      <c r="BM194" s="466"/>
      <c r="BN194" s="466"/>
      <c r="BO194" s="466"/>
      <c r="BP194" s="466"/>
      <c r="BQ194" s="466"/>
      <c r="BR194" s="466"/>
      <c r="BS194" s="466"/>
      <c r="BT194" s="466"/>
      <c r="BU194" s="466"/>
      <c r="BV194" s="466"/>
      <c r="BW194" s="466"/>
      <c r="BX194" s="466"/>
      <c r="BY194" s="466"/>
      <c r="BZ194" s="466"/>
      <c r="CA194" s="466"/>
      <c r="CB194" s="466"/>
      <c r="CC194" s="466"/>
      <c r="CD194" s="466"/>
      <c r="CE194" s="466"/>
      <c r="CF194" s="466"/>
      <c r="CG194" s="466"/>
      <c r="CH194" s="466"/>
      <c r="CI194" s="466"/>
      <c r="CJ194" s="466"/>
      <c r="CK194" s="466"/>
      <c r="CL194" s="466"/>
      <c r="CM194" s="466"/>
      <c r="CN194" s="466"/>
      <c r="CO194" s="466"/>
      <c r="CP194" s="466"/>
      <c r="CQ194" s="466"/>
      <c r="CR194" s="466"/>
      <c r="CS194" s="466"/>
      <c r="CT194" s="466"/>
      <c r="CU194" s="466"/>
      <c r="CV194" s="466"/>
      <c r="CW194" s="466"/>
      <c r="CX194" s="466"/>
      <c r="CY194" s="466"/>
      <c r="CZ194" s="466"/>
      <c r="DA194" s="466"/>
      <c r="DB194" s="466"/>
      <c r="DC194" s="466"/>
      <c r="DD194" s="466"/>
      <c r="DE194" s="466"/>
      <c r="DF194" s="466"/>
      <c r="DG194" s="466"/>
      <c r="FE194" s="466"/>
      <c r="FF194" s="466"/>
      <c r="FG194" s="466"/>
      <c r="FH194" s="466"/>
      <c r="FI194" s="466"/>
      <c r="FJ194" s="466"/>
      <c r="FK194" s="466"/>
      <c r="FL194" s="466"/>
      <c r="FM194" s="466"/>
      <c r="FN194" s="466"/>
      <c r="FO194" s="466"/>
      <c r="FP194" s="466"/>
      <c r="FQ194" s="466"/>
      <c r="FR194" s="466"/>
      <c r="FS194" s="466"/>
      <c r="FT194" s="466"/>
      <c r="FU194" s="466"/>
      <c r="FV194" s="466"/>
      <c r="FW194" s="466"/>
      <c r="FX194" s="466"/>
      <c r="FY194" s="466"/>
      <c r="FZ194" s="466"/>
      <c r="GA194" s="466"/>
      <c r="GB194" s="466"/>
      <c r="GC194" s="466"/>
      <c r="GD194" s="466"/>
      <c r="GE194" s="466"/>
      <c r="GF194" s="466"/>
      <c r="GG194" s="466"/>
      <c r="GH194" s="466"/>
      <c r="GI194" s="466"/>
      <c r="GJ194" s="466"/>
      <c r="GK194" s="466"/>
      <c r="GL194" s="466"/>
      <c r="GM194" s="466"/>
      <c r="GN194" s="466"/>
      <c r="GV194" s="466"/>
      <c r="GW194" s="466"/>
      <c r="GX194" s="466"/>
      <c r="GY194" s="466"/>
      <c r="GZ194" s="466"/>
      <c r="HA194" s="466"/>
      <c r="HB194" s="466"/>
      <c r="HC194" s="466"/>
      <c r="HD194" s="466"/>
      <c r="HE194" s="844"/>
      <c r="HF194" s="844"/>
      <c r="HG194" s="844"/>
      <c r="HH194" s="844"/>
      <c r="HI194" s="844"/>
      <c r="HJ194" s="844"/>
      <c r="HK194" s="844"/>
      <c r="HL194" s="844"/>
      <c r="HM194" s="844"/>
      <c r="HN194" s="844"/>
      <c r="HP194" s="466"/>
      <c r="HQ194" s="466"/>
      <c r="HR194" s="466"/>
      <c r="HS194" s="415"/>
      <c r="HT194" s="2292"/>
    </row>
    <row r="195" spans="3:228">
      <c r="C195" s="466"/>
      <c r="D195" s="466"/>
      <c r="E195" s="466"/>
      <c r="F195" s="466"/>
      <c r="G195" s="466"/>
      <c r="H195" s="466"/>
      <c r="I195" s="466"/>
      <c r="J195" s="466"/>
      <c r="K195" s="466"/>
      <c r="L195" s="466"/>
      <c r="M195" s="516"/>
      <c r="N195" s="513"/>
      <c r="O195" s="513"/>
      <c r="P195" s="510"/>
      <c r="Q195" s="510"/>
      <c r="R195" s="510"/>
      <c r="S195" s="510"/>
      <c r="T195" s="510"/>
      <c r="U195" s="510"/>
      <c r="V195" s="510"/>
      <c r="W195" s="510"/>
      <c r="X195" s="510"/>
      <c r="Y195" s="510"/>
      <c r="Z195" s="510"/>
      <c r="AA195" s="510"/>
      <c r="AB195" s="510"/>
      <c r="AC195" s="510"/>
      <c r="AD195" s="510"/>
      <c r="AE195" s="510"/>
      <c r="AF195" s="510"/>
      <c r="AG195" s="510"/>
      <c r="AH195" s="510"/>
      <c r="AI195" s="510"/>
      <c r="AJ195" s="510"/>
      <c r="AK195" s="510"/>
      <c r="AL195" s="510"/>
      <c r="AM195" s="510"/>
      <c r="AN195" s="510"/>
      <c r="AO195" s="510"/>
      <c r="AP195" s="510"/>
      <c r="AQ195" s="510"/>
      <c r="AR195" s="510"/>
      <c r="AS195" s="510"/>
      <c r="AT195" s="510"/>
      <c r="AU195" s="510"/>
      <c r="AV195" s="510"/>
      <c r="AW195" s="510"/>
      <c r="AX195" s="510"/>
      <c r="AY195" s="510"/>
      <c r="AZ195" s="466"/>
      <c r="BA195" s="466"/>
      <c r="BB195" s="466"/>
      <c r="BC195" s="466"/>
      <c r="BD195" s="466"/>
      <c r="BE195" s="466"/>
      <c r="BF195" s="466"/>
      <c r="BG195" s="466"/>
      <c r="BH195" s="466"/>
      <c r="BI195" s="466"/>
      <c r="BJ195" s="466"/>
      <c r="BK195" s="466"/>
      <c r="BL195" s="466"/>
      <c r="BM195" s="466"/>
      <c r="BN195" s="466"/>
      <c r="BO195" s="466"/>
      <c r="BP195" s="466"/>
      <c r="BQ195" s="466"/>
      <c r="BR195" s="466"/>
      <c r="BS195" s="466"/>
      <c r="BT195" s="466"/>
      <c r="BU195" s="466"/>
      <c r="BV195" s="466"/>
      <c r="BW195" s="466"/>
      <c r="BX195" s="466"/>
      <c r="BY195" s="466"/>
      <c r="BZ195" s="466"/>
      <c r="CA195" s="466"/>
      <c r="CB195" s="466"/>
      <c r="CC195" s="466"/>
      <c r="CD195" s="466"/>
      <c r="CE195" s="466"/>
      <c r="CF195" s="466"/>
      <c r="CG195" s="466"/>
      <c r="CH195" s="466"/>
      <c r="CI195" s="466"/>
      <c r="CJ195" s="466"/>
      <c r="CK195" s="466"/>
      <c r="CL195" s="466"/>
      <c r="CM195" s="466"/>
      <c r="CN195" s="466"/>
      <c r="CO195" s="466"/>
      <c r="CP195" s="466"/>
      <c r="CQ195" s="466"/>
      <c r="CR195" s="466"/>
      <c r="CS195" s="466"/>
      <c r="CT195" s="466"/>
      <c r="CU195" s="466"/>
      <c r="CV195" s="466"/>
      <c r="CW195" s="466"/>
      <c r="CX195" s="466"/>
      <c r="CY195" s="466"/>
      <c r="CZ195" s="466"/>
      <c r="DA195" s="466"/>
      <c r="DB195" s="466"/>
      <c r="DC195" s="466"/>
      <c r="DD195" s="466"/>
      <c r="DE195" s="466"/>
      <c r="DF195" s="466"/>
      <c r="DG195" s="466"/>
      <c r="FE195" s="466"/>
      <c r="FF195" s="466"/>
      <c r="FG195" s="466"/>
      <c r="FH195" s="466"/>
      <c r="FI195" s="466"/>
      <c r="FJ195" s="466"/>
      <c r="FK195" s="466"/>
      <c r="FL195" s="466"/>
      <c r="FM195" s="466"/>
      <c r="FN195" s="466"/>
      <c r="FO195" s="466"/>
      <c r="FP195" s="466"/>
      <c r="FQ195" s="466"/>
      <c r="FR195" s="466"/>
      <c r="FS195" s="466"/>
      <c r="FT195" s="466"/>
      <c r="FU195" s="466"/>
      <c r="FV195" s="466"/>
      <c r="FW195" s="466"/>
      <c r="FX195" s="466"/>
      <c r="FY195" s="466"/>
      <c r="FZ195" s="466"/>
      <c r="GA195" s="466"/>
      <c r="GB195" s="466"/>
      <c r="GC195" s="466"/>
      <c r="GD195" s="466"/>
      <c r="GE195" s="466"/>
      <c r="GF195" s="466"/>
      <c r="GG195" s="466"/>
      <c r="GH195" s="466"/>
      <c r="GI195" s="466"/>
      <c r="GJ195" s="466"/>
      <c r="GK195" s="466"/>
      <c r="GL195" s="466"/>
      <c r="GM195" s="466"/>
      <c r="GN195" s="466"/>
      <c r="GV195" s="466"/>
      <c r="GW195" s="466"/>
      <c r="GX195" s="466"/>
      <c r="GY195" s="466"/>
      <c r="GZ195" s="466"/>
      <c r="HA195" s="466"/>
      <c r="HB195" s="466"/>
      <c r="HC195" s="466"/>
      <c r="HD195" s="466"/>
      <c r="HE195" s="844"/>
      <c r="HF195" s="844"/>
      <c r="HG195" s="844"/>
      <c r="HH195" s="844"/>
      <c r="HI195" s="844"/>
      <c r="HJ195" s="844"/>
      <c r="HK195" s="844"/>
      <c r="HL195" s="844"/>
      <c r="HM195" s="844"/>
      <c r="HN195" s="844"/>
      <c r="HP195" s="466"/>
      <c r="HQ195" s="466"/>
      <c r="HR195" s="466"/>
      <c r="HS195" s="415"/>
      <c r="HT195" s="2292"/>
    </row>
    <row r="196" spans="3:228">
      <c r="C196" s="466"/>
      <c r="D196" s="466"/>
      <c r="E196" s="466"/>
      <c r="F196" s="466"/>
      <c r="G196" s="466"/>
      <c r="H196" s="466"/>
      <c r="I196" s="466"/>
      <c r="J196" s="466"/>
      <c r="K196" s="466"/>
      <c r="L196" s="466"/>
      <c r="M196" s="516"/>
      <c r="N196" s="513"/>
      <c r="O196" s="513"/>
      <c r="P196" s="510"/>
      <c r="Q196" s="510"/>
      <c r="R196" s="510"/>
      <c r="S196" s="510"/>
      <c r="T196" s="510"/>
      <c r="U196" s="510"/>
      <c r="V196" s="510"/>
      <c r="W196" s="510"/>
      <c r="X196" s="510"/>
      <c r="Y196" s="510"/>
      <c r="Z196" s="510"/>
      <c r="AA196" s="510"/>
      <c r="AB196" s="510"/>
      <c r="AC196" s="510"/>
      <c r="AD196" s="510"/>
      <c r="AE196" s="510"/>
      <c r="AF196" s="510"/>
      <c r="AG196" s="510"/>
      <c r="AH196" s="510"/>
      <c r="AI196" s="510"/>
      <c r="AJ196" s="510"/>
      <c r="AK196" s="510"/>
      <c r="AL196" s="510"/>
      <c r="AM196" s="510"/>
      <c r="AN196" s="510"/>
      <c r="AO196" s="510"/>
      <c r="AP196" s="510"/>
      <c r="AQ196" s="510"/>
      <c r="AR196" s="510"/>
      <c r="AS196" s="510"/>
      <c r="AT196" s="510"/>
      <c r="AU196" s="510"/>
      <c r="AV196" s="510"/>
      <c r="AW196" s="510"/>
      <c r="AX196" s="510"/>
      <c r="AY196" s="510"/>
      <c r="AZ196" s="466"/>
      <c r="BA196" s="466"/>
      <c r="BB196" s="466"/>
      <c r="BC196" s="466"/>
      <c r="BD196" s="466"/>
      <c r="BE196" s="466"/>
      <c r="BF196" s="466"/>
      <c r="BG196" s="466"/>
      <c r="BH196" s="466"/>
      <c r="BI196" s="466"/>
      <c r="BJ196" s="466"/>
      <c r="BK196" s="466"/>
      <c r="BL196" s="466"/>
      <c r="BM196" s="466"/>
      <c r="BN196" s="466"/>
      <c r="BO196" s="466"/>
      <c r="BP196" s="466"/>
      <c r="BQ196" s="466"/>
      <c r="BR196" s="466"/>
      <c r="BS196" s="466"/>
      <c r="BT196" s="466"/>
      <c r="BU196" s="466"/>
      <c r="BV196" s="466"/>
      <c r="BW196" s="466"/>
      <c r="BX196" s="466"/>
      <c r="BY196" s="466"/>
      <c r="BZ196" s="466"/>
      <c r="CA196" s="466"/>
      <c r="CB196" s="466"/>
      <c r="CC196" s="466"/>
      <c r="CD196" s="466"/>
      <c r="CE196" s="466"/>
      <c r="CF196" s="466"/>
      <c r="CG196" s="466"/>
      <c r="CH196" s="466"/>
      <c r="CI196" s="466"/>
      <c r="CJ196" s="466"/>
      <c r="CK196" s="466"/>
      <c r="CL196" s="466"/>
      <c r="CM196" s="466"/>
      <c r="CN196" s="466"/>
      <c r="CO196" s="466"/>
      <c r="CP196" s="466"/>
      <c r="CQ196" s="466"/>
      <c r="CR196" s="466"/>
      <c r="CS196" s="466"/>
      <c r="CT196" s="466"/>
      <c r="CU196" s="466"/>
      <c r="CV196" s="466"/>
      <c r="CW196" s="466"/>
      <c r="CX196" s="466"/>
      <c r="CY196" s="466"/>
      <c r="CZ196" s="466"/>
      <c r="DA196" s="466"/>
      <c r="DB196" s="466"/>
      <c r="DC196" s="466"/>
      <c r="DD196" s="466"/>
      <c r="DE196" s="466"/>
      <c r="DF196" s="466"/>
      <c r="DG196" s="466"/>
      <c r="FE196" s="466"/>
      <c r="FF196" s="466"/>
      <c r="FG196" s="466"/>
      <c r="FH196" s="466"/>
      <c r="FI196" s="466"/>
      <c r="FJ196" s="466"/>
      <c r="FK196" s="466"/>
      <c r="FL196" s="466"/>
      <c r="FM196" s="466"/>
      <c r="FN196" s="466"/>
      <c r="FO196" s="466"/>
      <c r="FP196" s="466"/>
      <c r="FQ196" s="466"/>
      <c r="FR196" s="466"/>
      <c r="FS196" s="466"/>
      <c r="FT196" s="466"/>
      <c r="FU196" s="466"/>
      <c r="FV196" s="466"/>
      <c r="FW196" s="466"/>
      <c r="FX196" s="466"/>
      <c r="FY196" s="466"/>
      <c r="FZ196" s="466"/>
      <c r="GA196" s="466"/>
      <c r="GB196" s="466"/>
      <c r="GC196" s="466"/>
      <c r="GD196" s="466"/>
      <c r="GE196" s="466"/>
      <c r="GF196" s="466"/>
      <c r="GG196" s="466"/>
      <c r="GH196" s="466"/>
      <c r="GI196" s="466"/>
      <c r="GJ196" s="466"/>
      <c r="GK196" s="466"/>
      <c r="GL196" s="466"/>
      <c r="GM196" s="466"/>
      <c r="GN196" s="466"/>
      <c r="GV196" s="466"/>
      <c r="GW196" s="466"/>
      <c r="GX196" s="466"/>
      <c r="GY196" s="466"/>
      <c r="GZ196" s="466"/>
      <c r="HA196" s="466"/>
      <c r="HB196" s="466"/>
      <c r="HC196" s="466"/>
      <c r="HD196" s="466"/>
      <c r="HE196" s="844"/>
      <c r="HF196" s="844"/>
      <c r="HG196" s="844"/>
      <c r="HH196" s="844"/>
      <c r="HI196" s="844"/>
      <c r="HJ196" s="844"/>
      <c r="HK196" s="844"/>
      <c r="HL196" s="844"/>
      <c r="HM196" s="844"/>
      <c r="HN196" s="844"/>
      <c r="HP196" s="466"/>
      <c r="HQ196" s="466"/>
      <c r="HR196" s="466"/>
      <c r="HS196" s="415"/>
      <c r="HT196" s="2292"/>
    </row>
    <row r="197" spans="3:228">
      <c r="C197" s="466"/>
      <c r="D197" s="466"/>
      <c r="E197" s="466"/>
      <c r="F197" s="466"/>
      <c r="G197" s="466"/>
      <c r="H197" s="466"/>
      <c r="I197" s="466"/>
      <c r="J197" s="466"/>
      <c r="K197" s="466"/>
      <c r="L197" s="466"/>
      <c r="M197" s="466"/>
      <c r="N197" s="466"/>
      <c r="O197" s="466"/>
      <c r="P197" s="510"/>
      <c r="Q197" s="510"/>
      <c r="R197" s="510"/>
      <c r="S197" s="510"/>
      <c r="T197" s="510"/>
      <c r="U197" s="510"/>
      <c r="V197" s="510"/>
      <c r="W197" s="510"/>
      <c r="X197" s="510"/>
      <c r="Y197" s="510"/>
      <c r="Z197" s="510"/>
      <c r="AA197" s="510"/>
      <c r="AB197" s="510"/>
      <c r="AC197" s="510"/>
      <c r="AD197" s="510"/>
      <c r="AE197" s="510"/>
      <c r="AF197" s="510"/>
      <c r="AG197" s="510"/>
      <c r="AH197" s="510"/>
      <c r="AI197" s="510"/>
      <c r="AJ197" s="510"/>
      <c r="AK197" s="510"/>
      <c r="AL197" s="510"/>
      <c r="AM197" s="510"/>
      <c r="AN197" s="510"/>
      <c r="AO197" s="510"/>
      <c r="AP197" s="510"/>
      <c r="AQ197" s="510"/>
      <c r="AR197" s="510"/>
      <c r="AS197" s="510"/>
      <c r="AT197" s="510"/>
      <c r="AU197" s="510"/>
      <c r="AV197" s="510"/>
      <c r="AW197" s="510"/>
      <c r="AX197" s="510"/>
      <c r="AY197" s="510"/>
      <c r="AZ197" s="466"/>
      <c r="BA197" s="466"/>
      <c r="BB197" s="466"/>
      <c r="BC197" s="466"/>
      <c r="BD197" s="466"/>
      <c r="BE197" s="466"/>
      <c r="BF197" s="466"/>
      <c r="BG197" s="466"/>
      <c r="BH197" s="466"/>
      <c r="BI197" s="466"/>
      <c r="BJ197" s="466"/>
      <c r="BK197" s="466"/>
      <c r="BL197" s="466"/>
      <c r="BM197" s="466"/>
      <c r="BN197" s="466"/>
      <c r="BO197" s="466"/>
      <c r="BP197" s="466"/>
      <c r="BQ197" s="466"/>
      <c r="BR197" s="466"/>
      <c r="BS197" s="466"/>
      <c r="BT197" s="466"/>
      <c r="BU197" s="466"/>
      <c r="BV197" s="466"/>
      <c r="BW197" s="466"/>
      <c r="BX197" s="466"/>
      <c r="BY197" s="466"/>
      <c r="BZ197" s="466"/>
      <c r="CA197" s="466"/>
      <c r="CB197" s="466"/>
      <c r="CC197" s="466"/>
      <c r="CD197" s="466"/>
      <c r="CE197" s="466"/>
      <c r="CF197" s="466"/>
      <c r="CG197" s="466"/>
      <c r="CH197" s="466"/>
      <c r="CI197" s="466"/>
      <c r="CJ197" s="466"/>
      <c r="CK197" s="466"/>
      <c r="CL197" s="466"/>
      <c r="CM197" s="466"/>
      <c r="CN197" s="466"/>
      <c r="CO197" s="466"/>
      <c r="CP197" s="466"/>
      <c r="CQ197" s="466"/>
      <c r="CR197" s="466"/>
      <c r="CS197" s="466"/>
      <c r="CT197" s="466"/>
      <c r="CU197" s="466"/>
      <c r="CV197" s="466"/>
      <c r="CW197" s="466"/>
      <c r="CX197" s="466"/>
      <c r="CY197" s="466"/>
      <c r="CZ197" s="466"/>
      <c r="DA197" s="466"/>
      <c r="DB197" s="466"/>
      <c r="DC197" s="466"/>
      <c r="DD197" s="466"/>
      <c r="DE197" s="466"/>
      <c r="DF197" s="466"/>
      <c r="DG197" s="466"/>
      <c r="FE197" s="466"/>
      <c r="FF197" s="466"/>
      <c r="FG197" s="466"/>
      <c r="FH197" s="466"/>
      <c r="FI197" s="466"/>
      <c r="FJ197" s="466"/>
      <c r="FK197" s="466"/>
      <c r="FL197" s="466"/>
      <c r="FM197" s="466"/>
      <c r="FN197" s="466"/>
      <c r="FO197" s="466"/>
      <c r="FP197" s="466"/>
      <c r="FQ197" s="466"/>
      <c r="FR197" s="466"/>
      <c r="FS197" s="466"/>
      <c r="FT197" s="466"/>
      <c r="FU197" s="466"/>
      <c r="FV197" s="466"/>
      <c r="FW197" s="466"/>
      <c r="FX197" s="466"/>
      <c r="FY197" s="466"/>
      <c r="FZ197" s="466"/>
      <c r="GA197" s="466"/>
      <c r="GB197" s="466"/>
      <c r="GC197" s="466"/>
      <c r="GD197" s="466"/>
      <c r="GE197" s="466"/>
      <c r="GF197" s="466"/>
      <c r="GG197" s="466"/>
      <c r="GH197" s="466"/>
      <c r="GI197" s="466"/>
      <c r="GJ197" s="466"/>
      <c r="GK197" s="466"/>
      <c r="GL197" s="466"/>
      <c r="GM197" s="466"/>
      <c r="GN197" s="466"/>
      <c r="GV197" s="466"/>
      <c r="GW197" s="466"/>
      <c r="GX197" s="466"/>
      <c r="GY197" s="466"/>
      <c r="GZ197" s="466"/>
      <c r="HA197" s="466"/>
      <c r="HB197" s="466"/>
      <c r="HC197" s="466"/>
      <c r="HD197" s="466"/>
      <c r="HE197" s="844"/>
      <c r="HF197" s="844"/>
      <c r="HG197" s="844"/>
      <c r="HH197" s="844"/>
      <c r="HI197" s="844"/>
      <c r="HJ197" s="844"/>
      <c r="HK197" s="844"/>
      <c r="HL197" s="844"/>
      <c r="HM197" s="844"/>
      <c r="HN197" s="844"/>
      <c r="HP197" s="466"/>
      <c r="HQ197" s="466"/>
      <c r="HR197" s="466"/>
      <c r="HS197" s="415"/>
      <c r="HT197" s="2292"/>
    </row>
    <row r="198" spans="3:228">
      <c r="C198" s="466"/>
      <c r="D198" s="466"/>
      <c r="E198" s="466"/>
      <c r="F198" s="466"/>
      <c r="G198" s="466"/>
      <c r="H198" s="466"/>
      <c r="I198" s="466"/>
      <c r="J198" s="466"/>
      <c r="K198" s="466"/>
      <c r="L198" s="466"/>
      <c r="M198" s="466"/>
      <c r="N198" s="466"/>
      <c r="O198" s="466"/>
      <c r="P198" s="510"/>
      <c r="Q198" s="510"/>
      <c r="R198" s="510"/>
      <c r="S198" s="510"/>
      <c r="T198" s="510"/>
      <c r="U198" s="510"/>
      <c r="V198" s="510"/>
      <c r="W198" s="510"/>
      <c r="X198" s="510"/>
      <c r="Y198" s="510"/>
      <c r="Z198" s="510"/>
      <c r="AA198" s="510"/>
      <c r="AB198" s="510"/>
      <c r="AC198" s="510"/>
      <c r="AD198" s="510"/>
      <c r="AE198" s="510"/>
      <c r="AF198" s="510"/>
      <c r="AG198" s="510"/>
      <c r="AH198" s="510"/>
      <c r="AI198" s="510"/>
      <c r="AJ198" s="510"/>
      <c r="AK198" s="510"/>
      <c r="AL198" s="510"/>
      <c r="AM198" s="510"/>
      <c r="AN198" s="510"/>
      <c r="AO198" s="510"/>
      <c r="AP198" s="510"/>
      <c r="AQ198" s="510"/>
      <c r="AR198" s="510"/>
      <c r="AS198" s="510"/>
      <c r="AT198" s="510"/>
      <c r="AU198" s="510"/>
      <c r="AV198" s="510"/>
      <c r="AW198" s="510"/>
      <c r="AX198" s="510"/>
      <c r="AY198" s="510"/>
      <c r="AZ198" s="466"/>
      <c r="BA198" s="466"/>
      <c r="BB198" s="466"/>
      <c r="BC198" s="466"/>
      <c r="BD198" s="466"/>
      <c r="BE198" s="466"/>
      <c r="BF198" s="466"/>
      <c r="BG198" s="466"/>
      <c r="BH198" s="466"/>
      <c r="BI198" s="466"/>
      <c r="BJ198" s="466"/>
      <c r="BK198" s="466"/>
      <c r="BL198" s="466"/>
      <c r="BM198" s="466"/>
      <c r="BN198" s="466"/>
      <c r="BO198" s="466"/>
      <c r="BP198" s="466"/>
      <c r="BQ198" s="466"/>
      <c r="BR198" s="466"/>
      <c r="BS198" s="466"/>
      <c r="BT198" s="466"/>
      <c r="BU198" s="466"/>
      <c r="BV198" s="466"/>
      <c r="BW198" s="466"/>
      <c r="BX198" s="466"/>
      <c r="BY198" s="466"/>
      <c r="BZ198" s="466"/>
      <c r="CA198" s="466"/>
      <c r="CB198" s="466"/>
      <c r="CC198" s="466"/>
      <c r="CD198" s="466"/>
      <c r="CE198" s="466"/>
      <c r="CF198" s="466"/>
      <c r="CG198" s="466"/>
      <c r="CH198" s="466"/>
      <c r="CI198" s="466"/>
      <c r="CJ198" s="466"/>
      <c r="CK198" s="466"/>
      <c r="CL198" s="466"/>
      <c r="CM198" s="466"/>
      <c r="CN198" s="466"/>
      <c r="CO198" s="466"/>
      <c r="CP198" s="466"/>
      <c r="CQ198" s="466"/>
      <c r="CR198" s="466"/>
      <c r="CS198" s="466"/>
      <c r="CT198" s="466"/>
      <c r="CU198" s="466"/>
      <c r="CV198" s="466"/>
      <c r="CW198" s="466"/>
      <c r="CX198" s="466"/>
      <c r="CY198" s="466"/>
      <c r="CZ198" s="466"/>
      <c r="DA198" s="466"/>
      <c r="DB198" s="466"/>
      <c r="DC198" s="466"/>
      <c r="DD198" s="466"/>
      <c r="DE198" s="466"/>
      <c r="DF198" s="466"/>
      <c r="DG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V198" s="466"/>
      <c r="GW198" s="466"/>
      <c r="GX198" s="466"/>
      <c r="GY198" s="466"/>
      <c r="GZ198" s="466"/>
      <c r="HA198" s="466"/>
      <c r="HB198" s="466"/>
      <c r="HC198" s="466"/>
      <c r="HD198" s="466"/>
      <c r="HE198" s="844"/>
      <c r="HF198" s="844"/>
      <c r="HG198" s="844"/>
      <c r="HH198" s="844"/>
      <c r="HI198" s="844"/>
      <c r="HJ198" s="844"/>
      <c r="HK198" s="844"/>
      <c r="HL198" s="844"/>
      <c r="HM198" s="844"/>
      <c r="HN198" s="844"/>
      <c r="HP198" s="466"/>
      <c r="HQ198" s="466"/>
      <c r="HR198" s="466"/>
      <c r="HS198" s="415"/>
      <c r="HT198" s="2292"/>
    </row>
    <row r="199" spans="3:228">
      <c r="C199" s="466"/>
      <c r="D199" s="466"/>
      <c r="E199" s="466"/>
      <c r="F199" s="466"/>
      <c r="G199" s="466"/>
      <c r="H199" s="466"/>
      <c r="I199" s="466"/>
      <c r="J199" s="466"/>
      <c r="K199" s="466"/>
      <c r="L199" s="466"/>
      <c r="M199" s="466"/>
      <c r="N199" s="466"/>
      <c r="O199" s="466"/>
      <c r="P199" s="510"/>
      <c r="Q199" s="510"/>
      <c r="R199" s="510"/>
      <c r="S199" s="510"/>
      <c r="T199" s="510"/>
      <c r="U199" s="510"/>
      <c r="V199" s="510"/>
      <c r="W199" s="510"/>
      <c r="X199" s="510"/>
      <c r="Y199" s="510"/>
      <c r="Z199" s="510"/>
      <c r="AA199" s="510"/>
      <c r="AB199" s="510"/>
      <c r="AC199" s="510"/>
      <c r="AD199" s="510"/>
      <c r="AE199" s="510"/>
      <c r="AF199" s="510"/>
      <c r="AG199" s="510"/>
      <c r="AH199" s="510"/>
      <c r="AI199" s="510"/>
      <c r="AJ199" s="510"/>
      <c r="AK199" s="510"/>
      <c r="AL199" s="510"/>
      <c r="AM199" s="510"/>
      <c r="AN199" s="510"/>
      <c r="AO199" s="510"/>
      <c r="AP199" s="510"/>
      <c r="AQ199" s="510"/>
      <c r="AR199" s="510"/>
      <c r="AS199" s="510"/>
      <c r="AT199" s="510"/>
      <c r="AU199" s="510"/>
      <c r="AV199" s="510"/>
      <c r="AW199" s="510"/>
      <c r="AX199" s="510"/>
      <c r="AY199" s="510"/>
      <c r="AZ199" s="466"/>
      <c r="BA199" s="466"/>
      <c r="BB199" s="466"/>
      <c r="BC199" s="466"/>
      <c r="BD199" s="466"/>
      <c r="BE199" s="466"/>
      <c r="BF199" s="466"/>
      <c r="BG199" s="466"/>
      <c r="BH199" s="466"/>
      <c r="BI199" s="466"/>
      <c r="BJ199" s="466"/>
      <c r="BK199" s="466"/>
      <c r="BL199" s="466"/>
      <c r="BM199" s="466"/>
      <c r="BN199" s="466"/>
      <c r="BO199" s="466"/>
      <c r="BP199" s="466"/>
      <c r="BQ199" s="466"/>
      <c r="BR199" s="466"/>
      <c r="BS199" s="466"/>
      <c r="BT199" s="466"/>
      <c r="BU199" s="466"/>
      <c r="BV199" s="466"/>
      <c r="BW199" s="466"/>
      <c r="BX199" s="466"/>
      <c r="BY199" s="466"/>
      <c r="BZ199" s="466"/>
      <c r="CA199" s="466"/>
      <c r="CB199" s="466"/>
      <c r="CC199" s="466"/>
      <c r="CD199" s="466"/>
      <c r="CE199" s="466"/>
      <c r="CF199" s="466"/>
      <c r="CG199" s="466"/>
      <c r="CH199" s="466"/>
      <c r="CI199" s="466"/>
      <c r="CJ199" s="466"/>
      <c r="CK199" s="466"/>
      <c r="CL199" s="466"/>
      <c r="CM199" s="466"/>
      <c r="CN199" s="466"/>
      <c r="CO199" s="466"/>
      <c r="CP199" s="466"/>
      <c r="CQ199" s="466"/>
      <c r="CR199" s="466"/>
      <c r="CS199" s="466"/>
      <c r="CT199" s="466"/>
      <c r="CU199" s="466"/>
      <c r="CV199" s="466"/>
      <c r="CW199" s="466"/>
      <c r="CX199" s="466"/>
      <c r="CY199" s="466"/>
      <c r="CZ199" s="466"/>
      <c r="DA199" s="466"/>
      <c r="DB199" s="466"/>
      <c r="DC199" s="466"/>
      <c r="DD199" s="466"/>
      <c r="DE199" s="466"/>
      <c r="DF199" s="466"/>
      <c r="DG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V199" s="466"/>
      <c r="GW199" s="466"/>
      <c r="GX199" s="466"/>
      <c r="GY199" s="466"/>
      <c r="GZ199" s="466"/>
      <c r="HA199" s="466"/>
      <c r="HB199" s="466"/>
      <c r="HC199" s="466"/>
      <c r="HD199" s="466"/>
      <c r="HE199" s="844"/>
      <c r="HF199" s="844"/>
      <c r="HG199" s="844"/>
      <c r="HH199" s="844"/>
      <c r="HI199" s="844"/>
      <c r="HJ199" s="844"/>
      <c r="HK199" s="844"/>
      <c r="HL199" s="844"/>
      <c r="HM199" s="844"/>
      <c r="HN199" s="844"/>
      <c r="HP199" s="466"/>
      <c r="HQ199" s="466"/>
      <c r="HR199" s="466"/>
      <c r="HS199" s="415"/>
      <c r="HT199" s="2292"/>
    </row>
    <row r="200" spans="3:228">
      <c r="C200" s="466"/>
      <c r="D200" s="466"/>
      <c r="E200" s="466"/>
      <c r="F200" s="466"/>
      <c r="G200" s="466"/>
      <c r="H200" s="466"/>
      <c r="I200" s="466"/>
      <c r="J200" s="466"/>
      <c r="K200" s="466"/>
      <c r="L200" s="466"/>
      <c r="M200" s="466"/>
      <c r="N200" s="466"/>
      <c r="O200" s="466"/>
      <c r="P200" s="510"/>
      <c r="Q200" s="510"/>
      <c r="R200" s="510"/>
      <c r="S200" s="510"/>
      <c r="T200" s="510"/>
      <c r="U200" s="510"/>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466"/>
      <c r="BA200" s="466"/>
      <c r="BB200" s="466"/>
      <c r="BC200" s="466"/>
      <c r="BD200" s="466"/>
      <c r="BE200" s="466"/>
      <c r="BF200" s="466"/>
      <c r="BG200" s="466"/>
      <c r="BH200" s="466"/>
      <c r="BI200" s="466"/>
      <c r="BJ200" s="466"/>
      <c r="BK200" s="466"/>
      <c r="BL200" s="466"/>
      <c r="BM200" s="466"/>
      <c r="BN200" s="466"/>
      <c r="BO200" s="466"/>
      <c r="BP200" s="466"/>
      <c r="BQ200" s="466"/>
      <c r="BR200" s="466"/>
      <c r="BS200" s="466"/>
      <c r="BT200" s="466"/>
      <c r="BU200" s="466"/>
      <c r="BV200" s="466"/>
      <c r="BW200" s="466"/>
      <c r="BX200" s="466"/>
      <c r="BY200" s="466"/>
      <c r="BZ200" s="466"/>
      <c r="CA200" s="466"/>
      <c r="CB200" s="466"/>
      <c r="CC200" s="466"/>
      <c r="CD200" s="466"/>
      <c r="CE200" s="466"/>
      <c r="CF200" s="466"/>
      <c r="CG200" s="466"/>
      <c r="CH200" s="466"/>
      <c r="CI200" s="466"/>
      <c r="CJ200" s="466"/>
      <c r="CK200" s="466"/>
      <c r="CL200" s="466"/>
      <c r="CM200" s="466"/>
      <c r="CN200" s="466"/>
      <c r="CO200" s="466"/>
      <c r="CP200" s="466"/>
      <c r="CQ200" s="466"/>
      <c r="CR200" s="466"/>
      <c r="CS200" s="466"/>
      <c r="CT200" s="466"/>
      <c r="CU200" s="466"/>
      <c r="CV200" s="466"/>
      <c r="CW200" s="466"/>
      <c r="CX200" s="466"/>
      <c r="CY200" s="466"/>
      <c r="CZ200" s="466"/>
      <c r="DA200" s="466"/>
      <c r="DB200" s="466"/>
      <c r="DC200" s="466"/>
      <c r="DD200" s="466"/>
      <c r="DE200" s="466"/>
      <c r="DF200" s="466"/>
      <c r="DG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V200" s="466"/>
      <c r="GW200" s="466"/>
      <c r="GX200" s="466"/>
      <c r="GY200" s="466"/>
      <c r="GZ200" s="466"/>
      <c r="HA200" s="466"/>
      <c r="HB200" s="466"/>
      <c r="HC200" s="466"/>
      <c r="HD200" s="466"/>
      <c r="HE200" s="844"/>
      <c r="HF200" s="844"/>
      <c r="HG200" s="844"/>
      <c r="HH200" s="844"/>
      <c r="HI200" s="844"/>
      <c r="HJ200" s="844"/>
      <c r="HK200" s="844"/>
      <c r="HL200" s="844"/>
      <c r="HM200" s="844"/>
      <c r="HN200" s="844"/>
      <c r="HP200" s="466"/>
      <c r="HQ200" s="466"/>
      <c r="HR200" s="466"/>
      <c r="HS200" s="415"/>
      <c r="HT200" s="2292"/>
    </row>
    <row r="201" spans="3:228">
      <c r="C201" s="466"/>
      <c r="D201" s="466"/>
      <c r="E201" s="466"/>
      <c r="F201" s="466"/>
      <c r="G201" s="466"/>
      <c r="H201" s="466"/>
      <c r="I201" s="466"/>
      <c r="J201" s="466"/>
      <c r="K201" s="466"/>
      <c r="L201" s="466"/>
      <c r="M201" s="466"/>
      <c r="N201" s="466"/>
      <c r="O201" s="466"/>
      <c r="P201" s="510"/>
      <c r="Q201" s="510"/>
      <c r="R201" s="510"/>
      <c r="S201" s="510"/>
      <c r="T201" s="510"/>
      <c r="U201" s="510"/>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466"/>
      <c r="BA201" s="466"/>
      <c r="BB201" s="466"/>
      <c r="BC201" s="466"/>
      <c r="BD201" s="466"/>
      <c r="BE201" s="466"/>
      <c r="BF201" s="466"/>
      <c r="BG201" s="466"/>
      <c r="BH201" s="466"/>
      <c r="BI201" s="466"/>
      <c r="BJ201" s="466"/>
      <c r="BK201" s="466"/>
      <c r="BL201" s="466"/>
      <c r="BM201" s="466"/>
      <c r="BN201" s="466"/>
      <c r="BO201" s="466"/>
      <c r="BP201" s="466"/>
      <c r="BQ201" s="466"/>
      <c r="BR201" s="466"/>
      <c r="BS201" s="466"/>
      <c r="BT201" s="466"/>
      <c r="BU201" s="466"/>
      <c r="BV201" s="466"/>
      <c r="BW201" s="466"/>
      <c r="BX201" s="466"/>
      <c r="BY201" s="466"/>
      <c r="BZ201" s="466"/>
      <c r="CA201" s="466"/>
      <c r="CB201" s="466"/>
      <c r="CC201" s="466"/>
      <c r="CD201" s="466"/>
      <c r="CE201" s="466"/>
      <c r="CF201" s="466"/>
      <c r="CG201" s="466"/>
      <c r="CH201" s="466"/>
      <c r="CI201" s="466"/>
      <c r="CJ201" s="466"/>
      <c r="CK201" s="466"/>
      <c r="CL201" s="466"/>
      <c r="CM201" s="466"/>
      <c r="CN201" s="466"/>
      <c r="CO201" s="466"/>
      <c r="CP201" s="466"/>
      <c r="CQ201" s="466"/>
      <c r="CR201" s="466"/>
      <c r="CS201" s="466"/>
      <c r="CT201" s="466"/>
      <c r="CU201" s="466"/>
      <c r="CV201" s="466"/>
      <c r="CW201" s="466"/>
      <c r="CX201" s="466"/>
      <c r="CY201" s="466"/>
      <c r="CZ201" s="466"/>
      <c r="DA201" s="466"/>
      <c r="DB201" s="466"/>
      <c r="DC201" s="466"/>
      <c r="DD201" s="466"/>
      <c r="DE201" s="466"/>
      <c r="DF201" s="466"/>
      <c r="DG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V201" s="466"/>
      <c r="GW201" s="466"/>
      <c r="GX201" s="466"/>
      <c r="GY201" s="466"/>
      <c r="GZ201" s="466"/>
      <c r="HA201" s="466"/>
      <c r="HB201" s="466"/>
      <c r="HC201" s="466"/>
      <c r="HD201" s="466"/>
      <c r="HE201" s="844"/>
      <c r="HF201" s="844"/>
      <c r="HG201" s="844"/>
      <c r="HH201" s="844"/>
      <c r="HI201" s="844"/>
      <c r="HJ201" s="844"/>
      <c r="HK201" s="844"/>
      <c r="HL201" s="844"/>
      <c r="HM201" s="844"/>
      <c r="HN201" s="844"/>
      <c r="HP201" s="466"/>
      <c r="HQ201" s="466"/>
      <c r="HR201" s="466"/>
      <c r="HS201" s="415"/>
      <c r="HT201" s="2292"/>
    </row>
    <row r="202" spans="3:228">
      <c r="C202" s="466"/>
      <c r="D202" s="466"/>
      <c r="E202" s="466"/>
      <c r="F202" s="466"/>
      <c r="G202" s="466"/>
      <c r="H202" s="466"/>
      <c r="I202" s="466"/>
      <c r="J202" s="466"/>
      <c r="K202" s="466"/>
      <c r="L202" s="466"/>
      <c r="M202" s="466"/>
      <c r="N202" s="466"/>
      <c r="O202" s="466"/>
      <c r="P202" s="510"/>
      <c r="Q202" s="510"/>
      <c r="R202" s="510"/>
      <c r="S202" s="510"/>
      <c r="T202" s="510"/>
      <c r="U202" s="510"/>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466"/>
      <c r="BA202" s="466"/>
      <c r="BB202" s="466"/>
      <c r="BC202" s="466"/>
      <c r="BD202" s="466"/>
      <c r="BE202" s="466"/>
      <c r="BF202" s="466"/>
      <c r="BG202" s="466"/>
      <c r="BH202" s="466"/>
      <c r="BI202" s="466"/>
      <c r="BJ202" s="466"/>
      <c r="BK202" s="466"/>
      <c r="BL202" s="466"/>
      <c r="BM202" s="466"/>
      <c r="BN202" s="466"/>
      <c r="BO202" s="466"/>
      <c r="BP202" s="466"/>
      <c r="BQ202" s="466"/>
      <c r="BR202" s="466"/>
      <c r="BS202" s="466"/>
      <c r="BT202" s="466"/>
      <c r="BU202" s="466"/>
      <c r="BV202" s="466"/>
      <c r="BW202" s="466"/>
      <c r="BX202" s="466"/>
      <c r="BY202" s="466"/>
      <c r="BZ202" s="466"/>
      <c r="CA202" s="466"/>
      <c r="CB202" s="466"/>
      <c r="CC202" s="466"/>
      <c r="CD202" s="466"/>
      <c r="CE202" s="466"/>
      <c r="CF202" s="466"/>
      <c r="CG202" s="466"/>
      <c r="CH202" s="466"/>
      <c r="CI202" s="466"/>
      <c r="CJ202" s="466"/>
      <c r="CK202" s="466"/>
      <c r="CL202" s="466"/>
      <c r="CM202" s="466"/>
      <c r="CN202" s="466"/>
      <c r="CO202" s="466"/>
      <c r="CP202" s="466"/>
      <c r="CQ202" s="466"/>
      <c r="CR202" s="466"/>
      <c r="CS202" s="466"/>
      <c r="CT202" s="466"/>
      <c r="CU202" s="466"/>
      <c r="CV202" s="466"/>
      <c r="CW202" s="466"/>
      <c r="CX202" s="466"/>
      <c r="CY202" s="466"/>
      <c r="CZ202" s="466"/>
      <c r="DA202" s="466"/>
      <c r="DB202" s="466"/>
      <c r="DC202" s="466"/>
      <c r="DD202" s="466"/>
      <c r="DE202" s="466"/>
      <c r="DF202" s="466"/>
      <c r="DG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V202" s="466"/>
      <c r="GW202" s="466"/>
      <c r="GX202" s="466"/>
      <c r="GY202" s="466"/>
      <c r="GZ202" s="466"/>
      <c r="HA202" s="466"/>
      <c r="HB202" s="466"/>
      <c r="HC202" s="466"/>
      <c r="HD202" s="466"/>
      <c r="HE202" s="844"/>
      <c r="HF202" s="844"/>
      <c r="HG202" s="844"/>
      <c r="HH202" s="844"/>
      <c r="HI202" s="844"/>
      <c r="HJ202" s="844"/>
      <c r="HK202" s="844"/>
      <c r="HL202" s="844"/>
      <c r="HM202" s="844"/>
      <c r="HN202" s="844"/>
      <c r="HP202" s="466"/>
      <c r="HQ202" s="466"/>
      <c r="HR202" s="466"/>
      <c r="HS202" s="415"/>
      <c r="HT202" s="2292"/>
    </row>
    <row r="203" spans="3:228">
      <c r="C203" s="466"/>
      <c r="D203" s="466"/>
      <c r="E203" s="466"/>
      <c r="F203" s="466"/>
      <c r="G203" s="466"/>
      <c r="H203" s="466"/>
      <c r="I203" s="466"/>
      <c r="J203" s="466"/>
      <c r="K203" s="466"/>
      <c r="L203" s="466"/>
      <c r="M203" s="466"/>
      <c r="N203" s="466"/>
      <c r="O203" s="466"/>
      <c r="P203" s="510"/>
      <c r="Q203" s="510"/>
      <c r="R203" s="510"/>
      <c r="S203" s="510"/>
      <c r="T203" s="510"/>
      <c r="U203" s="510"/>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466"/>
      <c r="BA203" s="466"/>
      <c r="BB203" s="466"/>
      <c r="BC203" s="466"/>
      <c r="BD203" s="466"/>
      <c r="BE203" s="466"/>
      <c r="BF203" s="466"/>
      <c r="BG203" s="466"/>
      <c r="BH203" s="466"/>
      <c r="BI203" s="466"/>
      <c r="BJ203" s="466"/>
      <c r="BK203" s="466"/>
      <c r="BL203" s="466"/>
      <c r="BM203" s="466"/>
      <c r="BN203" s="466"/>
      <c r="BO203" s="466"/>
      <c r="BP203" s="466"/>
      <c r="BQ203" s="466"/>
      <c r="BR203" s="466"/>
      <c r="BS203" s="466"/>
      <c r="BT203" s="466"/>
      <c r="BU203" s="466"/>
      <c r="BV203" s="466"/>
      <c r="BW203" s="466"/>
      <c r="BX203" s="466"/>
      <c r="BY203" s="466"/>
      <c r="BZ203" s="466"/>
      <c r="CA203" s="466"/>
      <c r="CB203" s="466"/>
      <c r="CC203" s="466"/>
      <c r="CD203" s="466"/>
      <c r="CE203" s="466"/>
      <c r="CF203" s="466"/>
      <c r="CG203" s="466"/>
      <c r="CH203" s="466"/>
      <c r="CI203" s="466"/>
      <c r="CJ203" s="466"/>
      <c r="CK203" s="466"/>
      <c r="CL203" s="466"/>
      <c r="CM203" s="466"/>
      <c r="CN203" s="466"/>
      <c r="CO203" s="466"/>
      <c r="CP203" s="466"/>
      <c r="CQ203" s="466"/>
      <c r="CR203" s="466"/>
      <c r="CS203" s="466"/>
      <c r="CT203" s="466"/>
      <c r="CU203" s="466"/>
      <c r="CV203" s="466"/>
      <c r="CW203" s="466"/>
      <c r="CX203" s="466"/>
      <c r="CY203" s="466"/>
      <c r="CZ203" s="466"/>
      <c r="DA203" s="466"/>
      <c r="DB203" s="466"/>
      <c r="DC203" s="466"/>
      <c r="DD203" s="466"/>
      <c r="DE203" s="466"/>
      <c r="DF203" s="466"/>
      <c r="DG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V203" s="466"/>
      <c r="GW203" s="466"/>
      <c r="GX203" s="466"/>
      <c r="GY203" s="466"/>
      <c r="GZ203" s="466"/>
      <c r="HA203" s="466"/>
      <c r="HB203" s="466"/>
      <c r="HC203" s="466"/>
      <c r="HD203" s="466"/>
      <c r="HE203" s="844"/>
      <c r="HF203" s="844"/>
      <c r="HG203" s="844"/>
      <c r="HH203" s="844"/>
      <c r="HI203" s="844"/>
      <c r="HJ203" s="844"/>
      <c r="HK203" s="844"/>
      <c r="HL203" s="844"/>
      <c r="HM203" s="844"/>
      <c r="HN203" s="844"/>
      <c r="HP203" s="466"/>
      <c r="HQ203" s="466"/>
      <c r="HR203" s="466"/>
      <c r="HS203" s="415"/>
      <c r="HT203" s="2292"/>
    </row>
    <row r="204" spans="3:228">
      <c r="C204" s="466"/>
      <c r="D204" s="466"/>
      <c r="E204" s="466"/>
      <c r="F204" s="466"/>
      <c r="G204" s="466"/>
      <c r="H204" s="466"/>
      <c r="I204" s="466"/>
      <c r="J204" s="466"/>
      <c r="K204" s="466"/>
      <c r="L204" s="466"/>
      <c r="M204" s="466"/>
      <c r="N204" s="466"/>
      <c r="O204" s="466"/>
      <c r="P204" s="510"/>
      <c r="Q204" s="510"/>
      <c r="R204" s="510"/>
      <c r="S204" s="510"/>
      <c r="T204" s="510"/>
      <c r="U204" s="510"/>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466"/>
      <c r="BA204" s="466"/>
      <c r="BB204" s="466"/>
      <c r="BC204" s="466"/>
      <c r="BD204" s="466"/>
      <c r="BE204" s="466"/>
      <c r="BF204" s="466"/>
      <c r="BG204" s="466"/>
      <c r="BH204" s="466"/>
      <c r="BI204" s="466"/>
      <c r="BJ204" s="466"/>
      <c r="BK204" s="466"/>
      <c r="BL204" s="466"/>
      <c r="BM204" s="466"/>
      <c r="BN204" s="466"/>
      <c r="BO204" s="466"/>
      <c r="BP204" s="466"/>
      <c r="BQ204" s="466"/>
      <c r="BR204" s="466"/>
      <c r="BS204" s="466"/>
      <c r="BT204" s="466"/>
      <c r="BU204" s="466"/>
      <c r="BV204" s="466"/>
      <c r="BW204" s="466"/>
      <c r="BX204" s="466"/>
      <c r="BY204" s="466"/>
      <c r="BZ204" s="466"/>
      <c r="CA204" s="466"/>
      <c r="CB204" s="466"/>
      <c r="CC204" s="466"/>
      <c r="CD204" s="466"/>
      <c r="CE204" s="466"/>
      <c r="CF204" s="466"/>
      <c r="CG204" s="466"/>
      <c r="CH204" s="466"/>
      <c r="CI204" s="466"/>
      <c r="CJ204" s="466"/>
      <c r="CK204" s="466"/>
      <c r="CL204" s="466"/>
      <c r="CM204" s="466"/>
      <c r="CN204" s="466"/>
      <c r="CO204" s="466"/>
      <c r="CP204" s="466"/>
      <c r="CQ204" s="466"/>
      <c r="CR204" s="466"/>
      <c r="CS204" s="466"/>
      <c r="CT204" s="466"/>
      <c r="CU204" s="466"/>
      <c r="CV204" s="466"/>
      <c r="CW204" s="466"/>
      <c r="CX204" s="466"/>
      <c r="CY204" s="466"/>
      <c r="CZ204" s="466"/>
      <c r="DA204" s="466"/>
      <c r="DB204" s="466"/>
      <c r="DC204" s="466"/>
      <c r="DD204" s="466"/>
      <c r="DE204" s="466"/>
      <c r="DF204" s="466"/>
      <c r="DG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V204" s="466"/>
      <c r="GW204" s="466"/>
      <c r="GX204" s="466"/>
      <c r="GY204" s="466"/>
      <c r="GZ204" s="466"/>
      <c r="HA204" s="466"/>
      <c r="HB204" s="466"/>
      <c r="HC204" s="466"/>
      <c r="HD204" s="466"/>
      <c r="HE204" s="844"/>
      <c r="HF204" s="844"/>
      <c r="HG204" s="844"/>
      <c r="HH204" s="844"/>
      <c r="HI204" s="844"/>
      <c r="HJ204" s="844"/>
      <c r="HK204" s="844"/>
      <c r="HL204" s="844"/>
      <c r="HM204" s="844"/>
      <c r="HN204" s="844"/>
      <c r="HP204" s="466"/>
      <c r="HQ204" s="466"/>
      <c r="HR204" s="466"/>
      <c r="HS204" s="415"/>
      <c r="HT204" s="2292"/>
    </row>
    <row r="205" spans="3:228">
      <c r="C205" s="466"/>
      <c r="D205" s="466"/>
      <c r="E205" s="466"/>
      <c r="F205" s="466"/>
      <c r="G205" s="466"/>
      <c r="H205" s="466"/>
      <c r="I205" s="466"/>
      <c r="J205" s="466"/>
      <c r="K205" s="466"/>
      <c r="L205" s="466"/>
      <c r="M205" s="466"/>
      <c r="N205" s="466"/>
      <c r="O205" s="466"/>
      <c r="P205" s="510"/>
      <c r="Q205" s="510"/>
      <c r="R205" s="510"/>
      <c r="S205" s="510"/>
      <c r="T205" s="510"/>
      <c r="U205" s="510"/>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466"/>
      <c r="BA205" s="466"/>
      <c r="BB205" s="466"/>
      <c r="BC205" s="466"/>
      <c r="BD205" s="466"/>
      <c r="BE205" s="466"/>
      <c r="BF205" s="466"/>
      <c r="BG205" s="466"/>
      <c r="BH205" s="466"/>
      <c r="BI205" s="466"/>
      <c r="BJ205" s="466"/>
      <c r="BK205" s="466"/>
      <c r="BL205" s="466"/>
      <c r="BM205" s="466"/>
      <c r="BN205" s="466"/>
      <c r="BO205" s="466"/>
      <c r="BP205" s="466"/>
      <c r="BQ205" s="466"/>
      <c r="BR205" s="466"/>
      <c r="BS205" s="466"/>
      <c r="BT205" s="466"/>
      <c r="BU205" s="466"/>
      <c r="BV205" s="466"/>
      <c r="BW205" s="466"/>
      <c r="BX205" s="466"/>
      <c r="BY205" s="466"/>
      <c r="BZ205" s="466"/>
      <c r="CA205" s="466"/>
      <c r="CB205" s="466"/>
      <c r="CC205" s="466"/>
      <c r="CD205" s="466"/>
      <c r="CE205" s="466"/>
      <c r="CF205" s="466"/>
      <c r="CG205" s="466"/>
      <c r="CH205" s="466"/>
      <c r="CI205" s="466"/>
      <c r="CJ205" s="466"/>
      <c r="CK205" s="466"/>
      <c r="CL205" s="466"/>
      <c r="CM205" s="466"/>
      <c r="CN205" s="466"/>
      <c r="CO205" s="466"/>
      <c r="CP205" s="466"/>
      <c r="CQ205" s="466"/>
      <c r="CR205" s="466"/>
      <c r="CS205" s="466"/>
      <c r="CT205" s="466"/>
      <c r="CU205" s="466"/>
      <c r="CV205" s="466"/>
      <c r="CW205" s="466"/>
      <c r="CX205" s="466"/>
      <c r="CY205" s="466"/>
      <c r="CZ205" s="466"/>
      <c r="DA205" s="466"/>
      <c r="DB205" s="466"/>
      <c r="DC205" s="466"/>
      <c r="DD205" s="466"/>
      <c r="DE205" s="466"/>
      <c r="DF205" s="466"/>
      <c r="DG205" s="466"/>
      <c r="FE205" s="466"/>
      <c r="FF205" s="466"/>
      <c r="FG205" s="466"/>
      <c r="FH205" s="466"/>
      <c r="FI205" s="466"/>
      <c r="FJ205" s="466"/>
      <c r="FK205" s="466"/>
      <c r="FL205" s="466"/>
      <c r="FM205" s="466"/>
      <c r="FN205" s="466"/>
      <c r="FO205" s="466"/>
      <c r="FP205" s="466"/>
      <c r="FQ205" s="466"/>
      <c r="FR205" s="466"/>
      <c r="FS205" s="466"/>
      <c r="FT205" s="466"/>
      <c r="FU205" s="466"/>
      <c r="FV205" s="466"/>
      <c r="FW205" s="466"/>
      <c r="FX205" s="466"/>
      <c r="FY205" s="466"/>
      <c r="FZ205" s="466"/>
      <c r="GA205" s="466"/>
      <c r="GB205" s="466"/>
      <c r="GC205" s="466"/>
      <c r="GD205" s="466"/>
      <c r="GE205" s="466"/>
      <c r="GF205" s="466"/>
      <c r="GG205" s="466"/>
      <c r="GH205" s="466"/>
      <c r="GI205" s="466"/>
      <c r="GJ205" s="466"/>
      <c r="GK205" s="466"/>
      <c r="GL205" s="466"/>
      <c r="GM205" s="466"/>
      <c r="GN205" s="466"/>
      <c r="GV205" s="466"/>
      <c r="GW205" s="466"/>
      <c r="GX205" s="466"/>
      <c r="GY205" s="466"/>
      <c r="GZ205" s="466"/>
      <c r="HA205" s="466"/>
      <c r="HB205" s="466"/>
      <c r="HC205" s="466"/>
      <c r="HD205" s="466"/>
      <c r="HE205" s="844"/>
      <c r="HF205" s="844"/>
      <c r="HG205" s="844"/>
      <c r="HH205" s="844"/>
      <c r="HI205" s="844"/>
      <c r="HJ205" s="844"/>
      <c r="HK205" s="844"/>
      <c r="HL205" s="844"/>
      <c r="HM205" s="844"/>
      <c r="HN205" s="844"/>
      <c r="HP205" s="466"/>
      <c r="HQ205" s="466"/>
      <c r="HR205" s="466"/>
      <c r="HS205" s="415"/>
      <c r="HT205" s="2292"/>
    </row>
    <row r="206" spans="3:228">
      <c r="C206" s="466"/>
      <c r="D206" s="466"/>
      <c r="E206" s="466"/>
      <c r="F206" s="466"/>
      <c r="G206" s="466"/>
      <c r="H206" s="466"/>
      <c r="I206" s="466"/>
      <c r="J206" s="466"/>
      <c r="K206" s="466"/>
      <c r="L206" s="466"/>
      <c r="M206" s="466"/>
      <c r="N206" s="466"/>
      <c r="O206" s="466"/>
      <c r="P206" s="510"/>
      <c r="Q206" s="510"/>
      <c r="R206" s="510"/>
      <c r="S206" s="510"/>
      <c r="T206" s="510"/>
      <c r="U206" s="510"/>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466"/>
      <c r="BA206" s="466"/>
      <c r="BB206" s="466"/>
      <c r="BC206" s="466"/>
      <c r="BD206" s="466"/>
      <c r="BE206" s="466"/>
      <c r="BF206" s="466"/>
      <c r="BG206" s="466"/>
      <c r="BH206" s="466"/>
      <c r="BI206" s="466"/>
      <c r="BJ206" s="466"/>
      <c r="BK206" s="466"/>
      <c r="BL206" s="466"/>
      <c r="BM206" s="466"/>
      <c r="BN206" s="466"/>
      <c r="BO206" s="466"/>
      <c r="BP206" s="466"/>
      <c r="BQ206" s="466"/>
      <c r="BR206" s="466"/>
      <c r="BS206" s="466"/>
      <c r="BT206" s="466"/>
      <c r="BU206" s="466"/>
      <c r="BV206" s="466"/>
      <c r="BW206" s="466"/>
      <c r="BX206" s="466"/>
      <c r="BY206" s="466"/>
      <c r="BZ206" s="466"/>
      <c r="CA206" s="466"/>
      <c r="CB206" s="466"/>
      <c r="CC206" s="466"/>
      <c r="CD206" s="466"/>
      <c r="CE206" s="466"/>
      <c r="CF206" s="466"/>
      <c r="CG206" s="466"/>
      <c r="CH206" s="466"/>
      <c r="CI206" s="466"/>
      <c r="CJ206" s="466"/>
      <c r="CK206" s="466"/>
      <c r="CL206" s="466"/>
      <c r="CM206" s="466"/>
      <c r="CN206" s="466"/>
      <c r="CO206" s="466"/>
      <c r="CP206" s="466"/>
      <c r="CQ206" s="466"/>
      <c r="CR206" s="466"/>
      <c r="CS206" s="466"/>
      <c r="CT206" s="466"/>
      <c r="CU206" s="466"/>
      <c r="CV206" s="466"/>
      <c r="CW206" s="466"/>
      <c r="CX206" s="466"/>
      <c r="CY206" s="466"/>
      <c r="CZ206" s="466"/>
      <c r="DA206" s="466"/>
      <c r="DB206" s="466"/>
      <c r="DC206" s="466"/>
      <c r="DD206" s="466"/>
      <c r="DE206" s="466"/>
      <c r="DF206" s="466"/>
      <c r="DG206" s="466"/>
      <c r="FE206" s="466"/>
      <c r="FF206" s="466"/>
      <c r="FG206" s="466"/>
      <c r="FH206" s="466"/>
      <c r="FI206" s="466"/>
      <c r="FJ206" s="466"/>
      <c r="FK206" s="466"/>
      <c r="FL206" s="466"/>
      <c r="FM206" s="466"/>
      <c r="FN206" s="466"/>
      <c r="FO206" s="466"/>
      <c r="FP206" s="466"/>
      <c r="FQ206" s="466"/>
      <c r="FR206" s="466"/>
      <c r="FS206" s="466"/>
      <c r="FT206" s="466"/>
      <c r="FU206" s="466"/>
      <c r="FV206" s="466"/>
      <c r="FW206" s="466"/>
      <c r="FX206" s="466"/>
      <c r="FY206" s="466"/>
      <c r="FZ206" s="466"/>
      <c r="GA206" s="466"/>
      <c r="GB206" s="466"/>
      <c r="GC206" s="466"/>
      <c r="GD206" s="466"/>
      <c r="GE206" s="466"/>
      <c r="GF206" s="466"/>
      <c r="GG206" s="466"/>
      <c r="GH206" s="466"/>
      <c r="GI206" s="466"/>
      <c r="GJ206" s="466"/>
      <c r="GK206" s="466"/>
      <c r="GL206" s="466"/>
      <c r="GM206" s="466"/>
      <c r="GN206" s="466"/>
      <c r="GV206" s="466"/>
      <c r="GW206" s="466"/>
      <c r="GX206" s="466"/>
      <c r="GY206" s="466"/>
      <c r="GZ206" s="466"/>
      <c r="HA206" s="466"/>
      <c r="HB206" s="466"/>
      <c r="HC206" s="466"/>
      <c r="HD206" s="466"/>
      <c r="HE206" s="844"/>
      <c r="HF206" s="844"/>
      <c r="HG206" s="844"/>
      <c r="HH206" s="844"/>
      <c r="HI206" s="844"/>
      <c r="HJ206" s="844"/>
      <c r="HK206" s="844"/>
      <c r="HL206" s="844"/>
      <c r="HM206" s="844"/>
      <c r="HN206" s="844"/>
      <c r="HP206" s="466"/>
      <c r="HQ206" s="466"/>
      <c r="HR206" s="466"/>
      <c r="HS206" s="415"/>
      <c r="HT206" s="2292"/>
    </row>
    <row r="207" spans="3:228">
      <c r="C207" s="466"/>
      <c r="D207" s="466"/>
      <c r="E207" s="466"/>
      <c r="F207" s="466"/>
      <c r="G207" s="466"/>
      <c r="H207" s="466"/>
      <c r="I207" s="466"/>
      <c r="J207" s="466"/>
      <c r="K207" s="466"/>
      <c r="L207" s="466"/>
      <c r="M207" s="466"/>
      <c r="N207" s="466"/>
      <c r="O207" s="466"/>
      <c r="P207" s="510"/>
      <c r="Q207" s="510"/>
      <c r="R207" s="510"/>
      <c r="S207" s="510"/>
      <c r="T207" s="510"/>
      <c r="U207" s="510"/>
      <c r="V207" s="510"/>
      <c r="W207" s="510"/>
      <c r="X207" s="510"/>
      <c r="Y207" s="510"/>
      <c r="Z207" s="510"/>
      <c r="AA207" s="510"/>
      <c r="AB207" s="510"/>
      <c r="AC207" s="510"/>
      <c r="AD207" s="510"/>
      <c r="AE207" s="510"/>
      <c r="AF207" s="510"/>
      <c r="AG207" s="510"/>
      <c r="AH207" s="510"/>
      <c r="AI207" s="510"/>
      <c r="AJ207" s="510"/>
      <c r="AK207" s="510"/>
      <c r="AL207" s="510"/>
      <c r="AM207" s="510"/>
      <c r="AN207" s="510"/>
      <c r="AO207" s="510"/>
      <c r="AP207" s="510"/>
      <c r="AQ207" s="510"/>
      <c r="AR207" s="510"/>
      <c r="AS207" s="510"/>
      <c r="AT207" s="510"/>
      <c r="AU207" s="510"/>
      <c r="AV207" s="510"/>
      <c r="AW207" s="510"/>
      <c r="AX207" s="510"/>
      <c r="AY207" s="510"/>
      <c r="AZ207" s="466"/>
      <c r="BA207" s="466"/>
      <c r="BB207" s="466"/>
      <c r="BC207" s="466"/>
      <c r="BD207" s="466"/>
      <c r="BE207" s="466"/>
      <c r="BF207" s="466"/>
      <c r="BG207" s="466"/>
      <c r="BH207" s="466"/>
      <c r="BI207" s="466"/>
      <c r="BJ207" s="466"/>
      <c r="BK207" s="466"/>
      <c r="BL207" s="466"/>
      <c r="BM207" s="466"/>
      <c r="BN207" s="466"/>
      <c r="BO207" s="466"/>
      <c r="BP207" s="466"/>
      <c r="BQ207" s="466"/>
      <c r="BR207" s="466"/>
      <c r="BS207" s="466"/>
      <c r="BT207" s="466"/>
      <c r="BU207" s="466"/>
      <c r="BV207" s="466"/>
      <c r="BW207" s="466"/>
      <c r="BX207" s="466"/>
      <c r="BY207" s="466"/>
      <c r="BZ207" s="466"/>
      <c r="CA207" s="466"/>
      <c r="CB207" s="466"/>
      <c r="CC207" s="466"/>
      <c r="CD207" s="466"/>
      <c r="CE207" s="466"/>
      <c r="CF207" s="466"/>
      <c r="CG207" s="466"/>
      <c r="CH207" s="466"/>
      <c r="CI207" s="466"/>
      <c r="CJ207" s="466"/>
      <c r="CK207" s="466"/>
      <c r="CL207" s="466"/>
      <c r="CM207" s="466"/>
      <c r="CN207" s="466"/>
      <c r="CO207" s="466"/>
      <c r="CP207" s="466"/>
      <c r="CQ207" s="466"/>
      <c r="CR207" s="466"/>
      <c r="CS207" s="466"/>
      <c r="CT207" s="466"/>
      <c r="CU207" s="466"/>
      <c r="CV207" s="466"/>
      <c r="CW207" s="466"/>
      <c r="CX207" s="466"/>
      <c r="CY207" s="466"/>
      <c r="CZ207" s="466"/>
      <c r="DA207" s="466"/>
      <c r="DB207" s="466"/>
      <c r="DC207" s="466"/>
      <c r="DD207" s="466"/>
      <c r="DE207" s="466"/>
      <c r="DF207" s="466"/>
      <c r="DG207" s="466"/>
      <c r="FE207" s="466"/>
      <c r="FF207" s="466"/>
      <c r="FG207" s="466"/>
      <c r="FH207" s="466"/>
      <c r="FI207" s="466"/>
      <c r="FJ207" s="466"/>
      <c r="FK207" s="466"/>
      <c r="FL207" s="466"/>
      <c r="FM207" s="466"/>
      <c r="FN207" s="466"/>
      <c r="FO207" s="466"/>
      <c r="FP207" s="466"/>
      <c r="FQ207" s="466"/>
      <c r="FR207" s="466"/>
      <c r="FS207" s="466"/>
      <c r="FT207" s="466"/>
      <c r="FU207" s="466"/>
      <c r="FV207" s="466"/>
      <c r="FW207" s="466"/>
      <c r="FX207" s="466"/>
      <c r="FY207" s="466"/>
      <c r="FZ207" s="466"/>
      <c r="GA207" s="466"/>
      <c r="GB207" s="466"/>
      <c r="GC207" s="466"/>
      <c r="GD207" s="466"/>
      <c r="GE207" s="466"/>
      <c r="GF207" s="466"/>
      <c r="GG207" s="466"/>
      <c r="GH207" s="466"/>
      <c r="GI207" s="466"/>
      <c r="GJ207" s="466"/>
      <c r="GK207" s="466"/>
      <c r="GL207" s="466"/>
      <c r="GM207" s="466"/>
      <c r="GN207" s="466"/>
      <c r="GV207" s="466"/>
      <c r="GW207" s="466"/>
      <c r="GX207" s="466"/>
      <c r="GY207" s="466"/>
      <c r="GZ207" s="466"/>
      <c r="HA207" s="466"/>
      <c r="HB207" s="466"/>
      <c r="HC207" s="466"/>
      <c r="HD207" s="466"/>
      <c r="HE207" s="844"/>
      <c r="HF207" s="844"/>
      <c r="HG207" s="844"/>
      <c r="HH207" s="844"/>
      <c r="HI207" s="844"/>
      <c r="HJ207" s="844"/>
      <c r="HK207" s="844"/>
      <c r="HL207" s="844"/>
      <c r="HM207" s="844"/>
      <c r="HN207" s="844"/>
      <c r="HP207" s="466"/>
      <c r="HQ207" s="466"/>
      <c r="HR207" s="466"/>
      <c r="HS207" s="415"/>
      <c r="HT207" s="2292"/>
    </row>
    <row r="208" spans="3:228">
      <c r="C208" s="466"/>
      <c r="D208" s="466"/>
      <c r="E208" s="466"/>
      <c r="F208" s="466"/>
      <c r="G208" s="466"/>
      <c r="H208" s="466"/>
      <c r="I208" s="466"/>
      <c r="J208" s="466"/>
      <c r="K208" s="466"/>
      <c r="L208" s="466"/>
      <c r="M208" s="466"/>
      <c r="N208" s="466"/>
      <c r="O208" s="466"/>
      <c r="P208" s="510"/>
      <c r="Q208" s="510"/>
      <c r="R208" s="510"/>
      <c r="S208" s="510"/>
      <c r="T208" s="510"/>
      <c r="U208" s="510"/>
      <c r="V208" s="510"/>
      <c r="W208" s="510"/>
      <c r="X208" s="510"/>
      <c r="Y208" s="510"/>
      <c r="Z208" s="510"/>
      <c r="AA208" s="510"/>
      <c r="AB208" s="510"/>
      <c r="AC208" s="510"/>
      <c r="AD208" s="510"/>
      <c r="AE208" s="510"/>
      <c r="AF208" s="510"/>
      <c r="AG208" s="510"/>
      <c r="AH208" s="510"/>
      <c r="AI208" s="510"/>
      <c r="AJ208" s="510"/>
      <c r="AK208" s="510"/>
      <c r="AL208" s="510"/>
      <c r="AM208" s="510"/>
      <c r="AN208" s="510"/>
      <c r="AO208" s="510"/>
      <c r="AP208" s="510"/>
      <c r="AQ208" s="510"/>
      <c r="AR208" s="510"/>
      <c r="AS208" s="510"/>
      <c r="AT208" s="510"/>
      <c r="AU208" s="510"/>
      <c r="AV208" s="510"/>
      <c r="AW208" s="510"/>
      <c r="AX208" s="510"/>
      <c r="AY208" s="510"/>
      <c r="AZ208" s="466"/>
      <c r="BA208" s="466"/>
      <c r="BB208" s="466"/>
      <c r="BC208" s="466"/>
      <c r="BD208" s="466"/>
      <c r="BE208" s="466"/>
      <c r="BF208" s="466"/>
      <c r="BG208" s="466"/>
      <c r="BH208" s="466"/>
      <c r="BI208" s="466"/>
      <c r="BJ208" s="466"/>
      <c r="BK208" s="466"/>
      <c r="BL208" s="466"/>
      <c r="BM208" s="466"/>
      <c r="BN208" s="466"/>
      <c r="BO208" s="466"/>
      <c r="BP208" s="466"/>
      <c r="BQ208" s="466"/>
      <c r="BR208" s="466"/>
      <c r="BS208" s="466"/>
      <c r="BT208" s="466"/>
      <c r="BU208" s="466"/>
      <c r="BV208" s="466"/>
      <c r="BW208" s="466"/>
      <c r="BX208" s="466"/>
      <c r="BY208" s="466"/>
      <c r="BZ208" s="466"/>
      <c r="CA208" s="466"/>
      <c r="CB208" s="466"/>
      <c r="CC208" s="466"/>
      <c r="CD208" s="466"/>
      <c r="CE208" s="466"/>
      <c r="CF208" s="466"/>
      <c r="CG208" s="466"/>
      <c r="CH208" s="466"/>
      <c r="CI208" s="466"/>
      <c r="CJ208" s="466"/>
      <c r="CK208" s="466"/>
      <c r="CL208" s="466"/>
      <c r="CM208" s="466"/>
      <c r="CN208" s="466"/>
      <c r="CO208" s="466"/>
      <c r="CP208" s="466"/>
      <c r="CQ208" s="466"/>
      <c r="CR208" s="466"/>
      <c r="CS208" s="466"/>
      <c r="CT208" s="466"/>
      <c r="CU208" s="466"/>
      <c r="CV208" s="466"/>
      <c r="CW208" s="466"/>
      <c r="CX208" s="466"/>
      <c r="CY208" s="466"/>
      <c r="CZ208" s="466"/>
      <c r="DA208" s="466"/>
      <c r="DB208" s="466"/>
      <c r="DC208" s="466"/>
      <c r="DD208" s="466"/>
      <c r="DE208" s="466"/>
      <c r="DF208" s="466"/>
      <c r="DG208" s="466"/>
      <c r="FE208" s="466"/>
      <c r="FF208" s="466"/>
      <c r="FG208" s="466"/>
      <c r="FH208" s="466"/>
      <c r="FI208" s="466"/>
      <c r="FJ208" s="466"/>
      <c r="FK208" s="466"/>
      <c r="FL208" s="466"/>
      <c r="FM208" s="466"/>
      <c r="FN208" s="466"/>
      <c r="FO208" s="466"/>
      <c r="FP208" s="466"/>
      <c r="FQ208" s="466"/>
      <c r="FR208" s="466"/>
      <c r="FS208" s="466"/>
      <c r="FT208" s="466"/>
      <c r="FU208" s="466"/>
      <c r="FV208" s="466"/>
      <c r="FW208" s="466"/>
      <c r="FX208" s="466"/>
      <c r="FY208" s="466"/>
      <c r="FZ208" s="466"/>
      <c r="GA208" s="466"/>
      <c r="GB208" s="466"/>
      <c r="GC208" s="466"/>
      <c r="GD208" s="466"/>
      <c r="GE208" s="466"/>
      <c r="GF208" s="466"/>
      <c r="GG208" s="466"/>
      <c r="GH208" s="466"/>
      <c r="GI208" s="466"/>
      <c r="GJ208" s="466"/>
      <c r="GK208" s="466"/>
      <c r="GL208" s="466"/>
      <c r="GM208" s="466"/>
      <c r="GN208" s="466"/>
      <c r="GV208" s="466"/>
      <c r="GW208" s="466"/>
      <c r="GX208" s="466"/>
      <c r="GY208" s="466"/>
      <c r="GZ208" s="466"/>
      <c r="HA208" s="466"/>
      <c r="HB208" s="466"/>
      <c r="HC208" s="466"/>
      <c r="HD208" s="466"/>
      <c r="HE208" s="844"/>
      <c r="HF208" s="844"/>
      <c r="HG208" s="844"/>
      <c r="HH208" s="844"/>
      <c r="HI208" s="844"/>
      <c r="HJ208" s="844"/>
      <c r="HK208" s="844"/>
      <c r="HL208" s="844"/>
      <c r="HM208" s="844"/>
      <c r="HN208" s="844"/>
      <c r="HP208" s="466"/>
      <c r="HQ208" s="466"/>
      <c r="HR208" s="466"/>
      <c r="HS208" s="415"/>
      <c r="HT208" s="2292"/>
    </row>
    <row r="209" spans="3:228">
      <c r="C209" s="466"/>
      <c r="D209" s="466"/>
      <c r="E209" s="466"/>
      <c r="F209" s="466"/>
      <c r="G209" s="466"/>
      <c r="H209" s="466"/>
      <c r="I209" s="466"/>
      <c r="J209" s="466"/>
      <c r="K209" s="466"/>
      <c r="L209" s="466"/>
      <c r="M209" s="466"/>
      <c r="N209" s="466"/>
      <c r="O209" s="466"/>
      <c r="P209" s="510"/>
      <c r="Q209" s="510"/>
      <c r="R209" s="510"/>
      <c r="S209" s="510"/>
      <c r="T209" s="510"/>
      <c r="U209" s="510"/>
      <c r="V209" s="510"/>
      <c r="W209" s="510"/>
      <c r="X209" s="510"/>
      <c r="Y209" s="510"/>
      <c r="Z209" s="510"/>
      <c r="AA209" s="510"/>
      <c r="AB209" s="510"/>
      <c r="AC209" s="510"/>
      <c r="AD209" s="510"/>
      <c r="AE209" s="510"/>
      <c r="AF209" s="510"/>
      <c r="AG209" s="510"/>
      <c r="AH209" s="510"/>
      <c r="AI209" s="510"/>
      <c r="AJ209" s="510"/>
      <c r="AK209" s="510"/>
      <c r="AL209" s="510"/>
      <c r="AM209" s="510"/>
      <c r="AN209" s="510"/>
      <c r="AO209" s="510"/>
      <c r="AP209" s="510"/>
      <c r="AQ209" s="510"/>
      <c r="AR209" s="510"/>
      <c r="AS209" s="510"/>
      <c r="AT209" s="510"/>
      <c r="AU209" s="510"/>
      <c r="AV209" s="510"/>
      <c r="AW209" s="510"/>
      <c r="AX209" s="510"/>
      <c r="AY209" s="510"/>
      <c r="AZ209" s="466"/>
      <c r="BA209" s="466"/>
      <c r="BB209" s="466"/>
      <c r="BC209" s="466"/>
      <c r="BD209" s="466"/>
      <c r="BE209" s="466"/>
      <c r="BF209" s="466"/>
      <c r="BG209" s="466"/>
      <c r="BH209" s="466"/>
      <c r="BI209" s="466"/>
      <c r="BJ209" s="466"/>
      <c r="BK209" s="466"/>
      <c r="BL209" s="466"/>
      <c r="BM209" s="466"/>
      <c r="BN209" s="466"/>
      <c r="BO209" s="466"/>
      <c r="BP209" s="466"/>
      <c r="BQ209" s="466"/>
      <c r="BR209" s="466"/>
      <c r="BS209" s="466"/>
      <c r="BT209" s="466"/>
      <c r="BU209" s="466"/>
      <c r="BV209" s="466"/>
      <c r="BW209" s="466"/>
      <c r="BX209" s="466"/>
      <c r="BY209" s="466"/>
      <c r="BZ209" s="466"/>
      <c r="CA209" s="466"/>
      <c r="CB209" s="466"/>
      <c r="CC209" s="466"/>
      <c r="CD209" s="466"/>
      <c r="CE209" s="466"/>
      <c r="CF209" s="466"/>
      <c r="CG209" s="466"/>
      <c r="CH209" s="466"/>
      <c r="CI209" s="466"/>
      <c r="CJ209" s="466"/>
      <c r="CK209" s="466"/>
      <c r="CL209" s="466"/>
      <c r="CM209" s="466"/>
      <c r="CN209" s="466"/>
      <c r="CO209" s="466"/>
      <c r="CP209" s="466"/>
      <c r="CQ209" s="466"/>
      <c r="CR209" s="466"/>
      <c r="CS209" s="466"/>
      <c r="CT209" s="466"/>
      <c r="CU209" s="466"/>
      <c r="CV209" s="466"/>
      <c r="CW209" s="466"/>
      <c r="CX209" s="466"/>
      <c r="CY209" s="466"/>
      <c r="CZ209" s="466"/>
      <c r="DA209" s="466"/>
      <c r="DB209" s="466"/>
      <c r="DC209" s="466"/>
      <c r="DD209" s="466"/>
      <c r="DE209" s="466"/>
      <c r="DF209" s="466"/>
      <c r="DG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V209" s="466"/>
      <c r="GW209" s="466"/>
      <c r="GX209" s="466"/>
      <c r="GY209" s="466"/>
      <c r="GZ209" s="466"/>
      <c r="HA209" s="466"/>
      <c r="HB209" s="466"/>
      <c r="HC209" s="466"/>
      <c r="HD209" s="466"/>
      <c r="HE209" s="844"/>
      <c r="HF209" s="844"/>
      <c r="HG209" s="844"/>
      <c r="HH209" s="844"/>
      <c r="HI209" s="844"/>
      <c r="HJ209" s="844"/>
      <c r="HK209" s="844"/>
      <c r="HL209" s="844"/>
      <c r="HM209" s="844"/>
      <c r="HN209" s="844"/>
      <c r="HP209" s="466"/>
      <c r="HQ209" s="466"/>
      <c r="HR209" s="466"/>
      <c r="HS209" s="415"/>
      <c r="HT209" s="2292"/>
    </row>
    <row r="210" spans="3:228">
      <c r="C210" s="466"/>
      <c r="D210" s="466"/>
      <c r="E210" s="466"/>
      <c r="F210" s="466"/>
      <c r="G210" s="466"/>
      <c r="H210" s="466"/>
      <c r="I210" s="466"/>
      <c r="J210" s="466"/>
      <c r="K210" s="466"/>
      <c r="L210" s="466"/>
      <c r="M210" s="466"/>
      <c r="N210" s="466"/>
      <c r="O210" s="466"/>
      <c r="P210" s="510"/>
      <c r="Q210" s="510"/>
      <c r="R210" s="510"/>
      <c r="S210" s="510"/>
      <c r="T210" s="510"/>
      <c r="U210" s="510"/>
      <c r="V210" s="510"/>
      <c r="W210" s="510"/>
      <c r="X210" s="510"/>
      <c r="Y210" s="510"/>
      <c r="Z210" s="510"/>
      <c r="AA210" s="510"/>
      <c r="AB210" s="510"/>
      <c r="AC210" s="510"/>
      <c r="AD210" s="510"/>
      <c r="AE210" s="510"/>
      <c r="AF210" s="510"/>
      <c r="AG210" s="510"/>
      <c r="AH210" s="510"/>
      <c r="AI210" s="510"/>
      <c r="AJ210" s="510"/>
      <c r="AK210" s="510"/>
      <c r="AL210" s="510"/>
      <c r="AM210" s="510"/>
      <c r="AN210" s="510"/>
      <c r="AO210" s="510"/>
      <c r="AP210" s="510"/>
      <c r="AQ210" s="510"/>
      <c r="AR210" s="510"/>
      <c r="AS210" s="510"/>
      <c r="AT210" s="510"/>
      <c r="AU210" s="510"/>
      <c r="AV210" s="510"/>
      <c r="AW210" s="510"/>
      <c r="AX210" s="510"/>
      <c r="AY210" s="510"/>
      <c r="AZ210" s="466"/>
      <c r="BA210" s="466"/>
      <c r="BB210" s="466"/>
      <c r="BC210" s="466"/>
      <c r="BD210" s="466"/>
      <c r="BE210" s="466"/>
      <c r="BF210" s="466"/>
      <c r="BG210" s="466"/>
      <c r="BH210" s="466"/>
      <c r="BI210" s="466"/>
      <c r="BJ210" s="466"/>
      <c r="BK210" s="466"/>
      <c r="BL210" s="466"/>
      <c r="BM210" s="466"/>
      <c r="BN210" s="466"/>
      <c r="BO210" s="466"/>
      <c r="BP210" s="466"/>
      <c r="BQ210" s="466"/>
      <c r="BR210" s="466"/>
      <c r="BS210" s="466"/>
      <c r="BT210" s="466"/>
      <c r="BU210" s="466"/>
      <c r="BV210" s="466"/>
      <c r="BW210" s="466"/>
      <c r="BX210" s="466"/>
      <c r="BY210" s="466"/>
      <c r="BZ210" s="466"/>
      <c r="CA210" s="466"/>
      <c r="CB210" s="466"/>
      <c r="CC210" s="466"/>
      <c r="CD210" s="466"/>
      <c r="CE210" s="466"/>
      <c r="CF210" s="466"/>
      <c r="CG210" s="466"/>
      <c r="CH210" s="466"/>
      <c r="CI210" s="466"/>
      <c r="CJ210" s="466"/>
      <c r="CK210" s="466"/>
      <c r="CL210" s="466"/>
      <c r="CM210" s="466"/>
      <c r="CN210" s="466"/>
      <c r="CO210" s="466"/>
      <c r="CP210" s="466"/>
      <c r="CQ210" s="466"/>
      <c r="CR210" s="466"/>
      <c r="CS210" s="466"/>
      <c r="CT210" s="466"/>
      <c r="CU210" s="466"/>
      <c r="CV210" s="466"/>
      <c r="CW210" s="466"/>
      <c r="CX210" s="466"/>
      <c r="CY210" s="466"/>
      <c r="CZ210" s="466"/>
      <c r="DA210" s="466"/>
      <c r="DB210" s="466"/>
      <c r="DC210" s="466"/>
      <c r="DD210" s="466"/>
      <c r="DE210" s="466"/>
      <c r="DF210" s="466"/>
      <c r="DG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V210" s="466"/>
      <c r="GW210" s="466"/>
      <c r="GX210" s="466"/>
      <c r="GY210" s="466"/>
      <c r="GZ210" s="466"/>
      <c r="HA210" s="466"/>
      <c r="HB210" s="466"/>
      <c r="HC210" s="466"/>
      <c r="HD210" s="466"/>
      <c r="HE210" s="844"/>
      <c r="HF210" s="844"/>
      <c r="HG210" s="844"/>
      <c r="HH210" s="844"/>
      <c r="HI210" s="844"/>
      <c r="HJ210" s="844"/>
      <c r="HK210" s="844"/>
      <c r="HL210" s="844"/>
      <c r="HM210" s="844"/>
      <c r="HN210" s="844"/>
      <c r="HP210" s="466"/>
      <c r="HQ210" s="466"/>
      <c r="HR210" s="466"/>
      <c r="HS210" s="415"/>
      <c r="HT210" s="2292"/>
    </row>
    <row r="211" spans="3:228">
      <c r="C211" s="466"/>
      <c r="D211" s="466"/>
      <c r="E211" s="466"/>
      <c r="F211" s="466"/>
      <c r="G211" s="466"/>
      <c r="H211" s="466"/>
      <c r="I211" s="466"/>
      <c r="J211" s="466"/>
      <c r="K211" s="466"/>
      <c r="L211" s="466"/>
      <c r="M211" s="466"/>
      <c r="N211" s="466"/>
      <c r="O211" s="466"/>
      <c r="P211" s="510"/>
      <c r="Q211" s="510"/>
      <c r="R211" s="510"/>
      <c r="S211" s="510"/>
      <c r="T211" s="510"/>
      <c r="U211" s="510"/>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466"/>
      <c r="BA211" s="466"/>
      <c r="BB211" s="466"/>
      <c r="BC211" s="466"/>
      <c r="BD211" s="466"/>
      <c r="BE211" s="466"/>
      <c r="BF211" s="466"/>
      <c r="BG211" s="466"/>
      <c r="BH211" s="466"/>
      <c r="BI211" s="466"/>
      <c r="BJ211" s="466"/>
      <c r="BK211" s="466"/>
      <c r="BL211" s="466"/>
      <c r="BM211" s="466"/>
      <c r="BN211" s="466"/>
      <c r="BO211" s="466"/>
      <c r="BP211" s="466"/>
      <c r="BQ211" s="466"/>
      <c r="BR211" s="466"/>
      <c r="BS211" s="466"/>
      <c r="BT211" s="466"/>
      <c r="BU211" s="466"/>
      <c r="BV211" s="466"/>
      <c r="BW211" s="466"/>
      <c r="BX211" s="466"/>
      <c r="BY211" s="466"/>
      <c r="BZ211" s="466"/>
      <c r="CA211" s="466"/>
      <c r="CB211" s="466"/>
      <c r="CC211" s="466"/>
      <c r="CD211" s="466"/>
      <c r="CE211" s="466"/>
      <c r="CF211" s="466"/>
      <c r="CG211" s="466"/>
      <c r="CH211" s="466"/>
      <c r="CI211" s="466"/>
      <c r="CJ211" s="466"/>
      <c r="CK211" s="466"/>
      <c r="CL211" s="466"/>
      <c r="CM211" s="466"/>
      <c r="CN211" s="466"/>
      <c r="CO211" s="466"/>
      <c r="CP211" s="466"/>
      <c r="CQ211" s="466"/>
      <c r="CR211" s="466"/>
      <c r="CS211" s="466"/>
      <c r="CT211" s="466"/>
      <c r="CU211" s="466"/>
      <c r="CV211" s="466"/>
      <c r="CW211" s="466"/>
      <c r="CX211" s="466"/>
      <c r="CY211" s="466"/>
      <c r="CZ211" s="466"/>
      <c r="DA211" s="466"/>
      <c r="DB211" s="466"/>
      <c r="DC211" s="466"/>
      <c r="DD211" s="466"/>
      <c r="DE211" s="466"/>
      <c r="DF211" s="466"/>
      <c r="DG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V211" s="466"/>
      <c r="GW211" s="466"/>
      <c r="GX211" s="466"/>
      <c r="GY211" s="466"/>
      <c r="GZ211" s="466"/>
      <c r="HA211" s="466"/>
      <c r="HB211" s="466"/>
      <c r="HC211" s="466"/>
      <c r="HD211" s="466"/>
      <c r="HE211" s="844"/>
      <c r="HF211" s="844"/>
      <c r="HG211" s="844"/>
      <c r="HH211" s="844"/>
      <c r="HI211" s="844"/>
      <c r="HJ211" s="844"/>
      <c r="HK211" s="844"/>
      <c r="HL211" s="844"/>
      <c r="HM211" s="844"/>
      <c r="HN211" s="844"/>
      <c r="HP211" s="466"/>
      <c r="HQ211" s="466"/>
      <c r="HR211" s="466"/>
      <c r="HS211" s="415"/>
      <c r="HT211" s="2292"/>
    </row>
    <row r="212" spans="3:228">
      <c r="C212" s="466"/>
      <c r="D212" s="466"/>
      <c r="E212" s="466"/>
      <c r="F212" s="466"/>
      <c r="G212" s="466"/>
      <c r="H212" s="466"/>
      <c r="I212" s="466"/>
      <c r="J212" s="466"/>
      <c r="K212" s="466"/>
      <c r="L212" s="466"/>
      <c r="M212" s="466"/>
      <c r="N212" s="466"/>
      <c r="O212" s="466"/>
      <c r="P212" s="510"/>
      <c r="Q212" s="510"/>
      <c r="R212" s="510"/>
      <c r="S212" s="510"/>
      <c r="T212" s="510"/>
      <c r="U212" s="510"/>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466"/>
      <c r="BA212" s="466"/>
      <c r="BB212" s="466"/>
      <c r="BC212" s="466"/>
      <c r="BD212" s="466"/>
      <c r="BE212" s="466"/>
      <c r="BF212" s="466"/>
      <c r="BG212" s="466"/>
      <c r="BH212" s="466"/>
      <c r="BI212" s="466"/>
      <c r="BJ212" s="466"/>
      <c r="BK212" s="466"/>
      <c r="BL212" s="466"/>
      <c r="BM212" s="466"/>
      <c r="BN212" s="466"/>
      <c r="BO212" s="466"/>
      <c r="BP212" s="466"/>
      <c r="BQ212" s="466"/>
      <c r="BR212" s="466"/>
      <c r="BS212" s="466"/>
      <c r="BT212" s="466"/>
      <c r="BU212" s="466"/>
      <c r="BV212" s="466"/>
      <c r="BW212" s="466"/>
      <c r="BX212" s="466"/>
      <c r="BY212" s="466"/>
      <c r="BZ212" s="466"/>
      <c r="CA212" s="466"/>
      <c r="CB212" s="466"/>
      <c r="CC212" s="466"/>
      <c r="CD212" s="466"/>
      <c r="CE212" s="466"/>
      <c r="CF212" s="466"/>
      <c r="CG212" s="466"/>
      <c r="CH212" s="466"/>
      <c r="CI212" s="466"/>
      <c r="CJ212" s="466"/>
      <c r="CK212" s="466"/>
      <c r="CL212" s="466"/>
      <c r="CM212" s="466"/>
      <c r="CN212" s="466"/>
      <c r="CO212" s="466"/>
      <c r="CP212" s="466"/>
      <c r="CQ212" s="466"/>
      <c r="CR212" s="466"/>
      <c r="CS212" s="466"/>
      <c r="CT212" s="466"/>
      <c r="CU212" s="466"/>
      <c r="CV212" s="466"/>
      <c r="CW212" s="466"/>
      <c r="CX212" s="466"/>
      <c r="CY212" s="466"/>
      <c r="CZ212" s="466"/>
      <c r="DA212" s="466"/>
      <c r="DB212" s="466"/>
      <c r="DC212" s="466"/>
      <c r="DD212" s="466"/>
      <c r="DE212" s="466"/>
      <c r="DF212" s="466"/>
      <c r="DG212" s="466"/>
      <c r="FE212" s="527"/>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527"/>
      <c r="GA212" s="527"/>
      <c r="GB212" s="527"/>
      <c r="GC212" s="527"/>
      <c r="GD212" s="527"/>
      <c r="GE212" s="527"/>
      <c r="GF212" s="527"/>
      <c r="GG212" s="527"/>
      <c r="GH212" s="527"/>
      <c r="GI212" s="527"/>
      <c r="GJ212" s="527"/>
      <c r="GK212" s="527"/>
      <c r="GL212" s="527"/>
      <c r="GM212" s="527"/>
      <c r="GN212" s="527"/>
      <c r="GV212" s="527"/>
      <c r="GW212" s="527"/>
      <c r="GX212" s="527"/>
      <c r="GY212" s="527"/>
      <c r="GZ212" s="527"/>
      <c r="HA212" s="527"/>
      <c r="HB212" s="527"/>
      <c r="HC212" s="527"/>
      <c r="HD212" s="527"/>
      <c r="HE212" s="844"/>
      <c r="HF212" s="844"/>
      <c r="HG212" s="844"/>
      <c r="HH212" s="844"/>
      <c r="HI212" s="844"/>
      <c r="HJ212" s="844"/>
      <c r="HK212" s="844"/>
      <c r="HL212" s="844"/>
      <c r="HM212" s="844"/>
      <c r="HN212" s="844"/>
      <c r="HP212" s="466"/>
      <c r="HQ212" s="466"/>
      <c r="HR212" s="466"/>
      <c r="HS212" s="415"/>
      <c r="HT212" s="2292"/>
    </row>
    <row r="213" spans="3:228">
      <c r="C213" s="466"/>
      <c r="D213" s="466"/>
      <c r="E213" s="466"/>
      <c r="F213" s="466"/>
      <c r="G213" s="466"/>
      <c r="H213" s="466"/>
      <c r="I213" s="466"/>
      <c r="J213" s="466"/>
      <c r="K213" s="466"/>
      <c r="L213" s="466"/>
      <c r="M213" s="466"/>
      <c r="N213" s="466"/>
      <c r="O213" s="466"/>
      <c r="P213" s="510"/>
      <c r="Q213" s="510"/>
      <c r="R213" s="510"/>
      <c r="S213" s="510"/>
      <c r="T213" s="510"/>
      <c r="U213" s="510"/>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466"/>
      <c r="BA213" s="466"/>
      <c r="BB213" s="466"/>
      <c r="BC213" s="466"/>
      <c r="BD213" s="466"/>
      <c r="BE213" s="466"/>
      <c r="BF213" s="466"/>
      <c r="BG213" s="466"/>
      <c r="BH213" s="466"/>
      <c r="BI213" s="466"/>
      <c r="BJ213" s="466"/>
      <c r="BK213" s="466"/>
      <c r="BL213" s="466"/>
      <c r="BM213" s="466"/>
      <c r="BN213" s="466"/>
      <c r="BO213" s="466"/>
      <c r="BP213" s="466"/>
      <c r="BQ213" s="466"/>
      <c r="BR213" s="466"/>
      <c r="BS213" s="466"/>
      <c r="BT213" s="466"/>
      <c r="BU213" s="466"/>
      <c r="BV213" s="466"/>
      <c r="BW213" s="466"/>
      <c r="BX213" s="466"/>
      <c r="BY213" s="466"/>
      <c r="BZ213" s="466"/>
      <c r="CA213" s="466"/>
      <c r="CB213" s="466"/>
      <c r="CC213" s="466"/>
      <c r="CD213" s="466"/>
      <c r="CE213" s="466"/>
      <c r="CF213" s="466"/>
      <c r="CG213" s="466"/>
      <c r="CH213" s="466"/>
      <c r="CI213" s="466"/>
      <c r="CJ213" s="466"/>
      <c r="CK213" s="466"/>
      <c r="CL213" s="466"/>
      <c r="CM213" s="466"/>
      <c r="CN213" s="466"/>
      <c r="CO213" s="466"/>
      <c r="CP213" s="466"/>
      <c r="CQ213" s="466"/>
      <c r="CR213" s="466"/>
      <c r="CS213" s="466"/>
      <c r="CT213" s="466"/>
      <c r="CU213" s="466"/>
      <c r="CV213" s="466"/>
      <c r="CW213" s="466"/>
      <c r="CX213" s="466"/>
      <c r="CY213" s="466"/>
      <c r="CZ213" s="466"/>
      <c r="DA213" s="466"/>
      <c r="DB213" s="466"/>
      <c r="DC213" s="466"/>
      <c r="DD213" s="466"/>
      <c r="DE213" s="466"/>
      <c r="DF213" s="466"/>
      <c r="DG213" s="466"/>
      <c r="FE213" s="527"/>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527"/>
      <c r="GA213" s="527"/>
      <c r="GB213" s="527"/>
      <c r="GC213" s="527"/>
      <c r="GD213" s="527"/>
      <c r="GE213" s="527"/>
      <c r="GF213" s="527"/>
      <c r="GG213" s="527"/>
      <c r="GH213" s="527"/>
      <c r="GI213" s="527"/>
      <c r="GJ213" s="527"/>
      <c r="GK213" s="527"/>
      <c r="GL213" s="527"/>
      <c r="GM213" s="527"/>
      <c r="GN213" s="527"/>
      <c r="GV213" s="527"/>
      <c r="GW213" s="527"/>
      <c r="GX213" s="527"/>
      <c r="GY213" s="527"/>
      <c r="GZ213" s="527"/>
      <c r="HA213" s="527"/>
      <c r="HB213" s="527"/>
      <c r="HC213" s="527"/>
      <c r="HD213" s="527"/>
      <c r="HE213" s="844"/>
      <c r="HF213" s="844"/>
      <c r="HG213" s="844"/>
      <c r="HH213" s="844"/>
      <c r="HI213" s="844"/>
      <c r="HJ213" s="844"/>
      <c r="HK213" s="844"/>
      <c r="HL213" s="844"/>
      <c r="HM213" s="844"/>
      <c r="HN213" s="844"/>
      <c r="HP213" s="466"/>
      <c r="HQ213" s="466"/>
      <c r="HR213" s="466"/>
      <c r="HS213" s="415"/>
      <c r="HT213" s="2292"/>
    </row>
    <row r="214" spans="3:228">
      <c r="C214" s="466"/>
      <c r="D214" s="466"/>
      <c r="E214" s="466"/>
      <c r="F214" s="466"/>
      <c r="G214" s="466"/>
      <c r="H214" s="466"/>
      <c r="I214" s="466"/>
      <c r="J214" s="466"/>
      <c r="K214" s="466"/>
      <c r="L214" s="466"/>
      <c r="M214" s="466"/>
      <c r="N214" s="466"/>
      <c r="O214" s="466"/>
      <c r="P214" s="510"/>
      <c r="Q214" s="510"/>
      <c r="R214" s="510"/>
      <c r="S214" s="510"/>
      <c r="T214" s="510"/>
      <c r="U214" s="510"/>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466"/>
      <c r="BA214" s="466"/>
      <c r="BB214" s="466"/>
      <c r="BC214" s="466"/>
      <c r="BD214" s="466"/>
      <c r="BE214" s="466"/>
      <c r="BF214" s="466"/>
      <c r="BG214" s="466"/>
      <c r="BH214" s="466"/>
      <c r="BI214" s="466"/>
      <c r="BJ214" s="466"/>
      <c r="BK214" s="466"/>
      <c r="BL214" s="466"/>
      <c r="BM214" s="466"/>
      <c r="BN214" s="466"/>
      <c r="BO214" s="466"/>
      <c r="BP214" s="466"/>
      <c r="BQ214" s="466"/>
      <c r="BR214" s="466"/>
      <c r="BS214" s="466"/>
      <c r="BT214" s="466"/>
      <c r="BU214" s="466"/>
      <c r="BV214" s="466"/>
      <c r="BW214" s="466"/>
      <c r="BX214" s="466"/>
      <c r="BY214" s="466"/>
      <c r="BZ214" s="466"/>
      <c r="CA214" s="466"/>
      <c r="CB214" s="466"/>
      <c r="CC214" s="466"/>
      <c r="CD214" s="466"/>
      <c r="CE214" s="466"/>
      <c r="CF214" s="466"/>
      <c r="CG214" s="466"/>
      <c r="CH214" s="466"/>
      <c r="CI214" s="466"/>
      <c r="CJ214" s="466"/>
      <c r="CK214" s="466"/>
      <c r="CL214" s="466"/>
      <c r="CM214" s="466"/>
      <c r="CN214" s="466"/>
      <c r="CO214" s="466"/>
      <c r="CP214" s="466"/>
      <c r="CQ214" s="466"/>
      <c r="CR214" s="466"/>
      <c r="CS214" s="466"/>
      <c r="CT214" s="466"/>
      <c r="CU214" s="466"/>
      <c r="CV214" s="466"/>
      <c r="CW214" s="466"/>
      <c r="CX214" s="466"/>
      <c r="CY214" s="466"/>
      <c r="CZ214" s="466"/>
      <c r="DA214" s="466"/>
      <c r="DB214" s="466"/>
      <c r="DC214" s="466"/>
      <c r="DD214" s="466"/>
      <c r="DE214" s="466"/>
      <c r="DF214" s="466"/>
      <c r="DG214" s="466"/>
      <c r="FE214" s="527"/>
      <c r="FF214" s="466"/>
      <c r="FG214" s="466"/>
      <c r="FH214" s="466"/>
      <c r="FI214" s="466"/>
      <c r="FJ214" s="466"/>
      <c r="FK214" s="466"/>
      <c r="FL214" s="466"/>
      <c r="FM214" s="466"/>
      <c r="FN214" s="466"/>
      <c r="FO214" s="466"/>
      <c r="FP214" s="466"/>
      <c r="FQ214" s="466"/>
      <c r="FR214" s="466"/>
      <c r="FS214" s="466"/>
      <c r="FT214" s="466"/>
      <c r="FU214" s="466"/>
      <c r="FV214" s="466"/>
      <c r="FW214" s="466"/>
      <c r="FX214" s="466"/>
      <c r="FY214" s="466"/>
      <c r="FZ214" s="527"/>
      <c r="GA214" s="527"/>
      <c r="GB214" s="527"/>
      <c r="GC214" s="527"/>
      <c r="GD214" s="527"/>
      <c r="GE214" s="527"/>
      <c r="GF214" s="527"/>
      <c r="GG214" s="527"/>
      <c r="GH214" s="527"/>
      <c r="GI214" s="527"/>
      <c r="GJ214" s="527"/>
      <c r="GK214" s="527"/>
      <c r="GL214" s="527"/>
      <c r="GM214" s="527"/>
      <c r="GN214" s="527"/>
      <c r="GV214" s="527"/>
      <c r="GW214" s="527"/>
      <c r="GX214" s="527"/>
      <c r="GY214" s="527"/>
      <c r="GZ214" s="527"/>
      <c r="HA214" s="527"/>
      <c r="HB214" s="527"/>
      <c r="HC214" s="527"/>
      <c r="HD214" s="527"/>
      <c r="HE214" s="844"/>
      <c r="HF214" s="844"/>
      <c r="HG214" s="844"/>
      <c r="HH214" s="844"/>
      <c r="HI214" s="844"/>
      <c r="HJ214" s="844"/>
      <c r="HK214" s="844"/>
      <c r="HL214" s="844"/>
      <c r="HM214" s="844"/>
      <c r="HN214" s="844"/>
      <c r="HP214" s="466"/>
      <c r="HQ214" s="466"/>
      <c r="HR214" s="466"/>
      <c r="HS214" s="415"/>
      <c r="HT214" s="2292"/>
    </row>
    <row r="215" spans="3:228">
      <c r="C215" s="466"/>
      <c r="D215" s="466"/>
      <c r="E215" s="466"/>
      <c r="F215" s="466"/>
      <c r="G215" s="466"/>
      <c r="H215" s="466"/>
      <c r="I215" s="466"/>
      <c r="J215" s="466"/>
      <c r="K215" s="466"/>
      <c r="L215" s="466"/>
      <c r="M215" s="466"/>
      <c r="N215" s="466"/>
      <c r="O215" s="466"/>
      <c r="P215" s="510"/>
      <c r="Q215" s="510"/>
      <c r="R215" s="510"/>
      <c r="S215" s="510"/>
      <c r="T215" s="510"/>
      <c r="U215" s="510"/>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466"/>
      <c r="BA215" s="466"/>
      <c r="BB215" s="466"/>
      <c r="BC215" s="466"/>
      <c r="BD215" s="466"/>
      <c r="BE215" s="466"/>
      <c r="BF215" s="466"/>
      <c r="BG215" s="466"/>
      <c r="BH215" s="466"/>
      <c r="BI215" s="466"/>
      <c r="BJ215" s="466"/>
      <c r="BK215" s="466"/>
      <c r="BL215" s="466"/>
      <c r="BM215" s="466"/>
      <c r="BN215" s="466"/>
      <c r="BO215" s="466"/>
      <c r="BP215" s="466"/>
      <c r="BQ215" s="466"/>
      <c r="BR215" s="466"/>
      <c r="BS215" s="466"/>
      <c r="BT215" s="466"/>
      <c r="BU215" s="466"/>
      <c r="BV215" s="466"/>
      <c r="BW215" s="466"/>
      <c r="BX215" s="466"/>
      <c r="BY215" s="466"/>
      <c r="BZ215" s="466"/>
      <c r="CA215" s="466"/>
      <c r="CB215" s="466"/>
      <c r="CC215" s="466"/>
      <c r="CD215" s="466"/>
      <c r="CE215" s="466"/>
      <c r="CF215" s="466"/>
      <c r="CG215" s="466"/>
      <c r="CH215" s="466"/>
      <c r="CI215" s="466"/>
      <c r="CJ215" s="466"/>
      <c r="CK215" s="466"/>
      <c r="CL215" s="466"/>
      <c r="CM215" s="466"/>
      <c r="CN215" s="466"/>
      <c r="CO215" s="466"/>
      <c r="CP215" s="466"/>
      <c r="CQ215" s="466"/>
      <c r="CR215" s="466"/>
      <c r="CS215" s="466"/>
      <c r="CT215" s="466"/>
      <c r="CU215" s="466"/>
      <c r="CV215" s="466"/>
      <c r="CW215" s="466"/>
      <c r="CX215" s="466"/>
      <c r="CY215" s="466"/>
      <c r="CZ215" s="466"/>
      <c r="DA215" s="466"/>
      <c r="DB215" s="466"/>
      <c r="DC215" s="466"/>
      <c r="DD215" s="466"/>
      <c r="DE215" s="466"/>
      <c r="DF215" s="466"/>
      <c r="DG215" s="466"/>
      <c r="FE215" s="527"/>
      <c r="FF215" s="466"/>
      <c r="FG215" s="466"/>
      <c r="FH215" s="466"/>
      <c r="FI215" s="466"/>
      <c r="FJ215" s="466"/>
      <c r="FK215" s="466"/>
      <c r="FL215" s="466"/>
      <c r="FM215" s="466"/>
      <c r="FN215" s="466"/>
      <c r="FO215" s="466"/>
      <c r="FP215" s="466"/>
      <c r="FQ215" s="466"/>
      <c r="FR215" s="466"/>
      <c r="FS215" s="466"/>
      <c r="FT215" s="466"/>
      <c r="FU215" s="466"/>
      <c r="FV215" s="466"/>
      <c r="FW215" s="466"/>
      <c r="FX215" s="466"/>
      <c r="FY215" s="466"/>
      <c r="FZ215" s="527"/>
      <c r="GA215" s="527"/>
      <c r="GB215" s="527"/>
      <c r="GC215" s="527"/>
      <c r="GD215" s="527"/>
      <c r="GE215" s="527"/>
      <c r="GF215" s="527"/>
      <c r="GG215" s="527"/>
      <c r="GH215" s="527"/>
      <c r="GI215" s="527"/>
      <c r="GJ215" s="527"/>
      <c r="GK215" s="527"/>
      <c r="GL215" s="527"/>
      <c r="GM215" s="527"/>
      <c r="GN215" s="527"/>
      <c r="GV215" s="527"/>
      <c r="GW215" s="527"/>
      <c r="GX215" s="527"/>
      <c r="GY215" s="527"/>
      <c r="GZ215" s="527"/>
      <c r="HA215" s="527"/>
      <c r="HB215" s="527"/>
      <c r="HC215" s="527"/>
      <c r="HD215" s="527"/>
      <c r="HE215" s="844"/>
      <c r="HF215" s="844"/>
      <c r="HG215" s="844"/>
      <c r="HH215" s="844"/>
      <c r="HI215" s="844"/>
      <c r="HJ215" s="844"/>
      <c r="HK215" s="844"/>
      <c r="HL215" s="844"/>
      <c r="HM215" s="844"/>
      <c r="HN215" s="844"/>
      <c r="HP215" s="466"/>
      <c r="HQ215" s="466"/>
      <c r="HR215" s="466"/>
      <c r="HS215" s="415"/>
      <c r="HT215" s="2292"/>
    </row>
    <row r="216" spans="3:228">
      <c r="C216" s="466"/>
      <c r="D216" s="466"/>
      <c r="E216" s="466"/>
      <c r="F216" s="466"/>
      <c r="G216" s="466"/>
      <c r="H216" s="466"/>
      <c r="I216" s="466"/>
      <c r="J216" s="466"/>
      <c r="K216" s="466"/>
      <c r="L216" s="466"/>
      <c r="M216" s="466"/>
      <c r="N216" s="466"/>
      <c r="O216" s="466"/>
      <c r="P216" s="510"/>
      <c r="Q216" s="510"/>
      <c r="R216" s="510"/>
      <c r="S216" s="510"/>
      <c r="T216" s="510"/>
      <c r="U216" s="510"/>
      <c r="V216" s="510"/>
      <c r="W216" s="510"/>
      <c r="X216" s="510"/>
      <c r="Y216" s="510"/>
      <c r="Z216" s="510"/>
      <c r="AA216" s="510"/>
      <c r="AB216" s="510"/>
      <c r="AC216" s="510"/>
      <c r="AD216" s="510"/>
      <c r="AE216" s="510"/>
      <c r="AF216" s="510"/>
      <c r="AG216" s="510"/>
      <c r="AH216" s="510"/>
      <c r="AI216" s="510"/>
      <c r="AJ216" s="510"/>
      <c r="AK216" s="510"/>
      <c r="AL216" s="510"/>
      <c r="AM216" s="510"/>
      <c r="AN216" s="510"/>
      <c r="AO216" s="510"/>
      <c r="AP216" s="510"/>
      <c r="AQ216" s="510"/>
      <c r="AR216" s="510"/>
      <c r="AS216" s="510"/>
      <c r="AT216" s="510"/>
      <c r="AU216" s="510"/>
      <c r="AV216" s="510"/>
      <c r="AW216" s="510"/>
      <c r="AX216" s="510"/>
      <c r="AY216" s="510"/>
      <c r="AZ216" s="466"/>
      <c r="BA216" s="466"/>
      <c r="BB216" s="466"/>
      <c r="BC216" s="466"/>
      <c r="BD216" s="466"/>
      <c r="BE216" s="466"/>
      <c r="BF216" s="466"/>
      <c r="BG216" s="466"/>
      <c r="BH216" s="466"/>
      <c r="BI216" s="466"/>
      <c r="BJ216" s="466"/>
      <c r="BK216" s="466"/>
      <c r="BL216" s="466"/>
      <c r="BM216" s="466"/>
      <c r="BN216" s="466"/>
      <c r="BO216" s="466"/>
      <c r="BP216" s="466"/>
      <c r="BQ216" s="466"/>
      <c r="BR216" s="466"/>
      <c r="BS216" s="466"/>
      <c r="BT216" s="466"/>
      <c r="BU216" s="466"/>
      <c r="BV216" s="466"/>
      <c r="BW216" s="466"/>
      <c r="BX216" s="466"/>
      <c r="BY216" s="466"/>
      <c r="BZ216" s="466"/>
      <c r="CA216" s="466"/>
      <c r="CB216" s="466"/>
      <c r="CC216" s="466"/>
      <c r="CD216" s="466"/>
      <c r="CE216" s="466"/>
      <c r="CF216" s="466"/>
      <c r="CG216" s="466"/>
      <c r="CH216" s="466"/>
      <c r="CI216" s="466"/>
      <c r="CJ216" s="466"/>
      <c r="CK216" s="466"/>
      <c r="CL216" s="466"/>
      <c r="CM216" s="466"/>
      <c r="CN216" s="466"/>
      <c r="CO216" s="466"/>
      <c r="CP216" s="466"/>
      <c r="CQ216" s="466"/>
      <c r="CR216" s="466"/>
      <c r="CS216" s="466"/>
      <c r="CT216" s="466"/>
      <c r="CU216" s="466"/>
      <c r="CV216" s="466"/>
      <c r="CW216" s="466"/>
      <c r="CX216" s="466"/>
      <c r="CY216" s="466"/>
      <c r="CZ216" s="466"/>
      <c r="DA216" s="466"/>
      <c r="DB216" s="466"/>
      <c r="DC216" s="466"/>
      <c r="DD216" s="466"/>
      <c r="DE216" s="466"/>
      <c r="DF216" s="466"/>
      <c r="DG216" s="466"/>
      <c r="FE216" s="527"/>
      <c r="FF216" s="466"/>
      <c r="FG216" s="466"/>
      <c r="FH216" s="466"/>
      <c r="FI216" s="466"/>
      <c r="FJ216" s="466"/>
      <c r="FK216" s="466"/>
      <c r="FL216" s="466"/>
      <c r="FM216" s="466"/>
      <c r="FN216" s="466"/>
      <c r="FO216" s="466"/>
      <c r="FP216" s="466"/>
      <c r="FQ216" s="466"/>
      <c r="FR216" s="466"/>
      <c r="FS216" s="466"/>
      <c r="FT216" s="466"/>
      <c r="FU216" s="466"/>
      <c r="FV216" s="466"/>
      <c r="FW216" s="466"/>
      <c r="FX216" s="466"/>
      <c r="FY216" s="466"/>
      <c r="FZ216" s="527"/>
      <c r="GA216" s="527"/>
      <c r="GB216" s="527"/>
      <c r="GC216" s="527"/>
      <c r="GD216" s="527"/>
      <c r="GE216" s="527"/>
      <c r="GF216" s="527"/>
      <c r="GG216" s="527"/>
      <c r="GH216" s="527"/>
      <c r="GI216" s="527"/>
      <c r="GJ216" s="527"/>
      <c r="GK216" s="527"/>
      <c r="GL216" s="527"/>
      <c r="GM216" s="527"/>
      <c r="GN216" s="527"/>
      <c r="GV216" s="527"/>
      <c r="GW216" s="527"/>
      <c r="GX216" s="527"/>
      <c r="GY216" s="527"/>
      <c r="GZ216" s="527"/>
      <c r="HA216" s="527"/>
      <c r="HB216" s="527"/>
      <c r="HC216" s="527"/>
      <c r="HD216" s="527"/>
      <c r="HE216" s="844"/>
      <c r="HF216" s="844"/>
      <c r="HG216" s="844"/>
      <c r="HH216" s="844"/>
      <c r="HI216" s="844"/>
      <c r="HJ216" s="844"/>
      <c r="HK216" s="844"/>
      <c r="HL216" s="844"/>
      <c r="HM216" s="844"/>
      <c r="HN216" s="844"/>
      <c r="HP216" s="466"/>
      <c r="HQ216" s="466"/>
      <c r="HR216" s="466"/>
      <c r="HS216" s="415"/>
      <c r="HT216" s="2292"/>
    </row>
    <row r="217" spans="3:228">
      <c r="C217" s="466"/>
      <c r="D217" s="466"/>
      <c r="E217" s="466"/>
      <c r="F217" s="466"/>
      <c r="G217" s="466"/>
      <c r="H217" s="466"/>
      <c r="I217" s="466"/>
      <c r="J217" s="466"/>
      <c r="K217" s="466"/>
      <c r="L217" s="466"/>
      <c r="M217" s="466"/>
      <c r="N217" s="466"/>
      <c r="O217" s="466"/>
      <c r="P217" s="510"/>
      <c r="Q217" s="510"/>
      <c r="R217" s="510"/>
      <c r="S217" s="510"/>
      <c r="T217" s="510"/>
      <c r="U217" s="510"/>
      <c r="V217" s="510"/>
      <c r="W217" s="510"/>
      <c r="X217" s="510"/>
      <c r="Y217" s="510"/>
      <c r="Z217" s="510"/>
      <c r="AA217" s="510"/>
      <c r="AB217" s="510"/>
      <c r="AC217" s="510"/>
      <c r="AD217" s="510"/>
      <c r="AE217" s="510"/>
      <c r="AF217" s="510"/>
      <c r="AG217" s="510"/>
      <c r="AH217" s="510"/>
      <c r="AI217" s="510"/>
      <c r="AJ217" s="510"/>
      <c r="AK217" s="510"/>
      <c r="AL217" s="510"/>
      <c r="AM217" s="510"/>
      <c r="AN217" s="510"/>
      <c r="AO217" s="510"/>
      <c r="AP217" s="510"/>
      <c r="AQ217" s="510"/>
      <c r="AR217" s="510"/>
      <c r="AS217" s="510"/>
      <c r="AT217" s="510"/>
      <c r="AU217" s="510"/>
      <c r="AV217" s="510"/>
      <c r="AW217" s="510"/>
      <c r="AX217" s="510"/>
      <c r="AY217" s="510"/>
      <c r="AZ217" s="466"/>
      <c r="BA217" s="466"/>
      <c r="BB217" s="466"/>
      <c r="BC217" s="466"/>
      <c r="BD217" s="466"/>
      <c r="BE217" s="466"/>
      <c r="BF217" s="466"/>
      <c r="BG217" s="466"/>
      <c r="BH217" s="466"/>
      <c r="BI217" s="466"/>
      <c r="BJ217" s="466"/>
      <c r="BK217" s="466"/>
      <c r="BL217" s="466"/>
      <c r="BM217" s="466"/>
      <c r="BN217" s="466"/>
      <c r="BO217" s="466"/>
      <c r="BP217" s="466"/>
      <c r="BQ217" s="466"/>
      <c r="BR217" s="466"/>
      <c r="BS217" s="466"/>
      <c r="BT217" s="466"/>
      <c r="BU217" s="466"/>
      <c r="BV217" s="466"/>
      <c r="BW217" s="466"/>
      <c r="BX217" s="466"/>
      <c r="BY217" s="466"/>
      <c r="BZ217" s="466"/>
      <c r="CA217" s="466"/>
      <c r="CB217" s="466"/>
      <c r="CC217" s="466"/>
      <c r="CD217" s="466"/>
      <c r="CE217" s="466"/>
      <c r="CF217" s="466"/>
      <c r="CG217" s="466"/>
      <c r="CH217" s="466"/>
      <c r="CI217" s="466"/>
      <c r="CJ217" s="466"/>
      <c r="CK217" s="466"/>
      <c r="CL217" s="466"/>
      <c r="CM217" s="466"/>
      <c r="CN217" s="466"/>
      <c r="CO217" s="466"/>
      <c r="CP217" s="466"/>
      <c r="CQ217" s="466"/>
      <c r="CR217" s="466"/>
      <c r="CS217" s="466"/>
      <c r="CT217" s="466"/>
      <c r="CU217" s="466"/>
      <c r="CV217" s="466"/>
      <c r="CW217" s="466"/>
      <c r="CX217" s="466"/>
      <c r="CY217" s="466"/>
      <c r="CZ217" s="466"/>
      <c r="DA217" s="466"/>
      <c r="DB217" s="466"/>
      <c r="DC217" s="466"/>
      <c r="DD217" s="466"/>
      <c r="DE217" s="466"/>
      <c r="DF217" s="466"/>
      <c r="DG217" s="466"/>
      <c r="FE217" s="527"/>
      <c r="FF217" s="466"/>
      <c r="FG217" s="466"/>
      <c r="FH217" s="466"/>
      <c r="FI217" s="466"/>
      <c r="FJ217" s="466"/>
      <c r="FK217" s="466"/>
      <c r="FL217" s="466"/>
      <c r="FM217" s="466"/>
      <c r="FN217" s="466"/>
      <c r="FO217" s="466"/>
      <c r="FP217" s="466"/>
      <c r="FQ217" s="466"/>
      <c r="FR217" s="466"/>
      <c r="FS217" s="466"/>
      <c r="FT217" s="466"/>
      <c r="FU217" s="466"/>
      <c r="FV217" s="466"/>
      <c r="FW217" s="466"/>
      <c r="FX217" s="466"/>
      <c r="FY217" s="466"/>
      <c r="FZ217" s="527"/>
      <c r="GA217" s="527"/>
      <c r="GB217" s="527"/>
      <c r="GC217" s="527"/>
      <c r="GD217" s="527"/>
      <c r="GE217" s="527"/>
      <c r="GF217" s="527"/>
      <c r="GG217" s="527"/>
      <c r="GH217" s="527"/>
      <c r="GI217" s="527"/>
      <c r="GJ217" s="527"/>
      <c r="GK217" s="527"/>
      <c r="GL217" s="527"/>
      <c r="GM217" s="527"/>
      <c r="GN217" s="527"/>
      <c r="GV217" s="527"/>
      <c r="GW217" s="527"/>
      <c r="GX217" s="527"/>
      <c r="GY217" s="527"/>
      <c r="GZ217" s="527"/>
      <c r="HA217" s="527"/>
      <c r="HB217" s="527"/>
      <c r="HC217" s="527"/>
      <c r="HD217" s="527"/>
      <c r="HE217" s="844"/>
      <c r="HF217" s="844"/>
      <c r="HG217" s="844"/>
      <c r="HH217" s="844"/>
      <c r="HI217" s="844"/>
      <c r="HJ217" s="844"/>
      <c r="HK217" s="844"/>
      <c r="HL217" s="844"/>
      <c r="HM217" s="844"/>
      <c r="HN217" s="844"/>
      <c r="HP217" s="466"/>
      <c r="HQ217" s="466"/>
      <c r="HR217" s="466"/>
      <c r="HS217" s="415"/>
      <c r="HT217" s="2292"/>
    </row>
    <row r="218" spans="3:228">
      <c r="C218" s="466"/>
      <c r="D218" s="466"/>
      <c r="E218" s="466"/>
      <c r="F218" s="466"/>
      <c r="G218" s="466"/>
      <c r="H218" s="466"/>
      <c r="I218" s="466"/>
      <c r="J218" s="466"/>
      <c r="K218" s="466"/>
      <c r="L218" s="466"/>
      <c r="M218" s="466"/>
      <c r="N218" s="466"/>
      <c r="O218" s="466"/>
      <c r="P218" s="510"/>
      <c r="Q218" s="510"/>
      <c r="R218" s="510"/>
      <c r="S218" s="510"/>
      <c r="T218" s="510"/>
      <c r="U218" s="510"/>
      <c r="V218" s="510"/>
      <c r="W218" s="510"/>
      <c r="X218" s="510"/>
      <c r="Y218" s="510"/>
      <c r="Z218" s="510"/>
      <c r="AA218" s="510"/>
      <c r="AB218" s="510"/>
      <c r="AC218" s="510"/>
      <c r="AD218" s="510"/>
      <c r="AE218" s="510"/>
      <c r="AF218" s="510"/>
      <c r="AG218" s="510"/>
      <c r="AH218" s="510"/>
      <c r="AI218" s="510"/>
      <c r="AJ218" s="510"/>
      <c r="AK218" s="510"/>
      <c r="AL218" s="510"/>
      <c r="AM218" s="510"/>
      <c r="AN218" s="510"/>
      <c r="AO218" s="510"/>
      <c r="AP218" s="510"/>
      <c r="AQ218" s="510"/>
      <c r="AR218" s="510"/>
      <c r="AS218" s="510"/>
      <c r="AT218" s="510"/>
      <c r="AU218" s="510"/>
      <c r="AV218" s="510"/>
      <c r="AW218" s="510"/>
      <c r="AX218" s="510"/>
      <c r="AY218" s="510"/>
      <c r="AZ218" s="466"/>
      <c r="BA218" s="466"/>
      <c r="BB218" s="466"/>
      <c r="BC218" s="466"/>
      <c r="BD218" s="466"/>
      <c r="BE218" s="466"/>
      <c r="BF218" s="466"/>
      <c r="BG218" s="466"/>
      <c r="BH218" s="466"/>
      <c r="BI218" s="466"/>
      <c r="BJ218" s="466"/>
      <c r="BK218" s="466"/>
      <c r="BL218" s="466"/>
      <c r="BM218" s="466"/>
      <c r="BN218" s="466"/>
      <c r="BO218" s="466"/>
      <c r="BP218" s="466"/>
      <c r="BQ218" s="466"/>
      <c r="BR218" s="466"/>
      <c r="BS218" s="466"/>
      <c r="BT218" s="466"/>
      <c r="BU218" s="466"/>
      <c r="BV218" s="466"/>
      <c r="BW218" s="466"/>
      <c r="BX218" s="466"/>
      <c r="BY218" s="466"/>
      <c r="BZ218" s="466"/>
      <c r="CA218" s="466"/>
      <c r="CB218" s="466"/>
      <c r="CC218" s="466"/>
      <c r="CD218" s="466"/>
      <c r="CE218" s="466"/>
      <c r="CF218" s="466"/>
      <c r="CG218" s="466"/>
      <c r="CH218" s="466"/>
      <c r="CI218" s="466"/>
      <c r="CJ218" s="466"/>
      <c r="CK218" s="466"/>
      <c r="CL218" s="466"/>
      <c r="CM218" s="466"/>
      <c r="CN218" s="466"/>
      <c r="CO218" s="466"/>
      <c r="CP218" s="466"/>
      <c r="CQ218" s="466"/>
      <c r="CR218" s="466"/>
      <c r="CS218" s="466"/>
      <c r="CT218" s="466"/>
      <c r="CU218" s="466"/>
      <c r="CV218" s="466"/>
      <c r="CW218" s="466"/>
      <c r="CX218" s="466"/>
      <c r="CY218" s="466"/>
      <c r="CZ218" s="466"/>
      <c r="DA218" s="466"/>
      <c r="DB218" s="466"/>
      <c r="DC218" s="466"/>
      <c r="DD218" s="466"/>
      <c r="DE218" s="466"/>
      <c r="DF218" s="466"/>
      <c r="DG218" s="466"/>
      <c r="FE218" s="527"/>
      <c r="FF218" s="466"/>
      <c r="FG218" s="466"/>
      <c r="FH218" s="466"/>
      <c r="FI218" s="466"/>
      <c r="FJ218" s="466"/>
      <c r="FK218" s="466"/>
      <c r="FL218" s="466"/>
      <c r="FM218" s="466"/>
      <c r="FN218" s="466"/>
      <c r="FO218" s="466"/>
      <c r="FP218" s="466"/>
      <c r="FQ218" s="466"/>
      <c r="FR218" s="466"/>
      <c r="FS218" s="466"/>
      <c r="FT218" s="466"/>
      <c r="FU218" s="466"/>
      <c r="FV218" s="466"/>
      <c r="FW218" s="466"/>
      <c r="FX218" s="466"/>
      <c r="FY218" s="466"/>
      <c r="FZ218" s="527"/>
      <c r="GA218" s="527"/>
      <c r="GB218" s="527"/>
      <c r="GC218" s="527"/>
      <c r="GD218" s="527"/>
      <c r="GE218" s="527"/>
      <c r="GF218" s="527"/>
      <c r="GG218" s="527"/>
      <c r="GH218" s="527"/>
      <c r="GI218" s="527"/>
      <c r="GJ218" s="527"/>
      <c r="GK218" s="527"/>
      <c r="GL218" s="527"/>
      <c r="GM218" s="527"/>
      <c r="GN218" s="527"/>
      <c r="GV218" s="527"/>
      <c r="GW218" s="527"/>
      <c r="GX218" s="527"/>
      <c r="GY218" s="527"/>
      <c r="GZ218" s="527"/>
      <c r="HA218" s="527"/>
      <c r="HB218" s="527"/>
      <c r="HC218" s="527"/>
      <c r="HD218" s="527"/>
      <c r="HE218" s="844"/>
      <c r="HF218" s="844"/>
      <c r="HG218" s="844"/>
      <c r="HH218" s="844"/>
      <c r="HI218" s="844"/>
      <c r="HJ218" s="844"/>
      <c r="HK218" s="844"/>
      <c r="HL218" s="844"/>
      <c r="HM218" s="844"/>
      <c r="HN218" s="844"/>
      <c r="HP218" s="466"/>
      <c r="HQ218" s="466"/>
      <c r="HR218" s="466"/>
      <c r="HS218" s="415"/>
      <c r="HT218" s="2292"/>
    </row>
    <row r="219" spans="3:228">
      <c r="C219" s="466"/>
      <c r="D219" s="466"/>
      <c r="E219" s="466"/>
      <c r="F219" s="466"/>
      <c r="G219" s="466"/>
      <c r="H219" s="466"/>
      <c r="I219" s="466"/>
      <c r="J219" s="466"/>
      <c r="K219" s="466"/>
      <c r="L219" s="466"/>
      <c r="M219" s="466"/>
      <c r="N219" s="466"/>
      <c r="O219" s="466"/>
      <c r="P219" s="510"/>
      <c r="Q219" s="510"/>
      <c r="R219" s="510"/>
      <c r="S219" s="510"/>
      <c r="T219" s="510"/>
      <c r="U219" s="510"/>
      <c r="V219" s="510"/>
      <c r="W219" s="510"/>
      <c r="X219" s="510"/>
      <c r="Y219" s="510"/>
      <c r="Z219" s="510"/>
      <c r="AA219" s="510"/>
      <c r="AB219" s="510"/>
      <c r="AC219" s="510"/>
      <c r="AD219" s="510"/>
      <c r="AE219" s="510"/>
      <c r="AF219" s="510"/>
      <c r="AG219" s="510"/>
      <c r="AH219" s="510"/>
      <c r="AI219" s="510"/>
      <c r="AJ219" s="510"/>
      <c r="AK219" s="510"/>
      <c r="AL219" s="510"/>
      <c r="AM219" s="510"/>
      <c r="AN219" s="510"/>
      <c r="AO219" s="510"/>
      <c r="AP219" s="510"/>
      <c r="AQ219" s="510"/>
      <c r="AR219" s="510"/>
      <c r="AS219" s="510"/>
      <c r="AT219" s="510"/>
      <c r="AU219" s="510"/>
      <c r="AV219" s="510"/>
      <c r="AW219" s="510"/>
      <c r="AX219" s="510"/>
      <c r="AY219" s="510"/>
      <c r="AZ219" s="466"/>
      <c r="BA219" s="466"/>
      <c r="BB219" s="466"/>
      <c r="BC219" s="466"/>
      <c r="BD219" s="466"/>
      <c r="BE219" s="466"/>
      <c r="BF219" s="466"/>
      <c r="BG219" s="466"/>
      <c r="BH219" s="466"/>
      <c r="BI219" s="466"/>
      <c r="BJ219" s="466"/>
      <c r="BK219" s="466"/>
      <c r="BL219" s="466"/>
      <c r="BM219" s="466"/>
      <c r="BN219" s="466"/>
      <c r="BO219" s="466"/>
      <c r="BP219" s="466"/>
      <c r="BQ219" s="466"/>
      <c r="BR219" s="466"/>
      <c r="BS219" s="466"/>
      <c r="BT219" s="466"/>
      <c r="BU219" s="466"/>
      <c r="BV219" s="466"/>
      <c r="BW219" s="466"/>
      <c r="BX219" s="466"/>
      <c r="BY219" s="466"/>
      <c r="BZ219" s="466"/>
      <c r="CA219" s="466"/>
      <c r="CB219" s="466"/>
      <c r="CC219" s="466"/>
      <c r="CD219" s="466"/>
      <c r="CE219" s="466"/>
      <c r="CF219" s="466"/>
      <c r="CG219" s="466"/>
      <c r="CH219" s="466"/>
      <c r="CI219" s="466"/>
      <c r="CJ219" s="466"/>
      <c r="CK219" s="466"/>
      <c r="CL219" s="466"/>
      <c r="CM219" s="466"/>
      <c r="CN219" s="466"/>
      <c r="CO219" s="466"/>
      <c r="CP219" s="466"/>
      <c r="CQ219" s="466"/>
      <c r="CR219" s="466"/>
      <c r="CS219" s="466"/>
      <c r="CT219" s="466"/>
      <c r="CU219" s="466"/>
      <c r="CV219" s="466"/>
      <c r="CW219" s="466"/>
      <c r="CX219" s="466"/>
      <c r="CY219" s="466"/>
      <c r="CZ219" s="466"/>
      <c r="DA219" s="466"/>
      <c r="DB219" s="466"/>
      <c r="DC219" s="466"/>
      <c r="DD219" s="466"/>
      <c r="DE219" s="466"/>
      <c r="DF219" s="466"/>
      <c r="DG219" s="466"/>
      <c r="FE219" s="527"/>
      <c r="FF219" s="466"/>
      <c r="FG219" s="466"/>
      <c r="FH219" s="466"/>
      <c r="FI219" s="466"/>
      <c r="FJ219" s="466"/>
      <c r="FK219" s="466"/>
      <c r="FL219" s="466"/>
      <c r="FM219" s="466"/>
      <c r="FN219" s="466"/>
      <c r="FO219" s="466"/>
      <c r="FP219" s="466"/>
      <c r="FQ219" s="466"/>
      <c r="FR219" s="466"/>
      <c r="FS219" s="466"/>
      <c r="FT219" s="466"/>
      <c r="FU219" s="466"/>
      <c r="FV219" s="466"/>
      <c r="FW219" s="466"/>
      <c r="FX219" s="466"/>
      <c r="FY219" s="466"/>
      <c r="FZ219" s="527"/>
      <c r="GA219" s="527"/>
      <c r="GB219" s="527"/>
      <c r="GC219" s="527"/>
      <c r="GD219" s="527"/>
      <c r="GE219" s="527"/>
      <c r="GF219" s="527"/>
      <c r="GG219" s="527"/>
      <c r="GH219" s="527"/>
      <c r="GI219" s="527"/>
      <c r="GJ219" s="527"/>
      <c r="GK219" s="527"/>
      <c r="GL219" s="527"/>
      <c r="GM219" s="527"/>
      <c r="GN219" s="527"/>
      <c r="GV219" s="527"/>
      <c r="GW219" s="527"/>
      <c r="GX219" s="527"/>
      <c r="GY219" s="527"/>
      <c r="GZ219" s="527"/>
      <c r="HA219" s="527"/>
      <c r="HB219" s="527"/>
      <c r="HC219" s="527"/>
      <c r="HD219" s="527"/>
      <c r="HE219" s="844"/>
      <c r="HF219" s="844"/>
      <c r="HG219" s="844"/>
      <c r="HH219" s="844"/>
      <c r="HI219" s="844"/>
      <c r="HJ219" s="844"/>
      <c r="HK219" s="844"/>
      <c r="HL219" s="844"/>
      <c r="HM219" s="844"/>
      <c r="HN219" s="844"/>
      <c r="HP219" s="466"/>
      <c r="HQ219" s="466"/>
      <c r="HR219" s="466"/>
      <c r="HS219" s="415"/>
      <c r="HT219" s="2292"/>
    </row>
    <row r="220" spans="3:228">
      <c r="C220" s="466"/>
      <c r="D220" s="466"/>
      <c r="E220" s="466"/>
      <c r="F220" s="466"/>
      <c r="G220" s="466"/>
      <c r="H220" s="466"/>
      <c r="I220" s="466"/>
      <c r="J220" s="466"/>
      <c r="K220" s="466"/>
      <c r="L220" s="466"/>
      <c r="M220" s="466"/>
      <c r="N220" s="466"/>
      <c r="O220" s="466"/>
      <c r="P220" s="510"/>
      <c r="Q220" s="510"/>
      <c r="R220" s="510"/>
      <c r="S220" s="510"/>
      <c r="T220" s="510"/>
      <c r="U220" s="510"/>
      <c r="V220" s="510"/>
      <c r="W220" s="510"/>
      <c r="X220" s="510"/>
      <c r="Y220" s="510"/>
      <c r="Z220" s="510"/>
      <c r="AA220" s="510"/>
      <c r="AB220" s="510"/>
      <c r="AC220" s="510"/>
      <c r="AD220" s="510"/>
      <c r="AE220" s="510"/>
      <c r="AF220" s="510"/>
      <c r="AG220" s="510"/>
      <c r="AH220" s="510"/>
      <c r="AI220" s="510"/>
      <c r="AJ220" s="510"/>
      <c r="AK220" s="510"/>
      <c r="AL220" s="510"/>
      <c r="AM220" s="510"/>
      <c r="AN220" s="510"/>
      <c r="AO220" s="510"/>
      <c r="AP220" s="510"/>
      <c r="AQ220" s="510"/>
      <c r="AR220" s="510"/>
      <c r="AS220" s="510"/>
      <c r="AT220" s="510"/>
      <c r="AU220" s="510"/>
      <c r="AV220" s="510"/>
      <c r="AW220" s="510"/>
      <c r="AX220" s="510"/>
      <c r="AY220" s="510"/>
      <c r="AZ220" s="466"/>
      <c r="BA220" s="466"/>
      <c r="BB220" s="466"/>
      <c r="BC220" s="466"/>
      <c r="BD220" s="466"/>
      <c r="BE220" s="466"/>
      <c r="BF220" s="466"/>
      <c r="BG220" s="466"/>
      <c r="BH220" s="466"/>
      <c r="BI220" s="466"/>
      <c r="BJ220" s="466"/>
      <c r="BK220" s="466"/>
      <c r="BL220" s="466"/>
      <c r="BM220" s="466"/>
      <c r="BN220" s="466"/>
      <c r="BO220" s="466"/>
      <c r="BP220" s="466"/>
      <c r="BQ220" s="466"/>
      <c r="BR220" s="466"/>
      <c r="BS220" s="466"/>
      <c r="BT220" s="466"/>
      <c r="BU220" s="466"/>
      <c r="BV220" s="466"/>
      <c r="BW220" s="466"/>
      <c r="BX220" s="466"/>
      <c r="BY220" s="466"/>
      <c r="BZ220" s="466"/>
      <c r="CA220" s="466"/>
      <c r="CB220" s="466"/>
      <c r="CC220" s="466"/>
      <c r="CD220" s="466"/>
      <c r="CE220" s="466"/>
      <c r="CF220" s="466"/>
      <c r="CG220" s="466"/>
      <c r="CH220" s="466"/>
      <c r="CI220" s="466"/>
      <c r="CJ220" s="466"/>
      <c r="CK220" s="466"/>
      <c r="CL220" s="466"/>
      <c r="CM220" s="466"/>
      <c r="CN220" s="466"/>
      <c r="CO220" s="466"/>
      <c r="CP220" s="466"/>
      <c r="CQ220" s="466"/>
      <c r="CR220" s="466"/>
      <c r="CS220" s="466"/>
      <c r="CT220" s="466"/>
      <c r="CU220" s="466"/>
      <c r="CV220" s="466"/>
      <c r="CW220" s="466"/>
      <c r="CX220" s="466"/>
      <c r="CY220" s="466"/>
      <c r="CZ220" s="466"/>
      <c r="DA220" s="466"/>
      <c r="DB220" s="466"/>
      <c r="DC220" s="466"/>
      <c r="DD220" s="466"/>
      <c r="DE220" s="466"/>
      <c r="DF220" s="466"/>
      <c r="DG220" s="466"/>
      <c r="FE220" s="527"/>
      <c r="FF220" s="466"/>
      <c r="FG220" s="466"/>
      <c r="FH220" s="466"/>
      <c r="FI220" s="466"/>
      <c r="FJ220" s="466"/>
      <c r="FK220" s="466"/>
      <c r="FL220" s="466"/>
      <c r="FM220" s="466"/>
      <c r="FN220" s="466"/>
      <c r="FO220" s="466"/>
      <c r="FP220" s="466"/>
      <c r="FQ220" s="466"/>
      <c r="FR220" s="466"/>
      <c r="FS220" s="466"/>
      <c r="FT220" s="466"/>
      <c r="FU220" s="466"/>
      <c r="FV220" s="466"/>
      <c r="FW220" s="466"/>
      <c r="FX220" s="466"/>
      <c r="FY220" s="466"/>
      <c r="FZ220" s="527"/>
      <c r="GA220" s="527"/>
      <c r="GB220" s="527"/>
      <c r="GC220" s="527"/>
      <c r="GD220" s="527"/>
      <c r="GE220" s="527"/>
      <c r="GF220" s="527"/>
      <c r="GG220" s="527"/>
      <c r="GH220" s="527"/>
      <c r="GI220" s="527"/>
      <c r="GJ220" s="527"/>
      <c r="GK220" s="527"/>
      <c r="GL220" s="527"/>
      <c r="GM220" s="527"/>
      <c r="GN220" s="527"/>
      <c r="GV220" s="527"/>
      <c r="GW220" s="527"/>
      <c r="GX220" s="527"/>
      <c r="GY220" s="527"/>
      <c r="GZ220" s="527"/>
      <c r="HA220" s="527"/>
      <c r="HB220" s="527"/>
      <c r="HC220" s="527"/>
      <c r="HD220" s="527"/>
      <c r="HE220" s="844"/>
      <c r="HF220" s="844"/>
      <c r="HG220" s="844"/>
      <c r="HH220" s="844"/>
      <c r="HI220" s="844"/>
      <c r="HJ220" s="844"/>
      <c r="HK220" s="844"/>
      <c r="HL220" s="844"/>
      <c r="HM220" s="844"/>
      <c r="HN220" s="844"/>
      <c r="HP220" s="466"/>
      <c r="HQ220" s="466"/>
      <c r="HR220" s="466"/>
      <c r="HS220" s="415"/>
      <c r="HT220" s="2292"/>
    </row>
    <row r="221" spans="3:228">
      <c r="C221" s="466"/>
      <c r="D221" s="466"/>
      <c r="E221" s="466"/>
      <c r="F221" s="466"/>
      <c r="G221" s="466"/>
      <c r="H221" s="466"/>
      <c r="I221" s="466"/>
      <c r="J221" s="466"/>
      <c r="K221" s="466"/>
      <c r="L221" s="466"/>
      <c r="M221" s="466"/>
      <c r="N221" s="466"/>
      <c r="O221" s="466"/>
      <c r="P221" s="510"/>
      <c r="Q221" s="510"/>
      <c r="R221" s="510"/>
      <c r="S221" s="510"/>
      <c r="T221" s="510"/>
      <c r="U221" s="510"/>
      <c r="V221" s="510"/>
      <c r="W221" s="510"/>
      <c r="X221" s="510"/>
      <c r="Y221" s="510"/>
      <c r="Z221" s="510"/>
      <c r="AA221" s="510"/>
      <c r="AB221" s="510"/>
      <c r="AC221" s="510"/>
      <c r="AD221" s="510"/>
      <c r="AE221" s="510"/>
      <c r="AF221" s="510"/>
      <c r="AG221" s="510"/>
      <c r="AH221" s="510"/>
      <c r="AI221" s="510"/>
      <c r="AJ221" s="510"/>
      <c r="AK221" s="510"/>
      <c r="AL221" s="510"/>
      <c r="AM221" s="510"/>
      <c r="AN221" s="510"/>
      <c r="AO221" s="510"/>
      <c r="AP221" s="510"/>
      <c r="AQ221" s="510"/>
      <c r="AR221" s="510"/>
      <c r="AS221" s="510"/>
      <c r="AT221" s="510"/>
      <c r="AU221" s="510"/>
      <c r="AV221" s="510"/>
      <c r="AW221" s="510"/>
      <c r="AX221" s="510"/>
      <c r="AY221" s="510"/>
      <c r="AZ221" s="466"/>
      <c r="BA221" s="466"/>
      <c r="BB221" s="466"/>
      <c r="BC221" s="466"/>
      <c r="BD221" s="466"/>
      <c r="BE221" s="466"/>
      <c r="BF221" s="466"/>
      <c r="BG221" s="466"/>
      <c r="BH221" s="466"/>
      <c r="BI221" s="466"/>
      <c r="BJ221" s="466"/>
      <c r="BK221" s="466"/>
      <c r="BL221" s="466"/>
      <c r="BM221" s="466"/>
      <c r="BN221" s="466"/>
      <c r="BO221" s="466"/>
      <c r="BP221" s="466"/>
      <c r="BQ221" s="466"/>
      <c r="BR221" s="466"/>
      <c r="BS221" s="466"/>
      <c r="BT221" s="466"/>
      <c r="BU221" s="466"/>
      <c r="BV221" s="466"/>
      <c r="BW221" s="466"/>
      <c r="BX221" s="466"/>
      <c r="BY221" s="466"/>
      <c r="BZ221" s="466"/>
      <c r="CA221" s="466"/>
      <c r="CB221" s="466"/>
      <c r="CC221" s="466"/>
      <c r="CD221" s="466"/>
      <c r="CE221" s="466"/>
      <c r="CF221" s="466"/>
      <c r="CG221" s="466"/>
      <c r="CH221" s="466"/>
      <c r="CI221" s="466"/>
      <c r="CJ221" s="466"/>
      <c r="CK221" s="466"/>
      <c r="CL221" s="466"/>
      <c r="CM221" s="466"/>
      <c r="CN221" s="466"/>
      <c r="CO221" s="466"/>
      <c r="CP221" s="466"/>
      <c r="CQ221" s="466"/>
      <c r="CR221" s="466"/>
      <c r="CS221" s="466"/>
      <c r="CT221" s="466"/>
      <c r="CU221" s="466"/>
      <c r="CV221" s="466"/>
      <c r="CW221" s="466"/>
      <c r="CX221" s="466"/>
      <c r="CY221" s="466"/>
      <c r="CZ221" s="466"/>
      <c r="DA221" s="466"/>
      <c r="DB221" s="466"/>
      <c r="DC221" s="466"/>
      <c r="DD221" s="466"/>
      <c r="DE221" s="466"/>
      <c r="DF221" s="466"/>
      <c r="DG221" s="466"/>
      <c r="FE221" s="527"/>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527"/>
      <c r="GA221" s="527"/>
      <c r="GB221" s="527"/>
      <c r="GC221" s="527"/>
      <c r="GD221" s="527"/>
      <c r="GE221" s="527"/>
      <c r="GF221" s="527"/>
      <c r="GG221" s="527"/>
      <c r="GH221" s="527"/>
      <c r="GI221" s="527"/>
      <c r="GJ221" s="527"/>
      <c r="GK221" s="527"/>
      <c r="GL221" s="527"/>
      <c r="GM221" s="527"/>
      <c r="GN221" s="527"/>
      <c r="GV221" s="527"/>
      <c r="GW221" s="527"/>
      <c r="GX221" s="527"/>
      <c r="GY221" s="527"/>
      <c r="GZ221" s="527"/>
      <c r="HA221" s="527"/>
      <c r="HB221" s="527"/>
      <c r="HC221" s="527"/>
      <c r="HD221" s="527"/>
      <c r="HE221" s="844"/>
      <c r="HF221" s="844"/>
      <c r="HG221" s="844"/>
      <c r="HH221" s="844"/>
      <c r="HI221" s="844"/>
      <c r="HJ221" s="844"/>
      <c r="HK221" s="844"/>
      <c r="HL221" s="844"/>
      <c r="HM221" s="844"/>
      <c r="HN221" s="844"/>
      <c r="HP221" s="466"/>
      <c r="HQ221" s="466"/>
      <c r="HR221" s="466"/>
      <c r="HS221" s="415"/>
      <c r="HT221" s="2292"/>
    </row>
    <row r="222" spans="3:228">
      <c r="C222" s="466"/>
      <c r="D222" s="466"/>
      <c r="E222" s="466"/>
      <c r="F222" s="466"/>
      <c r="G222" s="466"/>
      <c r="H222" s="466"/>
      <c r="I222" s="466"/>
      <c r="J222" s="466"/>
      <c r="K222" s="466"/>
      <c r="L222" s="466"/>
      <c r="M222" s="466"/>
      <c r="N222" s="466"/>
      <c r="O222" s="466"/>
      <c r="P222" s="510"/>
      <c r="Q222" s="510"/>
      <c r="R222" s="510"/>
      <c r="S222" s="510"/>
      <c r="T222" s="510"/>
      <c r="U222" s="510"/>
      <c r="V222" s="510"/>
      <c r="W222" s="510"/>
      <c r="X222" s="510"/>
      <c r="Y222" s="510"/>
      <c r="Z222" s="510"/>
      <c r="AA222" s="510"/>
      <c r="AB222" s="510"/>
      <c r="AC222" s="510"/>
      <c r="AD222" s="510"/>
      <c r="AE222" s="510"/>
      <c r="AF222" s="510"/>
      <c r="AG222" s="510"/>
      <c r="AH222" s="510"/>
      <c r="AI222" s="510"/>
      <c r="AJ222" s="510"/>
      <c r="AK222" s="510"/>
      <c r="AL222" s="510"/>
      <c r="AM222" s="510"/>
      <c r="AN222" s="510"/>
      <c r="AO222" s="510"/>
      <c r="AP222" s="510"/>
      <c r="AQ222" s="510"/>
      <c r="AR222" s="510"/>
      <c r="AS222" s="510"/>
      <c r="AT222" s="510"/>
      <c r="AU222" s="510"/>
      <c r="AV222" s="510"/>
      <c r="AW222" s="510"/>
      <c r="AX222" s="510"/>
      <c r="AY222" s="510"/>
      <c r="AZ222" s="466"/>
      <c r="BA222" s="466"/>
      <c r="BB222" s="466"/>
      <c r="BC222" s="466"/>
      <c r="BD222" s="466"/>
      <c r="BE222" s="466"/>
      <c r="BF222" s="466"/>
      <c r="BG222" s="466"/>
      <c r="BH222" s="466"/>
      <c r="BI222" s="466"/>
      <c r="BJ222" s="466"/>
      <c r="BK222" s="466"/>
      <c r="BL222" s="466"/>
      <c r="BM222" s="466"/>
      <c r="BN222" s="466"/>
      <c r="BO222" s="466"/>
      <c r="BP222" s="466"/>
      <c r="BQ222" s="466"/>
      <c r="BR222" s="466"/>
      <c r="BS222" s="466"/>
      <c r="BT222" s="466"/>
      <c r="BU222" s="466"/>
      <c r="BV222" s="466"/>
      <c r="BW222" s="466"/>
      <c r="BX222" s="466"/>
      <c r="BY222" s="466"/>
      <c r="BZ222" s="466"/>
      <c r="CA222" s="466"/>
      <c r="CB222" s="466"/>
      <c r="CC222" s="466"/>
      <c r="CD222" s="466"/>
      <c r="CE222" s="466"/>
      <c r="CF222" s="466"/>
      <c r="CG222" s="466"/>
      <c r="CH222" s="466"/>
      <c r="CI222" s="466"/>
      <c r="CJ222" s="466"/>
      <c r="CK222" s="466"/>
      <c r="CL222" s="466"/>
      <c r="CM222" s="466"/>
      <c r="CN222" s="466"/>
      <c r="CO222" s="466"/>
      <c r="CP222" s="466"/>
      <c r="CQ222" s="466"/>
      <c r="CR222" s="466"/>
      <c r="CS222" s="466"/>
      <c r="CT222" s="466"/>
      <c r="CU222" s="466"/>
      <c r="CV222" s="466"/>
      <c r="CW222" s="466"/>
      <c r="CX222" s="466"/>
      <c r="CY222" s="466"/>
      <c r="CZ222" s="466"/>
      <c r="DA222" s="466"/>
      <c r="DB222" s="466"/>
      <c r="DC222" s="466"/>
      <c r="DD222" s="466"/>
      <c r="DE222" s="466"/>
      <c r="DF222" s="466"/>
      <c r="DG222" s="466"/>
      <c r="FE222" s="527"/>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527"/>
      <c r="GA222" s="527"/>
      <c r="GB222" s="527"/>
      <c r="GC222" s="527"/>
      <c r="GD222" s="527"/>
      <c r="GE222" s="527"/>
      <c r="GF222" s="527"/>
      <c r="GG222" s="527"/>
      <c r="GH222" s="527"/>
      <c r="GI222" s="527"/>
      <c r="GJ222" s="527"/>
      <c r="GK222" s="527"/>
      <c r="GL222" s="527"/>
      <c r="GM222" s="527"/>
      <c r="GN222" s="527"/>
      <c r="GV222" s="527"/>
      <c r="GW222" s="527"/>
      <c r="GX222" s="527"/>
      <c r="GY222" s="527"/>
      <c r="GZ222" s="527"/>
      <c r="HA222" s="527"/>
      <c r="HB222" s="527"/>
      <c r="HC222" s="527"/>
      <c r="HD222" s="527"/>
      <c r="HE222" s="844"/>
      <c r="HF222" s="844"/>
      <c r="HG222" s="844"/>
      <c r="HH222" s="844"/>
      <c r="HI222" s="844"/>
      <c r="HJ222" s="844"/>
      <c r="HK222" s="844"/>
      <c r="HL222" s="844"/>
      <c r="HM222" s="844"/>
      <c r="HN222" s="844"/>
      <c r="HP222" s="466"/>
      <c r="HQ222" s="466"/>
      <c r="HR222" s="466"/>
      <c r="HS222" s="415"/>
      <c r="HT222" s="2292"/>
    </row>
    <row r="223" spans="3:228">
      <c r="C223" s="466"/>
      <c r="D223" s="466"/>
      <c r="E223" s="466"/>
      <c r="F223" s="466"/>
      <c r="G223" s="466"/>
      <c r="H223" s="466"/>
      <c r="I223" s="466"/>
      <c r="J223" s="466"/>
      <c r="K223" s="466"/>
      <c r="L223" s="466"/>
      <c r="M223" s="466"/>
      <c r="N223" s="466"/>
      <c r="O223" s="466"/>
      <c r="P223" s="510"/>
      <c r="Q223" s="510"/>
      <c r="R223" s="510"/>
      <c r="S223" s="510"/>
      <c r="T223" s="510"/>
      <c r="U223" s="510"/>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466"/>
      <c r="BA223" s="466"/>
      <c r="BB223" s="466"/>
      <c r="BC223" s="466"/>
      <c r="BD223" s="466"/>
      <c r="BE223" s="466"/>
      <c r="BF223" s="466"/>
      <c r="BG223" s="466"/>
      <c r="BH223" s="466"/>
      <c r="BI223" s="466"/>
      <c r="BJ223" s="466"/>
      <c r="BK223" s="466"/>
      <c r="BL223" s="466"/>
      <c r="BM223" s="466"/>
      <c r="BN223" s="466"/>
      <c r="BO223" s="466"/>
      <c r="BP223" s="466"/>
      <c r="BQ223" s="466"/>
      <c r="BR223" s="466"/>
      <c r="BS223" s="466"/>
      <c r="BT223" s="466"/>
      <c r="BU223" s="466"/>
      <c r="BV223" s="466"/>
      <c r="BW223" s="466"/>
      <c r="BX223" s="466"/>
      <c r="BY223" s="466"/>
      <c r="BZ223" s="466"/>
      <c r="CA223" s="466"/>
      <c r="CB223" s="466"/>
      <c r="CC223" s="466"/>
      <c r="CD223" s="466"/>
      <c r="CE223" s="466"/>
      <c r="CF223" s="466"/>
      <c r="CG223" s="466"/>
      <c r="CH223" s="466"/>
      <c r="CI223" s="466"/>
      <c r="CJ223" s="466"/>
      <c r="CK223" s="466"/>
      <c r="CL223" s="466"/>
      <c r="CM223" s="466"/>
      <c r="CN223" s="466"/>
      <c r="CO223" s="466"/>
      <c r="CP223" s="466"/>
      <c r="CQ223" s="466"/>
      <c r="CR223" s="466"/>
      <c r="CS223" s="466"/>
      <c r="CT223" s="466"/>
      <c r="CU223" s="466"/>
      <c r="CV223" s="466"/>
      <c r="CW223" s="466"/>
      <c r="CX223" s="466"/>
      <c r="CY223" s="466"/>
      <c r="CZ223" s="466"/>
      <c r="DA223" s="466"/>
      <c r="DB223" s="466"/>
      <c r="DC223" s="466"/>
      <c r="DD223" s="466"/>
      <c r="DE223" s="466"/>
      <c r="DF223" s="466"/>
      <c r="DG223" s="466"/>
      <c r="FE223" s="527"/>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527"/>
      <c r="GA223" s="527"/>
      <c r="GB223" s="527"/>
      <c r="GC223" s="527"/>
      <c r="GD223" s="527"/>
      <c r="GE223" s="527"/>
      <c r="GF223" s="527"/>
      <c r="GG223" s="527"/>
      <c r="GH223" s="527"/>
      <c r="GI223" s="527"/>
      <c r="GJ223" s="527"/>
      <c r="GK223" s="527"/>
      <c r="GL223" s="527"/>
      <c r="GM223" s="527"/>
      <c r="GN223" s="527"/>
      <c r="GV223" s="527"/>
      <c r="GW223" s="527"/>
      <c r="GX223" s="527"/>
      <c r="GY223" s="527"/>
      <c r="GZ223" s="527"/>
      <c r="HA223" s="527"/>
      <c r="HB223" s="527"/>
      <c r="HC223" s="527"/>
      <c r="HD223" s="527"/>
      <c r="HE223" s="844"/>
      <c r="HF223" s="844"/>
      <c r="HG223" s="844"/>
      <c r="HH223" s="844"/>
      <c r="HI223" s="844"/>
      <c r="HJ223" s="844"/>
      <c r="HK223" s="844"/>
      <c r="HL223" s="844"/>
      <c r="HM223" s="844"/>
      <c r="HN223" s="844"/>
      <c r="HP223" s="466"/>
      <c r="HQ223" s="466"/>
      <c r="HR223" s="466"/>
      <c r="HS223" s="415"/>
      <c r="HT223" s="2292"/>
    </row>
    <row r="224" spans="3:228">
      <c r="C224" s="466"/>
      <c r="D224" s="466"/>
      <c r="E224" s="466"/>
      <c r="F224" s="466"/>
      <c r="G224" s="466"/>
      <c r="H224" s="466"/>
      <c r="I224" s="466"/>
      <c r="J224" s="466"/>
      <c r="K224" s="466"/>
      <c r="L224" s="466"/>
      <c r="M224" s="466"/>
      <c r="N224" s="466"/>
      <c r="O224" s="466"/>
      <c r="P224" s="510"/>
      <c r="Q224" s="510"/>
      <c r="R224" s="510"/>
      <c r="S224" s="510"/>
      <c r="T224" s="510"/>
      <c r="U224" s="510"/>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466"/>
      <c r="BA224" s="466"/>
      <c r="BB224" s="466"/>
      <c r="BC224" s="466"/>
      <c r="BD224" s="466"/>
      <c r="BE224" s="466"/>
      <c r="BF224" s="466"/>
      <c r="BG224" s="466"/>
      <c r="BH224" s="466"/>
      <c r="BI224" s="466"/>
      <c r="BJ224" s="466"/>
      <c r="BK224" s="466"/>
      <c r="BL224" s="466"/>
      <c r="BM224" s="466"/>
      <c r="BN224" s="466"/>
      <c r="BO224" s="466"/>
      <c r="BP224" s="466"/>
      <c r="BQ224" s="466"/>
      <c r="BR224" s="466"/>
      <c r="BS224" s="466"/>
      <c r="BT224" s="466"/>
      <c r="BU224" s="466"/>
      <c r="BV224" s="466"/>
      <c r="BW224" s="466"/>
      <c r="BX224" s="466"/>
      <c r="BY224" s="466"/>
      <c r="BZ224" s="466"/>
      <c r="CA224" s="466"/>
      <c r="CB224" s="466"/>
      <c r="CC224" s="466"/>
      <c r="CD224" s="466"/>
      <c r="CE224" s="466"/>
      <c r="CF224" s="466"/>
      <c r="CG224" s="466"/>
      <c r="CH224" s="466"/>
      <c r="CI224" s="466"/>
      <c r="CJ224" s="466"/>
      <c r="CK224" s="466"/>
      <c r="CL224" s="466"/>
      <c r="CM224" s="466"/>
      <c r="CN224" s="466"/>
      <c r="CO224" s="466"/>
      <c r="CP224" s="466"/>
      <c r="CQ224" s="466"/>
      <c r="CR224" s="466"/>
      <c r="CS224" s="466"/>
      <c r="CT224" s="466"/>
      <c r="CU224" s="466"/>
      <c r="CV224" s="466"/>
      <c r="CW224" s="466"/>
      <c r="CX224" s="466"/>
      <c r="CY224" s="466"/>
      <c r="CZ224" s="466"/>
      <c r="DA224" s="466"/>
      <c r="DB224" s="466"/>
      <c r="DC224" s="466"/>
      <c r="DD224" s="466"/>
      <c r="DE224" s="466"/>
      <c r="DF224" s="466"/>
      <c r="DG224" s="466"/>
      <c r="FE224" s="527"/>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527"/>
      <c r="GA224" s="527"/>
      <c r="GB224" s="527"/>
      <c r="GC224" s="527"/>
      <c r="GD224" s="527"/>
      <c r="GE224" s="527"/>
      <c r="GF224" s="527"/>
      <c r="GG224" s="527"/>
      <c r="GH224" s="527"/>
      <c r="GI224" s="527"/>
      <c r="GJ224" s="527"/>
      <c r="GK224" s="527"/>
      <c r="GL224" s="527"/>
      <c r="GM224" s="527"/>
      <c r="GN224" s="527"/>
      <c r="GV224" s="527"/>
      <c r="GW224" s="527"/>
      <c r="GX224" s="527"/>
      <c r="GY224" s="527"/>
      <c r="GZ224" s="527"/>
      <c r="HA224" s="527"/>
      <c r="HB224" s="527"/>
      <c r="HC224" s="527"/>
      <c r="HD224" s="527"/>
      <c r="HE224" s="844"/>
      <c r="HF224" s="844"/>
      <c r="HG224" s="844"/>
      <c r="HH224" s="844"/>
      <c r="HI224" s="844"/>
      <c r="HJ224" s="844"/>
      <c r="HK224" s="844"/>
      <c r="HL224" s="844"/>
      <c r="HM224" s="844"/>
      <c r="HN224" s="844"/>
      <c r="HP224" s="466"/>
      <c r="HQ224" s="466"/>
      <c r="HR224" s="466"/>
      <c r="HS224" s="415"/>
      <c r="HT224" s="2292"/>
    </row>
    <row r="225" spans="3:228">
      <c r="C225" s="466"/>
      <c r="D225" s="466"/>
      <c r="E225" s="466"/>
      <c r="F225" s="466"/>
      <c r="G225" s="466"/>
      <c r="H225" s="466"/>
      <c r="I225" s="466"/>
      <c r="J225" s="466"/>
      <c r="K225" s="466"/>
      <c r="L225" s="466"/>
      <c r="M225" s="466"/>
      <c r="N225" s="466"/>
      <c r="O225" s="466"/>
      <c r="P225" s="510"/>
      <c r="Q225" s="510"/>
      <c r="R225" s="510"/>
      <c r="S225" s="510"/>
      <c r="T225" s="510"/>
      <c r="U225" s="510"/>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466"/>
      <c r="BA225" s="466"/>
      <c r="BB225" s="466"/>
      <c r="BC225" s="466"/>
      <c r="BD225" s="466"/>
      <c r="BE225" s="466"/>
      <c r="BF225" s="466"/>
      <c r="BG225" s="466"/>
      <c r="BH225" s="466"/>
      <c r="BI225" s="466"/>
      <c r="BJ225" s="466"/>
      <c r="BK225" s="466"/>
      <c r="BL225" s="466"/>
      <c r="BM225" s="466"/>
      <c r="BN225" s="466"/>
      <c r="BO225" s="466"/>
      <c r="BP225" s="466"/>
      <c r="BQ225" s="466"/>
      <c r="BR225" s="466"/>
      <c r="BS225" s="466"/>
      <c r="BT225" s="466"/>
      <c r="BU225" s="466"/>
      <c r="BV225" s="466"/>
      <c r="BW225" s="466"/>
      <c r="BX225" s="466"/>
      <c r="BY225" s="466"/>
      <c r="BZ225" s="466"/>
      <c r="CA225" s="466"/>
      <c r="CB225" s="466"/>
      <c r="CC225" s="466"/>
      <c r="CD225" s="466"/>
      <c r="CE225" s="466"/>
      <c r="CF225" s="466"/>
      <c r="CG225" s="466"/>
      <c r="CH225" s="466"/>
      <c r="CI225" s="466"/>
      <c r="CJ225" s="466"/>
      <c r="CK225" s="466"/>
      <c r="CL225" s="466"/>
      <c r="CM225" s="466"/>
      <c r="CN225" s="466"/>
      <c r="CO225" s="466"/>
      <c r="CP225" s="466"/>
      <c r="CQ225" s="466"/>
      <c r="CR225" s="466"/>
      <c r="CS225" s="466"/>
      <c r="CT225" s="466"/>
      <c r="CU225" s="466"/>
      <c r="CV225" s="466"/>
      <c r="CW225" s="466"/>
      <c r="CX225" s="466"/>
      <c r="CY225" s="466"/>
      <c r="CZ225" s="466"/>
      <c r="DA225" s="466"/>
      <c r="DB225" s="466"/>
      <c r="DC225" s="466"/>
      <c r="DD225" s="466"/>
      <c r="DE225" s="466"/>
      <c r="DF225" s="466"/>
      <c r="DG225" s="466"/>
      <c r="FE225" s="527"/>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527"/>
      <c r="GA225" s="527"/>
      <c r="GB225" s="527"/>
      <c r="GC225" s="527"/>
      <c r="GD225" s="527"/>
      <c r="GE225" s="527"/>
      <c r="GF225" s="527"/>
      <c r="GG225" s="527"/>
      <c r="GH225" s="527"/>
      <c r="GI225" s="527"/>
      <c r="GJ225" s="527"/>
      <c r="GK225" s="527"/>
      <c r="GL225" s="527"/>
      <c r="GM225" s="527"/>
      <c r="GN225" s="527"/>
      <c r="GV225" s="527"/>
      <c r="GW225" s="527"/>
      <c r="GX225" s="527"/>
      <c r="GY225" s="527"/>
      <c r="GZ225" s="527"/>
      <c r="HA225" s="527"/>
      <c r="HB225" s="527"/>
      <c r="HC225" s="527"/>
      <c r="HD225" s="527"/>
      <c r="HE225" s="844"/>
      <c r="HF225" s="844"/>
      <c r="HG225" s="844"/>
      <c r="HH225" s="844"/>
      <c r="HI225" s="844"/>
      <c r="HJ225" s="844"/>
      <c r="HK225" s="844"/>
      <c r="HL225" s="844"/>
      <c r="HM225" s="844"/>
      <c r="HN225" s="844"/>
      <c r="HP225" s="466"/>
      <c r="HQ225" s="466"/>
      <c r="HR225" s="466"/>
      <c r="HS225" s="415"/>
      <c r="HT225" s="2292"/>
    </row>
    <row r="226" spans="3:228">
      <c r="C226" s="466"/>
      <c r="D226" s="466"/>
      <c r="E226" s="466"/>
      <c r="F226" s="466"/>
      <c r="G226" s="466"/>
      <c r="H226" s="466"/>
      <c r="I226" s="466"/>
      <c r="J226" s="466"/>
      <c r="K226" s="466"/>
      <c r="L226" s="466"/>
      <c r="M226" s="466"/>
      <c r="N226" s="466"/>
      <c r="O226" s="466"/>
      <c r="P226" s="510"/>
      <c r="Q226" s="510"/>
      <c r="R226" s="510"/>
      <c r="S226" s="510"/>
      <c r="T226" s="510"/>
      <c r="U226" s="510"/>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466"/>
      <c r="BA226" s="466"/>
      <c r="BB226" s="466"/>
      <c r="BC226" s="466"/>
      <c r="BD226" s="466"/>
      <c r="BE226" s="466"/>
      <c r="BF226" s="466"/>
      <c r="BG226" s="466"/>
      <c r="BH226" s="466"/>
      <c r="BI226" s="466"/>
      <c r="BJ226" s="466"/>
      <c r="BK226" s="466"/>
      <c r="BL226" s="466"/>
      <c r="BM226" s="466"/>
      <c r="BN226" s="466"/>
      <c r="BO226" s="466"/>
      <c r="BP226" s="466"/>
      <c r="BQ226" s="466"/>
      <c r="BR226" s="466"/>
      <c r="BS226" s="466"/>
      <c r="BT226" s="466"/>
      <c r="BU226" s="466"/>
      <c r="BV226" s="466"/>
      <c r="BW226" s="466"/>
      <c r="BX226" s="466"/>
      <c r="BY226" s="466"/>
      <c r="BZ226" s="466"/>
      <c r="CA226" s="466"/>
      <c r="CB226" s="466"/>
      <c r="CC226" s="466"/>
      <c r="CD226" s="466"/>
      <c r="CE226" s="466"/>
      <c r="CF226" s="466"/>
      <c r="CG226" s="466"/>
      <c r="CH226" s="466"/>
      <c r="CI226" s="466"/>
      <c r="CJ226" s="466"/>
      <c r="CK226" s="466"/>
      <c r="CL226" s="466"/>
      <c r="CM226" s="466"/>
      <c r="CN226" s="466"/>
      <c r="CO226" s="466"/>
      <c r="CP226" s="466"/>
      <c r="CQ226" s="466"/>
      <c r="CR226" s="466"/>
      <c r="CS226" s="466"/>
      <c r="CT226" s="466"/>
      <c r="CU226" s="466"/>
      <c r="CV226" s="466"/>
      <c r="CW226" s="466"/>
      <c r="CX226" s="466"/>
      <c r="CY226" s="466"/>
      <c r="CZ226" s="466"/>
      <c r="DA226" s="466"/>
      <c r="DB226" s="466"/>
      <c r="DC226" s="466"/>
      <c r="DD226" s="466"/>
      <c r="DE226" s="466"/>
      <c r="DF226" s="466"/>
      <c r="DG226" s="466"/>
      <c r="FE226" s="527"/>
      <c r="FF226" s="466"/>
      <c r="FG226" s="466"/>
      <c r="FH226" s="466"/>
      <c r="FI226" s="466"/>
      <c r="FJ226" s="466"/>
      <c r="FK226" s="466"/>
      <c r="FL226" s="466"/>
      <c r="FM226" s="466"/>
      <c r="FN226" s="466"/>
      <c r="FO226" s="466"/>
      <c r="FP226" s="466"/>
      <c r="FQ226" s="466"/>
      <c r="FR226" s="466"/>
      <c r="FS226" s="466"/>
      <c r="FT226" s="466"/>
      <c r="FU226" s="466"/>
      <c r="FV226" s="466"/>
      <c r="FW226" s="466"/>
      <c r="FX226" s="466"/>
      <c r="FY226" s="466"/>
      <c r="FZ226" s="527"/>
      <c r="GA226" s="527"/>
      <c r="GB226" s="527"/>
      <c r="GC226" s="527"/>
      <c r="GD226" s="527"/>
      <c r="GE226" s="527"/>
      <c r="GF226" s="527"/>
      <c r="GG226" s="527"/>
      <c r="GH226" s="527"/>
      <c r="GI226" s="527"/>
      <c r="GJ226" s="527"/>
      <c r="GK226" s="527"/>
      <c r="GL226" s="527"/>
      <c r="GM226" s="527"/>
      <c r="GN226" s="527"/>
      <c r="GV226" s="527"/>
      <c r="GW226" s="527"/>
      <c r="GX226" s="527"/>
      <c r="GY226" s="527"/>
      <c r="GZ226" s="527"/>
      <c r="HA226" s="527"/>
      <c r="HB226" s="527"/>
      <c r="HC226" s="527"/>
      <c r="HD226" s="527"/>
      <c r="HE226" s="844"/>
      <c r="HF226" s="844"/>
      <c r="HG226" s="844"/>
      <c r="HH226" s="844"/>
      <c r="HI226" s="844"/>
      <c r="HJ226" s="844"/>
      <c r="HK226" s="844"/>
      <c r="HL226" s="844"/>
      <c r="HM226" s="844"/>
      <c r="HN226" s="844"/>
      <c r="HP226" s="466"/>
      <c r="HQ226" s="466"/>
      <c r="HR226" s="466"/>
      <c r="HS226" s="415"/>
      <c r="HT226" s="2292"/>
    </row>
    <row r="227" spans="3:228">
      <c r="C227" s="466"/>
      <c r="D227" s="466"/>
      <c r="E227" s="466"/>
      <c r="F227" s="466"/>
      <c r="G227" s="466"/>
      <c r="H227" s="466"/>
      <c r="I227" s="466"/>
      <c r="J227" s="466"/>
      <c r="K227" s="466"/>
      <c r="L227" s="466"/>
      <c r="M227" s="466"/>
      <c r="N227" s="466"/>
      <c r="O227" s="466"/>
      <c r="P227" s="510"/>
      <c r="Q227" s="510"/>
      <c r="R227" s="510"/>
      <c r="S227" s="510"/>
      <c r="T227" s="510"/>
      <c r="U227" s="510"/>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466"/>
      <c r="BA227" s="466"/>
      <c r="BB227" s="466"/>
      <c r="BC227" s="466"/>
      <c r="BD227" s="466"/>
      <c r="BE227" s="466"/>
      <c r="BF227" s="466"/>
      <c r="BG227" s="466"/>
      <c r="BH227" s="466"/>
      <c r="BI227" s="466"/>
      <c r="BJ227" s="466"/>
      <c r="BK227" s="466"/>
      <c r="BL227" s="466"/>
      <c r="BM227" s="466"/>
      <c r="BN227" s="466"/>
      <c r="BO227" s="466"/>
      <c r="BP227" s="466"/>
      <c r="BQ227" s="466"/>
      <c r="BR227" s="466"/>
      <c r="BS227" s="466"/>
      <c r="BT227" s="466"/>
      <c r="BU227" s="466"/>
      <c r="BV227" s="466"/>
      <c r="BW227" s="466"/>
      <c r="BX227" s="466"/>
      <c r="BY227" s="466"/>
      <c r="BZ227" s="466"/>
      <c r="CA227" s="466"/>
      <c r="CB227" s="466"/>
      <c r="CC227" s="466"/>
      <c r="CD227" s="466"/>
      <c r="CE227" s="466"/>
      <c r="CF227" s="466"/>
      <c r="CG227" s="466"/>
      <c r="CH227" s="466"/>
      <c r="CI227" s="466"/>
      <c r="CJ227" s="466"/>
      <c r="CK227" s="466"/>
      <c r="CL227" s="466"/>
      <c r="CM227" s="466"/>
      <c r="CN227" s="466"/>
      <c r="CO227" s="466"/>
      <c r="CP227" s="466"/>
      <c r="CQ227" s="466"/>
      <c r="CR227" s="466"/>
      <c r="CS227" s="466"/>
      <c r="CT227" s="466"/>
      <c r="CU227" s="466"/>
      <c r="CV227" s="466"/>
      <c r="CW227" s="466"/>
      <c r="CX227" s="466"/>
      <c r="CY227" s="466"/>
      <c r="CZ227" s="466"/>
      <c r="DA227" s="466"/>
      <c r="DB227" s="466"/>
      <c r="DC227" s="466"/>
      <c r="DD227" s="466"/>
      <c r="DE227" s="466"/>
      <c r="DF227" s="466"/>
      <c r="DG227" s="466"/>
      <c r="FE227" s="527"/>
      <c r="FF227" s="466"/>
      <c r="FG227" s="466"/>
      <c r="FH227" s="466"/>
      <c r="FI227" s="466"/>
      <c r="FJ227" s="466"/>
      <c r="FK227" s="466"/>
      <c r="FL227" s="466"/>
      <c r="FM227" s="466"/>
      <c r="FN227" s="466"/>
      <c r="FO227" s="466"/>
      <c r="FP227" s="466"/>
      <c r="FQ227" s="466"/>
      <c r="FR227" s="466"/>
      <c r="FS227" s="466"/>
      <c r="FT227" s="466"/>
      <c r="FU227" s="466"/>
      <c r="FV227" s="466"/>
      <c r="FW227" s="466"/>
      <c r="FX227" s="466"/>
      <c r="FY227" s="466"/>
      <c r="FZ227" s="527"/>
      <c r="GA227" s="527"/>
      <c r="GB227" s="527"/>
      <c r="GC227" s="527"/>
      <c r="GD227" s="527"/>
      <c r="GE227" s="527"/>
      <c r="GF227" s="527"/>
      <c r="GG227" s="527"/>
      <c r="GH227" s="527"/>
      <c r="GI227" s="527"/>
      <c r="GJ227" s="527"/>
      <c r="GK227" s="527"/>
      <c r="GL227" s="527"/>
      <c r="GM227" s="527"/>
      <c r="GN227" s="527"/>
      <c r="GV227" s="527"/>
      <c r="GW227" s="527"/>
      <c r="GX227" s="527"/>
      <c r="GY227" s="527"/>
      <c r="GZ227" s="527"/>
      <c r="HA227" s="527"/>
      <c r="HB227" s="527"/>
      <c r="HC227" s="527"/>
      <c r="HD227" s="527"/>
      <c r="HE227" s="844"/>
      <c r="HF227" s="844"/>
      <c r="HG227" s="844"/>
      <c r="HH227" s="844"/>
      <c r="HI227" s="844"/>
      <c r="HJ227" s="844"/>
      <c r="HK227" s="844"/>
      <c r="HL227" s="844"/>
      <c r="HM227" s="844"/>
      <c r="HN227" s="844"/>
      <c r="HP227" s="466"/>
      <c r="HQ227" s="466"/>
      <c r="HR227" s="466"/>
      <c r="HS227" s="415"/>
      <c r="HT227" s="2292"/>
    </row>
    <row r="228" spans="3:228">
      <c r="C228" s="466"/>
      <c r="D228" s="466"/>
      <c r="E228" s="466"/>
      <c r="F228" s="466"/>
      <c r="G228" s="466"/>
      <c r="H228" s="466"/>
      <c r="I228" s="466"/>
      <c r="J228" s="466"/>
      <c r="K228" s="466"/>
      <c r="L228" s="466"/>
      <c r="M228" s="466"/>
      <c r="N228" s="466"/>
      <c r="O228" s="466"/>
      <c r="P228" s="510"/>
      <c r="Q228" s="510"/>
      <c r="R228" s="510"/>
      <c r="S228" s="510"/>
      <c r="T228" s="510"/>
      <c r="U228" s="510"/>
      <c r="V228" s="510"/>
      <c r="W228" s="510"/>
      <c r="X228" s="510"/>
      <c r="Y228" s="510"/>
      <c r="Z228" s="510"/>
      <c r="AA228" s="510"/>
      <c r="AB228" s="510"/>
      <c r="AC228" s="510"/>
      <c r="AD228" s="510"/>
      <c r="AE228" s="510"/>
      <c r="AF228" s="510"/>
      <c r="AG228" s="510"/>
      <c r="AH228" s="510"/>
      <c r="AI228" s="510"/>
      <c r="AJ228" s="510"/>
      <c r="AK228" s="510"/>
      <c r="AL228" s="510"/>
      <c r="AM228" s="510"/>
      <c r="AN228" s="510"/>
      <c r="AO228" s="510"/>
      <c r="AP228" s="510"/>
      <c r="AQ228" s="510"/>
      <c r="AR228" s="510"/>
      <c r="AS228" s="510"/>
      <c r="AT228" s="510"/>
      <c r="AU228" s="510"/>
      <c r="AV228" s="510"/>
      <c r="AW228" s="510"/>
      <c r="AX228" s="510"/>
      <c r="AY228" s="510"/>
      <c r="AZ228" s="466"/>
      <c r="BA228" s="466"/>
      <c r="BB228" s="466"/>
      <c r="BC228" s="466"/>
      <c r="BD228" s="466"/>
      <c r="BE228" s="466"/>
      <c r="BF228" s="466"/>
      <c r="BG228" s="466"/>
      <c r="BH228" s="466"/>
      <c r="BI228" s="466"/>
      <c r="BJ228" s="466"/>
      <c r="BK228" s="466"/>
      <c r="BL228" s="466"/>
      <c r="BM228" s="466"/>
      <c r="BN228" s="466"/>
      <c r="BO228" s="466"/>
      <c r="BP228" s="466"/>
      <c r="BQ228" s="466"/>
      <c r="BR228" s="466"/>
      <c r="BS228" s="466"/>
      <c r="BT228" s="466"/>
      <c r="BU228" s="466"/>
      <c r="BV228" s="466"/>
      <c r="BW228" s="466"/>
      <c r="BX228" s="466"/>
      <c r="BY228" s="466"/>
      <c r="BZ228" s="466"/>
      <c r="CA228" s="466"/>
      <c r="CB228" s="466"/>
      <c r="CC228" s="466"/>
      <c r="CD228" s="466"/>
      <c r="CE228" s="466"/>
      <c r="CF228" s="466"/>
      <c r="CG228" s="466"/>
      <c r="CH228" s="466"/>
      <c r="CI228" s="466"/>
      <c r="CJ228" s="466"/>
      <c r="CK228" s="466"/>
      <c r="CL228" s="466"/>
      <c r="CM228" s="466"/>
      <c r="CN228" s="466"/>
      <c r="CO228" s="466"/>
      <c r="CP228" s="466"/>
      <c r="CQ228" s="466"/>
      <c r="CR228" s="466"/>
      <c r="CS228" s="466"/>
      <c r="CT228" s="466"/>
      <c r="CU228" s="466"/>
      <c r="CV228" s="466"/>
      <c r="CW228" s="466"/>
      <c r="CX228" s="466"/>
      <c r="CY228" s="466"/>
      <c r="CZ228" s="466"/>
      <c r="DA228" s="466"/>
      <c r="DB228" s="466"/>
      <c r="DC228" s="466"/>
      <c r="DD228" s="466"/>
      <c r="DE228" s="466"/>
      <c r="DF228" s="466"/>
      <c r="DG228" s="466"/>
      <c r="FE228" s="527"/>
      <c r="FF228" s="466"/>
      <c r="FG228" s="466"/>
      <c r="FH228" s="466"/>
      <c r="FI228" s="466"/>
      <c r="FJ228" s="466"/>
      <c r="FK228" s="466"/>
      <c r="FL228" s="466"/>
      <c r="FM228" s="466"/>
      <c r="FN228" s="466"/>
      <c r="FO228" s="466"/>
      <c r="FP228" s="466"/>
      <c r="FQ228" s="466"/>
      <c r="FR228" s="466"/>
      <c r="FS228" s="466"/>
      <c r="FT228" s="466"/>
      <c r="FU228" s="466"/>
      <c r="FV228" s="466"/>
      <c r="FW228" s="466"/>
      <c r="FX228" s="466"/>
      <c r="FY228" s="466"/>
      <c r="FZ228" s="527"/>
      <c r="GA228" s="527"/>
      <c r="GB228" s="527"/>
      <c r="GC228" s="527"/>
      <c r="GD228" s="527"/>
      <c r="GE228" s="527"/>
      <c r="GF228" s="527"/>
      <c r="GG228" s="527"/>
      <c r="GH228" s="527"/>
      <c r="GI228" s="527"/>
      <c r="GJ228" s="527"/>
      <c r="GK228" s="527"/>
      <c r="GL228" s="527"/>
      <c r="GM228" s="527"/>
      <c r="GN228" s="527"/>
      <c r="GV228" s="527"/>
      <c r="GW228" s="527"/>
      <c r="GX228" s="527"/>
      <c r="GY228" s="527"/>
      <c r="GZ228" s="527"/>
      <c r="HA228" s="527"/>
      <c r="HB228" s="527"/>
      <c r="HC228" s="527"/>
      <c r="HD228" s="527"/>
      <c r="HE228" s="844"/>
      <c r="HF228" s="844"/>
      <c r="HG228" s="844"/>
      <c r="HH228" s="844"/>
      <c r="HI228" s="844"/>
      <c r="HJ228" s="844"/>
      <c r="HK228" s="844"/>
      <c r="HL228" s="844"/>
      <c r="HM228" s="844"/>
      <c r="HN228" s="844"/>
      <c r="HP228" s="466"/>
      <c r="HQ228" s="466"/>
      <c r="HR228" s="466"/>
      <c r="HS228" s="415"/>
      <c r="HT228" s="2292"/>
    </row>
    <row r="229" spans="3:228">
      <c r="C229" s="466"/>
      <c r="D229" s="466"/>
      <c r="E229" s="466"/>
      <c r="F229" s="466"/>
      <c r="G229" s="466"/>
      <c r="H229" s="466"/>
      <c r="I229" s="466"/>
      <c r="J229" s="466"/>
      <c r="K229" s="466"/>
      <c r="L229" s="466"/>
      <c r="M229" s="466"/>
      <c r="N229" s="466"/>
      <c r="O229" s="466"/>
      <c r="P229" s="510"/>
      <c r="Q229" s="510"/>
      <c r="R229" s="510"/>
      <c r="S229" s="510"/>
      <c r="T229" s="510"/>
      <c r="U229" s="510"/>
      <c r="V229" s="510"/>
      <c r="W229" s="510"/>
      <c r="X229" s="510"/>
      <c r="Y229" s="510"/>
      <c r="Z229" s="510"/>
      <c r="AA229" s="510"/>
      <c r="AB229" s="510"/>
      <c r="AC229" s="510"/>
      <c r="AD229" s="510"/>
      <c r="AE229" s="510"/>
      <c r="AF229" s="510"/>
      <c r="AG229" s="510"/>
      <c r="AH229" s="510"/>
      <c r="AI229" s="510"/>
      <c r="AJ229" s="510"/>
      <c r="AK229" s="510"/>
      <c r="AL229" s="510"/>
      <c r="AM229" s="510"/>
      <c r="AN229" s="510"/>
      <c r="AO229" s="510"/>
      <c r="AP229" s="510"/>
      <c r="AQ229" s="510"/>
      <c r="AR229" s="510"/>
      <c r="AS229" s="510"/>
      <c r="AT229" s="510"/>
      <c r="AU229" s="510"/>
      <c r="AV229" s="510"/>
      <c r="AW229" s="510"/>
      <c r="AX229" s="510"/>
      <c r="AY229" s="510"/>
      <c r="AZ229" s="466"/>
      <c r="BA229" s="466"/>
      <c r="BB229" s="466"/>
      <c r="BC229" s="466"/>
      <c r="BD229" s="466"/>
      <c r="BE229" s="466"/>
      <c r="BF229" s="466"/>
      <c r="BG229" s="466"/>
      <c r="BH229" s="466"/>
      <c r="BI229" s="466"/>
      <c r="BJ229" s="466"/>
      <c r="BK229" s="466"/>
      <c r="BL229" s="466"/>
      <c r="BM229" s="466"/>
      <c r="BN229" s="466"/>
      <c r="BO229" s="466"/>
      <c r="BP229" s="466"/>
      <c r="BQ229" s="466"/>
      <c r="BR229" s="466"/>
      <c r="BS229" s="466"/>
      <c r="BT229" s="466"/>
      <c r="BU229" s="466"/>
      <c r="BV229" s="466"/>
      <c r="BW229" s="466"/>
      <c r="BX229" s="466"/>
      <c r="BY229" s="466"/>
      <c r="BZ229" s="466"/>
      <c r="CA229" s="466"/>
      <c r="CB229" s="466"/>
      <c r="CC229" s="466"/>
      <c r="CD229" s="466"/>
      <c r="CE229" s="466"/>
      <c r="CF229" s="466"/>
      <c r="CG229" s="466"/>
      <c r="CH229" s="466"/>
      <c r="CI229" s="466"/>
      <c r="CJ229" s="466"/>
      <c r="CK229" s="466"/>
      <c r="CL229" s="466"/>
      <c r="CM229" s="466"/>
      <c r="CN229" s="466"/>
      <c r="CO229" s="466"/>
      <c r="CP229" s="466"/>
      <c r="CQ229" s="466"/>
      <c r="CR229" s="466"/>
      <c r="CS229" s="466"/>
      <c r="CT229" s="466"/>
      <c r="CU229" s="466"/>
      <c r="CV229" s="466"/>
      <c r="CW229" s="466"/>
      <c r="CX229" s="466"/>
      <c r="CY229" s="466"/>
      <c r="CZ229" s="466"/>
      <c r="DA229" s="466"/>
      <c r="DB229" s="466"/>
      <c r="DC229" s="466"/>
      <c r="DD229" s="466"/>
      <c r="DE229" s="466"/>
      <c r="DF229" s="466"/>
      <c r="DG229" s="466"/>
      <c r="FE229" s="527"/>
      <c r="FF229" s="466"/>
      <c r="FG229" s="466"/>
      <c r="FH229" s="466"/>
      <c r="FI229" s="466"/>
      <c r="FJ229" s="466"/>
      <c r="FK229" s="466"/>
      <c r="FL229" s="466"/>
      <c r="FM229" s="466"/>
      <c r="FN229" s="466"/>
      <c r="FO229" s="466"/>
      <c r="FP229" s="466"/>
      <c r="FQ229" s="466"/>
      <c r="FR229" s="466"/>
      <c r="FS229" s="466"/>
      <c r="FT229" s="466"/>
      <c r="FU229" s="466"/>
      <c r="FV229" s="466"/>
      <c r="FW229" s="466"/>
      <c r="FX229" s="466"/>
      <c r="FY229" s="466"/>
      <c r="FZ229" s="527"/>
      <c r="GA229" s="527"/>
      <c r="GB229" s="527"/>
      <c r="GC229" s="527"/>
      <c r="GD229" s="527"/>
      <c r="GE229" s="527"/>
      <c r="GF229" s="527"/>
      <c r="GG229" s="527"/>
      <c r="GH229" s="527"/>
      <c r="GI229" s="527"/>
      <c r="GJ229" s="527"/>
      <c r="GK229" s="527"/>
      <c r="GL229" s="527"/>
      <c r="GM229" s="527"/>
      <c r="GN229" s="527"/>
      <c r="GV229" s="527"/>
      <c r="GW229" s="527"/>
      <c r="GX229" s="527"/>
      <c r="GY229" s="527"/>
      <c r="GZ229" s="527"/>
      <c r="HA229" s="527"/>
      <c r="HB229" s="527"/>
      <c r="HC229" s="527"/>
      <c r="HD229" s="527"/>
      <c r="HE229" s="844"/>
      <c r="HF229" s="844"/>
      <c r="HG229" s="844"/>
      <c r="HH229" s="844"/>
      <c r="HI229" s="844"/>
      <c r="HJ229" s="844"/>
      <c r="HK229" s="844"/>
      <c r="HL229" s="844"/>
      <c r="HM229" s="844"/>
      <c r="HN229" s="844"/>
      <c r="HP229" s="466"/>
      <c r="HQ229" s="466"/>
      <c r="HR229" s="466"/>
      <c r="HS229" s="415"/>
      <c r="HT229" s="2292"/>
    </row>
    <row r="230" spans="3:228">
      <c r="C230" s="466"/>
      <c r="D230" s="466"/>
      <c r="E230" s="466"/>
      <c r="F230" s="466"/>
      <c r="G230" s="466"/>
      <c r="H230" s="466"/>
      <c r="I230" s="466"/>
      <c r="J230" s="466"/>
      <c r="K230" s="466"/>
      <c r="L230" s="466"/>
      <c r="M230" s="466"/>
      <c r="N230" s="466"/>
      <c r="O230" s="466"/>
      <c r="P230" s="510"/>
      <c r="Q230" s="510"/>
      <c r="R230" s="510"/>
      <c r="S230" s="510"/>
      <c r="T230" s="510"/>
      <c r="U230" s="510"/>
      <c r="V230" s="510"/>
      <c r="W230" s="510"/>
      <c r="X230" s="510"/>
      <c r="Y230" s="510"/>
      <c r="Z230" s="510"/>
      <c r="AA230" s="510"/>
      <c r="AB230" s="510"/>
      <c r="AC230" s="510"/>
      <c r="AD230" s="510"/>
      <c r="AE230" s="510"/>
      <c r="AF230" s="510"/>
      <c r="AG230" s="510"/>
      <c r="AH230" s="510"/>
      <c r="AI230" s="510"/>
      <c r="AJ230" s="510"/>
      <c r="AK230" s="510"/>
      <c r="AL230" s="510"/>
      <c r="AM230" s="510"/>
      <c r="AN230" s="510"/>
      <c r="AO230" s="510"/>
      <c r="AP230" s="510"/>
      <c r="AQ230" s="510"/>
      <c r="AR230" s="510"/>
      <c r="AS230" s="510"/>
      <c r="AT230" s="510"/>
      <c r="AU230" s="510"/>
      <c r="AV230" s="510"/>
      <c r="AW230" s="510"/>
      <c r="AX230" s="510"/>
      <c r="AY230" s="510"/>
      <c r="AZ230" s="466"/>
      <c r="BA230" s="466"/>
      <c r="BB230" s="466"/>
      <c r="BC230" s="466"/>
      <c r="BD230" s="466"/>
      <c r="BE230" s="466"/>
      <c r="BF230" s="466"/>
      <c r="BG230" s="466"/>
      <c r="BH230" s="466"/>
      <c r="BI230" s="466"/>
      <c r="BJ230" s="466"/>
      <c r="BK230" s="466"/>
      <c r="BL230" s="466"/>
      <c r="BM230" s="466"/>
      <c r="BN230" s="466"/>
      <c r="BO230" s="466"/>
      <c r="BP230" s="466"/>
      <c r="BQ230" s="466"/>
      <c r="BR230" s="466"/>
      <c r="BS230" s="466"/>
      <c r="BT230" s="466"/>
      <c r="BU230" s="466"/>
      <c r="BV230" s="466"/>
      <c r="BW230" s="466"/>
      <c r="BX230" s="466"/>
      <c r="BY230" s="466"/>
      <c r="BZ230" s="466"/>
      <c r="CA230" s="466"/>
      <c r="CB230" s="466"/>
      <c r="CC230" s="466"/>
      <c r="CD230" s="466"/>
      <c r="CE230" s="466"/>
      <c r="CF230" s="466"/>
      <c r="CG230" s="466"/>
      <c r="CH230" s="466"/>
      <c r="CI230" s="466"/>
      <c r="CJ230" s="466"/>
      <c r="CK230" s="466"/>
      <c r="CL230" s="466"/>
      <c r="CM230" s="466"/>
      <c r="CN230" s="466"/>
      <c r="CO230" s="466"/>
      <c r="CP230" s="466"/>
      <c r="CQ230" s="466"/>
      <c r="CR230" s="466"/>
      <c r="CS230" s="466"/>
      <c r="CT230" s="466"/>
      <c r="CU230" s="466"/>
      <c r="CV230" s="466"/>
      <c r="CW230" s="466"/>
      <c r="CX230" s="466"/>
      <c r="CY230" s="466"/>
      <c r="CZ230" s="466"/>
      <c r="DA230" s="466"/>
      <c r="DB230" s="466"/>
      <c r="DC230" s="466"/>
      <c r="DD230" s="466"/>
      <c r="DE230" s="466"/>
      <c r="DF230" s="466"/>
      <c r="DG230" s="466"/>
      <c r="FE230" s="527"/>
      <c r="FF230" s="466"/>
      <c r="FG230" s="466"/>
      <c r="FH230" s="466"/>
      <c r="FI230" s="466"/>
      <c r="FJ230" s="466"/>
      <c r="FK230" s="466"/>
      <c r="FL230" s="466"/>
      <c r="FM230" s="466"/>
      <c r="FN230" s="466"/>
      <c r="FO230" s="466"/>
      <c r="FP230" s="466"/>
      <c r="FQ230" s="466"/>
      <c r="FR230" s="466"/>
      <c r="FS230" s="466"/>
      <c r="FT230" s="466"/>
      <c r="FU230" s="466"/>
      <c r="FV230" s="466"/>
      <c r="FW230" s="466"/>
      <c r="FX230" s="466"/>
      <c r="FY230" s="466"/>
      <c r="FZ230" s="527"/>
      <c r="GA230" s="527"/>
      <c r="GB230" s="527"/>
      <c r="GC230" s="527"/>
      <c r="GD230" s="527"/>
      <c r="GE230" s="527"/>
      <c r="GF230" s="527"/>
      <c r="GG230" s="527"/>
      <c r="GH230" s="527"/>
      <c r="GI230" s="527"/>
      <c r="GJ230" s="527"/>
      <c r="GK230" s="527"/>
      <c r="GL230" s="527"/>
      <c r="GM230" s="527"/>
      <c r="GN230" s="527"/>
      <c r="GV230" s="527"/>
      <c r="GW230" s="527"/>
      <c r="GX230" s="527"/>
      <c r="GY230" s="527"/>
      <c r="GZ230" s="527"/>
      <c r="HA230" s="527"/>
      <c r="HB230" s="527"/>
      <c r="HC230" s="527"/>
      <c r="HD230" s="527"/>
      <c r="HE230" s="844"/>
      <c r="HF230" s="844"/>
      <c r="HG230" s="844"/>
      <c r="HH230" s="844"/>
      <c r="HI230" s="844"/>
      <c r="HJ230" s="844"/>
      <c r="HK230" s="844"/>
      <c r="HL230" s="844"/>
      <c r="HM230" s="844"/>
      <c r="HN230" s="844"/>
      <c r="HP230" s="466"/>
      <c r="HQ230" s="466"/>
      <c r="HR230" s="466"/>
      <c r="HS230" s="415"/>
      <c r="HT230" s="2292"/>
    </row>
    <row r="231" spans="3:228">
      <c r="C231" s="466"/>
      <c r="D231" s="466"/>
      <c r="E231" s="466"/>
      <c r="F231" s="466"/>
      <c r="G231" s="466"/>
      <c r="H231" s="466"/>
      <c r="I231" s="466"/>
      <c r="J231" s="466"/>
      <c r="K231" s="466"/>
      <c r="L231" s="466"/>
      <c r="M231" s="466"/>
      <c r="N231" s="466"/>
      <c r="O231" s="466"/>
      <c r="P231" s="510"/>
      <c r="Q231" s="510"/>
      <c r="R231" s="510"/>
      <c r="S231" s="510"/>
      <c r="T231" s="510"/>
      <c r="U231" s="510"/>
      <c r="V231" s="510"/>
      <c r="W231" s="510"/>
      <c r="X231" s="510"/>
      <c r="Y231" s="510"/>
      <c r="Z231" s="510"/>
      <c r="AA231" s="510"/>
      <c r="AB231" s="510"/>
      <c r="AC231" s="510"/>
      <c r="AD231" s="510"/>
      <c r="AE231" s="510"/>
      <c r="AF231" s="510"/>
      <c r="AG231" s="510"/>
      <c r="AH231" s="510"/>
      <c r="AI231" s="510"/>
      <c r="AJ231" s="510"/>
      <c r="AK231" s="510"/>
      <c r="AL231" s="510"/>
      <c r="AM231" s="510"/>
      <c r="AN231" s="510"/>
      <c r="AO231" s="510"/>
      <c r="AP231" s="510"/>
      <c r="AQ231" s="510"/>
      <c r="AR231" s="510"/>
      <c r="AS231" s="510"/>
      <c r="AT231" s="510"/>
      <c r="AU231" s="510"/>
      <c r="AV231" s="510"/>
      <c r="AW231" s="510"/>
      <c r="AX231" s="510"/>
      <c r="AY231" s="510"/>
      <c r="AZ231" s="466"/>
      <c r="BA231" s="466"/>
      <c r="BB231" s="466"/>
      <c r="BC231" s="466"/>
      <c r="BD231" s="466"/>
      <c r="BE231" s="466"/>
      <c r="BF231" s="466"/>
      <c r="BG231" s="466"/>
      <c r="BH231" s="466"/>
      <c r="BI231" s="466"/>
      <c r="BJ231" s="466"/>
      <c r="BK231" s="466"/>
      <c r="BL231" s="466"/>
      <c r="BM231" s="466"/>
      <c r="BN231" s="466"/>
      <c r="BO231" s="466"/>
      <c r="BP231" s="466"/>
      <c r="BQ231" s="466"/>
      <c r="BR231" s="466"/>
      <c r="BS231" s="466"/>
      <c r="BT231" s="466"/>
      <c r="BU231" s="466"/>
      <c r="BV231" s="466"/>
      <c r="BW231" s="466"/>
      <c r="BX231" s="466"/>
      <c r="BY231" s="466"/>
      <c r="BZ231" s="466"/>
      <c r="CA231" s="466"/>
      <c r="CB231" s="466"/>
      <c r="CC231" s="466"/>
      <c r="CD231" s="466"/>
      <c r="CE231" s="466"/>
      <c r="CF231" s="466"/>
      <c r="CG231" s="466"/>
      <c r="CH231" s="466"/>
      <c r="CI231" s="466"/>
      <c r="CJ231" s="466"/>
      <c r="CK231" s="466"/>
      <c r="CL231" s="466"/>
      <c r="CM231" s="466"/>
      <c r="CN231" s="466"/>
      <c r="CO231" s="466"/>
      <c r="CP231" s="466"/>
      <c r="CQ231" s="466"/>
      <c r="CR231" s="466"/>
      <c r="CS231" s="466"/>
      <c r="CT231" s="466"/>
      <c r="CU231" s="466"/>
      <c r="CV231" s="466"/>
      <c r="CW231" s="466"/>
      <c r="CX231" s="466"/>
      <c r="CY231" s="466"/>
      <c r="CZ231" s="466"/>
      <c r="DA231" s="466"/>
      <c r="DB231" s="466"/>
      <c r="DC231" s="466"/>
      <c r="DD231" s="466"/>
      <c r="DE231" s="466"/>
      <c r="DF231" s="466"/>
      <c r="DG231" s="466"/>
      <c r="FE231" s="527"/>
      <c r="FF231" s="466"/>
      <c r="FG231" s="466"/>
      <c r="FH231" s="466"/>
      <c r="FI231" s="466"/>
      <c r="FJ231" s="466"/>
      <c r="FK231" s="466"/>
      <c r="FL231" s="466"/>
      <c r="FM231" s="466"/>
      <c r="FN231" s="466"/>
      <c r="FO231" s="466"/>
      <c r="FP231" s="466"/>
      <c r="FQ231" s="466"/>
      <c r="FR231" s="466"/>
      <c r="FS231" s="466"/>
      <c r="FT231" s="466"/>
      <c r="FU231" s="466"/>
      <c r="FV231" s="466"/>
      <c r="FW231" s="466"/>
      <c r="FX231" s="466"/>
      <c r="FY231" s="466"/>
      <c r="FZ231" s="527"/>
      <c r="GA231" s="527"/>
      <c r="GB231" s="527"/>
      <c r="GC231" s="527"/>
      <c r="GD231" s="527"/>
      <c r="GE231" s="527"/>
      <c r="GF231" s="527"/>
      <c r="GG231" s="527"/>
      <c r="GH231" s="527"/>
      <c r="GI231" s="527"/>
      <c r="GJ231" s="527"/>
      <c r="GK231" s="527"/>
      <c r="GL231" s="527"/>
      <c r="GM231" s="527"/>
      <c r="GN231" s="527"/>
      <c r="GV231" s="527"/>
      <c r="GW231" s="527"/>
      <c r="GX231" s="527"/>
      <c r="GY231" s="527"/>
      <c r="GZ231" s="527"/>
      <c r="HA231" s="527"/>
      <c r="HB231" s="527"/>
      <c r="HC231" s="527"/>
      <c r="HD231" s="527"/>
      <c r="HE231" s="844"/>
      <c r="HF231" s="844"/>
      <c r="HG231" s="844"/>
      <c r="HH231" s="844"/>
      <c r="HI231" s="844"/>
      <c r="HJ231" s="844"/>
      <c r="HK231" s="844"/>
      <c r="HL231" s="844"/>
      <c r="HM231" s="844"/>
      <c r="HN231" s="844"/>
      <c r="HP231" s="466"/>
      <c r="HQ231" s="466"/>
      <c r="HR231" s="466"/>
      <c r="HS231" s="415"/>
      <c r="HT231" s="2292"/>
    </row>
    <row r="232" spans="3:228">
      <c r="C232" s="466"/>
      <c r="D232" s="466"/>
      <c r="E232" s="466"/>
      <c r="F232" s="466"/>
      <c r="G232" s="466"/>
      <c r="H232" s="466"/>
      <c r="I232" s="466"/>
      <c r="J232" s="466"/>
      <c r="K232" s="466"/>
      <c r="L232" s="466"/>
      <c r="M232" s="466"/>
      <c r="N232" s="466"/>
      <c r="O232" s="466"/>
      <c r="P232" s="510"/>
      <c r="Q232" s="510"/>
      <c r="R232" s="510"/>
      <c r="S232" s="510"/>
      <c r="T232" s="510"/>
      <c r="U232" s="510"/>
      <c r="V232" s="510"/>
      <c r="W232" s="510"/>
      <c r="X232" s="510"/>
      <c r="Y232" s="510"/>
      <c r="Z232" s="510"/>
      <c r="AA232" s="510"/>
      <c r="AB232" s="510"/>
      <c r="AC232" s="510"/>
      <c r="AD232" s="510"/>
      <c r="AE232" s="510"/>
      <c r="AF232" s="510"/>
      <c r="AG232" s="510"/>
      <c r="AH232" s="510"/>
      <c r="AI232" s="510"/>
      <c r="AJ232" s="510"/>
      <c r="AK232" s="510"/>
      <c r="AL232" s="510"/>
      <c r="AM232" s="510"/>
      <c r="AN232" s="510"/>
      <c r="AO232" s="510"/>
      <c r="AP232" s="510"/>
      <c r="AQ232" s="510"/>
      <c r="AR232" s="510"/>
      <c r="AS232" s="510"/>
      <c r="AT232" s="510"/>
      <c r="AU232" s="510"/>
      <c r="AV232" s="510"/>
      <c r="AW232" s="510"/>
      <c r="AX232" s="510"/>
      <c r="AY232" s="510"/>
      <c r="AZ232" s="466"/>
      <c r="BA232" s="466"/>
      <c r="BB232" s="466"/>
      <c r="BC232" s="466"/>
      <c r="BD232" s="466"/>
      <c r="BE232" s="466"/>
      <c r="BF232" s="466"/>
      <c r="BG232" s="466"/>
      <c r="BH232" s="466"/>
      <c r="BI232" s="466"/>
      <c r="BJ232" s="466"/>
      <c r="BK232" s="466"/>
      <c r="BL232" s="466"/>
      <c r="BM232" s="466"/>
      <c r="BN232" s="466"/>
      <c r="BO232" s="466"/>
      <c r="BP232" s="466"/>
      <c r="BQ232" s="466"/>
      <c r="BR232" s="466"/>
      <c r="BS232" s="466"/>
      <c r="BT232" s="466"/>
      <c r="BU232" s="466"/>
      <c r="BV232" s="466"/>
      <c r="BW232" s="466"/>
      <c r="BX232" s="466"/>
      <c r="BY232" s="466"/>
      <c r="BZ232" s="466"/>
      <c r="CA232" s="466"/>
      <c r="CB232" s="466"/>
      <c r="CC232" s="466"/>
      <c r="CD232" s="466"/>
      <c r="CE232" s="466"/>
      <c r="CF232" s="466"/>
      <c r="CG232" s="466"/>
      <c r="CH232" s="466"/>
      <c r="CI232" s="466"/>
      <c r="CJ232" s="466"/>
      <c r="CK232" s="466"/>
      <c r="CL232" s="466"/>
      <c r="CM232" s="466"/>
      <c r="CN232" s="466"/>
      <c r="CO232" s="466"/>
      <c r="CP232" s="466"/>
      <c r="CQ232" s="466"/>
      <c r="CR232" s="466"/>
      <c r="CS232" s="466"/>
      <c r="CT232" s="466"/>
      <c r="CU232" s="466"/>
      <c r="CV232" s="466"/>
      <c r="CW232" s="466"/>
      <c r="CX232" s="466"/>
      <c r="CY232" s="466"/>
      <c r="CZ232" s="466"/>
      <c r="DA232" s="466"/>
      <c r="DB232" s="466"/>
      <c r="DC232" s="466"/>
      <c r="DD232" s="466"/>
      <c r="DE232" s="466"/>
      <c r="DF232" s="466"/>
      <c r="DG232" s="466"/>
      <c r="FE232" s="527"/>
      <c r="FF232" s="466"/>
      <c r="FG232" s="466"/>
      <c r="FH232" s="466"/>
      <c r="FI232" s="466"/>
      <c r="FJ232" s="466"/>
      <c r="FK232" s="466"/>
      <c r="FL232" s="466"/>
      <c r="FM232" s="466"/>
      <c r="FN232" s="466"/>
      <c r="FO232" s="466"/>
      <c r="FP232" s="466"/>
      <c r="FQ232" s="466"/>
      <c r="FR232" s="466"/>
      <c r="FS232" s="466"/>
      <c r="FT232" s="466"/>
      <c r="FU232" s="466"/>
      <c r="FV232" s="466"/>
      <c r="FW232" s="466"/>
      <c r="FX232" s="466"/>
      <c r="FY232" s="466"/>
      <c r="FZ232" s="527"/>
      <c r="GA232" s="527"/>
      <c r="GB232" s="527"/>
      <c r="GC232" s="527"/>
      <c r="GD232" s="527"/>
      <c r="GE232" s="527"/>
      <c r="GF232" s="527"/>
      <c r="GG232" s="527"/>
      <c r="GH232" s="527"/>
      <c r="GI232" s="527"/>
      <c r="GJ232" s="527"/>
      <c r="GK232" s="527"/>
      <c r="GL232" s="527"/>
      <c r="GM232" s="527"/>
      <c r="GN232" s="527"/>
      <c r="GV232" s="527"/>
      <c r="GW232" s="527"/>
      <c r="GX232" s="527"/>
      <c r="GY232" s="527"/>
      <c r="GZ232" s="527"/>
      <c r="HA232" s="527"/>
      <c r="HB232" s="527"/>
      <c r="HC232" s="527"/>
      <c r="HD232" s="527"/>
      <c r="HE232" s="844"/>
      <c r="HF232" s="844"/>
      <c r="HG232" s="844"/>
      <c r="HH232" s="844"/>
      <c r="HI232" s="844"/>
      <c r="HJ232" s="844"/>
      <c r="HK232" s="844"/>
      <c r="HL232" s="844"/>
      <c r="HM232" s="844"/>
      <c r="HN232" s="844"/>
      <c r="HP232" s="466"/>
      <c r="HQ232" s="466"/>
      <c r="HR232" s="466"/>
      <c r="HS232" s="415"/>
      <c r="HT232" s="2292"/>
    </row>
    <row r="233" spans="3:228">
      <c r="C233" s="466"/>
      <c r="D233" s="466"/>
      <c r="E233" s="466"/>
      <c r="F233" s="466"/>
      <c r="G233" s="466"/>
      <c r="H233" s="466"/>
      <c r="I233" s="466"/>
      <c r="J233" s="466"/>
      <c r="K233" s="466"/>
      <c r="L233" s="466"/>
      <c r="M233" s="466"/>
      <c r="N233" s="466"/>
      <c r="O233" s="466"/>
      <c r="P233" s="510"/>
      <c r="Q233" s="510"/>
      <c r="R233" s="510"/>
      <c r="S233" s="510"/>
      <c r="T233" s="510"/>
      <c r="U233" s="510"/>
      <c r="V233" s="510"/>
      <c r="W233" s="510"/>
      <c r="X233" s="510"/>
      <c r="Y233" s="510"/>
      <c r="Z233" s="510"/>
      <c r="AA233" s="510"/>
      <c r="AB233" s="510"/>
      <c r="AC233" s="510"/>
      <c r="AD233" s="510"/>
      <c r="AE233" s="510"/>
      <c r="AF233" s="510"/>
      <c r="AG233" s="510"/>
      <c r="AH233" s="510"/>
      <c r="AI233" s="510"/>
      <c r="AJ233" s="510"/>
      <c r="AK233" s="510"/>
      <c r="AL233" s="510"/>
      <c r="AM233" s="510"/>
      <c r="AN233" s="510"/>
      <c r="AO233" s="510"/>
      <c r="AP233" s="510"/>
      <c r="AQ233" s="510"/>
      <c r="AR233" s="510"/>
      <c r="AS233" s="510"/>
      <c r="AT233" s="510"/>
      <c r="AU233" s="510"/>
      <c r="AV233" s="510"/>
      <c r="AW233" s="510"/>
      <c r="AX233" s="510"/>
      <c r="AY233" s="510"/>
      <c r="AZ233" s="466"/>
      <c r="BA233" s="466"/>
      <c r="BB233" s="466"/>
      <c r="BC233" s="466"/>
      <c r="BD233" s="466"/>
      <c r="BE233" s="466"/>
      <c r="BF233" s="466"/>
      <c r="BG233" s="466"/>
      <c r="BH233" s="466"/>
      <c r="BI233" s="466"/>
      <c r="BJ233" s="466"/>
      <c r="BK233" s="466"/>
      <c r="BL233" s="466"/>
      <c r="BM233" s="466"/>
      <c r="BN233" s="466"/>
      <c r="BO233" s="466"/>
      <c r="BP233" s="466"/>
      <c r="BQ233" s="466"/>
      <c r="BR233" s="466"/>
      <c r="BS233" s="466"/>
      <c r="BT233" s="466"/>
      <c r="BU233" s="466"/>
      <c r="BV233" s="466"/>
      <c r="BW233" s="466"/>
      <c r="BX233" s="466"/>
      <c r="BY233" s="466"/>
      <c r="BZ233" s="466"/>
      <c r="CA233" s="466"/>
      <c r="CB233" s="466"/>
      <c r="CC233" s="466"/>
      <c r="CD233" s="466"/>
      <c r="CE233" s="466"/>
      <c r="CF233" s="466"/>
      <c r="CG233" s="466"/>
      <c r="CH233" s="466"/>
      <c r="CI233" s="466"/>
      <c r="CJ233" s="466"/>
      <c r="CK233" s="466"/>
      <c r="CL233" s="466"/>
      <c r="CM233" s="466"/>
      <c r="CN233" s="466"/>
      <c r="CO233" s="466"/>
      <c r="CP233" s="466"/>
      <c r="CQ233" s="466"/>
      <c r="CR233" s="466"/>
      <c r="CS233" s="466"/>
      <c r="CT233" s="466"/>
      <c r="CU233" s="466"/>
      <c r="CV233" s="466"/>
      <c r="CW233" s="466"/>
      <c r="CX233" s="466"/>
      <c r="CY233" s="466"/>
      <c r="CZ233" s="466"/>
      <c r="DA233" s="466"/>
      <c r="DB233" s="466"/>
      <c r="DC233" s="466"/>
      <c r="DD233" s="466"/>
      <c r="DE233" s="466"/>
      <c r="DF233" s="466"/>
      <c r="DG233" s="466"/>
      <c r="FE233" s="527"/>
      <c r="FF233" s="466"/>
      <c r="FG233" s="466"/>
      <c r="FH233" s="466"/>
      <c r="FI233" s="466"/>
      <c r="FJ233" s="466"/>
      <c r="FK233" s="466"/>
      <c r="FL233" s="466"/>
      <c r="FM233" s="466"/>
      <c r="FN233" s="466"/>
      <c r="FO233" s="466"/>
      <c r="FP233" s="466"/>
      <c r="FQ233" s="466"/>
      <c r="FR233" s="466"/>
      <c r="FS233" s="466"/>
      <c r="FT233" s="466"/>
      <c r="FU233" s="466"/>
      <c r="FV233" s="466"/>
      <c r="FW233" s="466"/>
      <c r="FX233" s="466"/>
      <c r="FY233" s="466"/>
      <c r="FZ233" s="527"/>
      <c r="GA233" s="527"/>
      <c r="GB233" s="527"/>
      <c r="GC233" s="527"/>
      <c r="GD233" s="527"/>
      <c r="GE233" s="527"/>
      <c r="GF233" s="527"/>
      <c r="GG233" s="527"/>
      <c r="GH233" s="527"/>
      <c r="GI233" s="527"/>
      <c r="GJ233" s="527"/>
      <c r="GK233" s="527"/>
      <c r="GL233" s="527"/>
      <c r="GM233" s="527"/>
      <c r="GN233" s="527"/>
      <c r="GV233" s="527"/>
      <c r="GW233" s="527"/>
      <c r="GX233" s="527"/>
      <c r="GY233" s="527"/>
      <c r="GZ233" s="527"/>
      <c r="HA233" s="527"/>
      <c r="HB233" s="527"/>
      <c r="HC233" s="527"/>
      <c r="HD233" s="527"/>
      <c r="HE233" s="844"/>
      <c r="HF233" s="844"/>
      <c r="HG233" s="844"/>
      <c r="HH233" s="844"/>
      <c r="HI233" s="844"/>
      <c r="HJ233" s="844"/>
      <c r="HK233" s="844"/>
      <c r="HL233" s="844"/>
      <c r="HM233" s="844"/>
      <c r="HN233" s="844"/>
      <c r="HP233" s="466"/>
      <c r="HQ233" s="466"/>
      <c r="HR233" s="466"/>
      <c r="HS233" s="415"/>
      <c r="HT233" s="2292"/>
    </row>
    <row r="234" spans="3:228">
      <c r="C234" s="466"/>
      <c r="D234" s="466"/>
      <c r="E234" s="466"/>
      <c r="F234" s="466"/>
      <c r="G234" s="466"/>
      <c r="H234" s="466"/>
      <c r="I234" s="466"/>
      <c r="J234" s="466"/>
      <c r="K234" s="466"/>
      <c r="L234" s="466"/>
      <c r="M234" s="466"/>
      <c r="N234" s="466"/>
      <c r="O234" s="466"/>
      <c r="P234" s="510"/>
      <c r="Q234" s="510"/>
      <c r="R234" s="510"/>
      <c r="S234" s="510"/>
      <c r="T234" s="510"/>
      <c r="U234" s="510"/>
      <c r="V234" s="510"/>
      <c r="W234" s="510"/>
      <c r="X234" s="510"/>
      <c r="Y234" s="510"/>
      <c r="Z234" s="510"/>
      <c r="AA234" s="510"/>
      <c r="AB234" s="510"/>
      <c r="AC234" s="510"/>
      <c r="AD234" s="510"/>
      <c r="AE234" s="510"/>
      <c r="AF234" s="510"/>
      <c r="AG234" s="510"/>
      <c r="AH234" s="510"/>
      <c r="AI234" s="510"/>
      <c r="AJ234" s="510"/>
      <c r="AK234" s="510"/>
      <c r="AL234" s="510"/>
      <c r="AM234" s="510"/>
      <c r="AN234" s="510"/>
      <c r="AO234" s="510"/>
      <c r="AP234" s="510"/>
      <c r="AQ234" s="510"/>
      <c r="AR234" s="510"/>
      <c r="AS234" s="510"/>
      <c r="AT234" s="510"/>
      <c r="AU234" s="510"/>
      <c r="AV234" s="510"/>
      <c r="AW234" s="510"/>
      <c r="AX234" s="510"/>
      <c r="AY234" s="510"/>
      <c r="AZ234" s="466"/>
      <c r="BA234" s="466"/>
      <c r="BB234" s="466"/>
      <c r="BC234" s="466"/>
      <c r="BD234" s="466"/>
      <c r="BE234" s="466"/>
      <c r="BF234" s="466"/>
      <c r="BG234" s="466"/>
      <c r="BH234" s="466"/>
      <c r="BI234" s="466"/>
      <c r="BJ234" s="466"/>
      <c r="BK234" s="466"/>
      <c r="BL234" s="466"/>
      <c r="BM234" s="466"/>
      <c r="BN234" s="466"/>
      <c r="BO234" s="466"/>
      <c r="BP234" s="466"/>
      <c r="BQ234" s="466"/>
      <c r="BR234" s="466"/>
      <c r="BS234" s="466"/>
      <c r="BT234" s="466"/>
      <c r="BU234" s="466"/>
      <c r="BV234" s="466"/>
      <c r="BW234" s="466"/>
      <c r="BX234" s="466"/>
      <c r="BY234" s="466"/>
      <c r="BZ234" s="466"/>
      <c r="CA234" s="466"/>
      <c r="CB234" s="466"/>
      <c r="CC234" s="466"/>
      <c r="CD234" s="466"/>
      <c r="CE234" s="466"/>
      <c r="CF234" s="466"/>
      <c r="CG234" s="466"/>
      <c r="CH234" s="466"/>
      <c r="CI234" s="466"/>
      <c r="CJ234" s="466"/>
      <c r="CK234" s="466"/>
      <c r="CL234" s="466"/>
      <c r="CM234" s="466"/>
      <c r="CN234" s="466"/>
      <c r="CO234" s="466"/>
      <c r="CP234" s="466"/>
      <c r="CQ234" s="466"/>
      <c r="CR234" s="466"/>
      <c r="CS234" s="466"/>
      <c r="CT234" s="466"/>
      <c r="CU234" s="466"/>
      <c r="CV234" s="466"/>
      <c r="CW234" s="466"/>
      <c r="CX234" s="466"/>
      <c r="CY234" s="466"/>
      <c r="CZ234" s="466"/>
      <c r="DA234" s="466"/>
      <c r="DB234" s="466"/>
      <c r="DC234" s="466"/>
      <c r="DD234" s="466"/>
      <c r="DE234" s="466"/>
      <c r="DF234" s="466"/>
      <c r="DG234" s="466"/>
      <c r="FE234" s="527"/>
      <c r="FF234" s="466"/>
      <c r="FG234" s="466"/>
      <c r="FH234" s="466"/>
      <c r="FI234" s="466"/>
      <c r="FJ234" s="466"/>
      <c r="FK234" s="466"/>
      <c r="FL234" s="466"/>
      <c r="FM234" s="466"/>
      <c r="FN234" s="466"/>
      <c r="FO234" s="466"/>
      <c r="FP234" s="466"/>
      <c r="FQ234" s="466"/>
      <c r="FR234" s="466"/>
      <c r="FS234" s="466"/>
      <c r="FT234" s="466"/>
      <c r="FU234" s="466"/>
      <c r="FV234" s="466"/>
      <c r="FW234" s="466"/>
      <c r="FX234" s="466"/>
      <c r="FY234" s="466"/>
      <c r="FZ234" s="527"/>
      <c r="GA234" s="527"/>
      <c r="GB234" s="527"/>
      <c r="GC234" s="527"/>
      <c r="GD234" s="527"/>
      <c r="GE234" s="527"/>
      <c r="GF234" s="527"/>
      <c r="GG234" s="527"/>
      <c r="GH234" s="527"/>
      <c r="GI234" s="527"/>
      <c r="GJ234" s="527"/>
      <c r="GK234" s="527"/>
      <c r="GL234" s="527"/>
      <c r="GM234" s="527"/>
      <c r="GN234" s="527"/>
      <c r="GV234" s="527"/>
      <c r="GW234" s="527"/>
      <c r="GX234" s="527"/>
      <c r="GY234" s="527"/>
      <c r="GZ234" s="527"/>
      <c r="HA234" s="527"/>
      <c r="HB234" s="527"/>
      <c r="HC234" s="527"/>
      <c r="HD234" s="527"/>
      <c r="HE234" s="844"/>
      <c r="HF234" s="844"/>
      <c r="HG234" s="844"/>
      <c r="HH234" s="844"/>
      <c r="HI234" s="844"/>
      <c r="HJ234" s="844"/>
      <c r="HK234" s="844"/>
      <c r="HL234" s="844"/>
      <c r="HM234" s="844"/>
      <c r="HN234" s="844"/>
      <c r="HP234" s="466"/>
      <c r="HQ234" s="466"/>
      <c r="HR234" s="466"/>
      <c r="HS234" s="415"/>
      <c r="HT234" s="2292"/>
    </row>
    <row r="235" spans="3:228">
      <c r="C235" s="466"/>
      <c r="D235" s="466"/>
      <c r="E235" s="466"/>
      <c r="F235" s="466"/>
      <c r="G235" s="466"/>
      <c r="H235" s="466"/>
      <c r="I235" s="466"/>
      <c r="J235" s="466"/>
      <c r="K235" s="466"/>
      <c r="L235" s="466"/>
      <c r="M235" s="466"/>
      <c r="N235" s="466"/>
      <c r="O235" s="466"/>
      <c r="P235" s="510"/>
      <c r="Q235" s="510"/>
      <c r="R235" s="510"/>
      <c r="S235" s="510"/>
      <c r="T235" s="510"/>
      <c r="U235" s="510"/>
      <c r="V235" s="510"/>
      <c r="W235" s="510"/>
      <c r="X235" s="510"/>
      <c r="Y235" s="510"/>
      <c r="Z235" s="510"/>
      <c r="AA235" s="510"/>
      <c r="AB235" s="510"/>
      <c r="AC235" s="510"/>
      <c r="AD235" s="510"/>
      <c r="AE235" s="510"/>
      <c r="AF235" s="510"/>
      <c r="AG235" s="510"/>
      <c r="AH235" s="510"/>
      <c r="AI235" s="510"/>
      <c r="AJ235" s="510"/>
      <c r="AK235" s="510"/>
      <c r="AL235" s="510"/>
      <c r="AM235" s="510"/>
      <c r="AN235" s="510"/>
      <c r="AO235" s="510"/>
      <c r="AP235" s="510"/>
      <c r="AQ235" s="510"/>
      <c r="AR235" s="510"/>
      <c r="AS235" s="510"/>
      <c r="AT235" s="510"/>
      <c r="AU235" s="510"/>
      <c r="AV235" s="510"/>
      <c r="AW235" s="510"/>
      <c r="AX235" s="510"/>
      <c r="AY235" s="510"/>
      <c r="AZ235" s="466"/>
      <c r="BA235" s="466"/>
      <c r="BB235" s="466"/>
      <c r="BC235" s="466"/>
      <c r="BD235" s="466"/>
      <c r="BE235" s="466"/>
      <c r="BF235" s="466"/>
      <c r="BG235" s="466"/>
      <c r="BH235" s="466"/>
      <c r="BI235" s="466"/>
      <c r="BJ235" s="466"/>
      <c r="BK235" s="466"/>
      <c r="BL235" s="466"/>
      <c r="BM235" s="466"/>
      <c r="BN235" s="466"/>
      <c r="BO235" s="466"/>
      <c r="BP235" s="466"/>
      <c r="BQ235" s="466"/>
      <c r="BR235" s="466"/>
      <c r="BS235" s="466"/>
      <c r="BT235" s="466"/>
      <c r="BU235" s="466"/>
      <c r="BV235" s="466"/>
      <c r="BW235" s="466"/>
      <c r="BX235" s="466"/>
      <c r="BY235" s="466"/>
      <c r="BZ235" s="466"/>
      <c r="CA235" s="466"/>
      <c r="CB235" s="466"/>
      <c r="CC235" s="466"/>
      <c r="CD235" s="466"/>
      <c r="CE235" s="466"/>
      <c r="CF235" s="466"/>
      <c r="CG235" s="466"/>
      <c r="CH235" s="466"/>
      <c r="CI235" s="466"/>
      <c r="CJ235" s="466"/>
      <c r="CK235" s="466"/>
      <c r="CL235" s="466"/>
      <c r="CM235" s="466"/>
      <c r="CN235" s="466"/>
      <c r="CO235" s="466"/>
      <c r="CP235" s="466"/>
      <c r="CQ235" s="466"/>
      <c r="CR235" s="466"/>
      <c r="CS235" s="466"/>
      <c r="CT235" s="466"/>
      <c r="CU235" s="466"/>
      <c r="CV235" s="466"/>
      <c r="CW235" s="466"/>
      <c r="CX235" s="466"/>
      <c r="CY235" s="466"/>
      <c r="CZ235" s="466"/>
      <c r="DA235" s="466"/>
      <c r="DB235" s="466"/>
      <c r="DC235" s="466"/>
      <c r="DD235" s="466"/>
      <c r="DE235" s="466"/>
      <c r="DF235" s="466"/>
      <c r="DG235" s="466"/>
      <c r="FE235" s="527"/>
      <c r="FF235" s="466"/>
      <c r="FG235" s="466"/>
      <c r="FH235" s="466"/>
      <c r="FI235" s="466"/>
      <c r="FJ235" s="466"/>
      <c r="FK235" s="466"/>
      <c r="FL235" s="466"/>
      <c r="FM235" s="466"/>
      <c r="FN235" s="466"/>
      <c r="FO235" s="466"/>
      <c r="FP235" s="466"/>
      <c r="FQ235" s="466"/>
      <c r="FR235" s="466"/>
      <c r="FS235" s="466"/>
      <c r="FT235" s="466"/>
      <c r="FU235" s="466"/>
      <c r="FV235" s="466"/>
      <c r="FW235" s="466"/>
      <c r="FX235" s="466"/>
      <c r="FY235" s="466"/>
      <c r="FZ235" s="527"/>
      <c r="GA235" s="527"/>
      <c r="GB235" s="527"/>
      <c r="GC235" s="527"/>
      <c r="GD235" s="527"/>
      <c r="GE235" s="527"/>
      <c r="GF235" s="527"/>
      <c r="GG235" s="527"/>
      <c r="GH235" s="527"/>
      <c r="GI235" s="527"/>
      <c r="GJ235" s="527"/>
      <c r="GK235" s="527"/>
      <c r="GL235" s="527"/>
      <c r="GM235" s="527"/>
      <c r="GN235" s="527"/>
      <c r="GV235" s="527"/>
      <c r="GW235" s="527"/>
      <c r="GX235" s="527"/>
      <c r="GY235" s="527"/>
      <c r="GZ235" s="527"/>
      <c r="HA235" s="527"/>
      <c r="HB235" s="527"/>
      <c r="HC235" s="527"/>
      <c r="HD235" s="527"/>
      <c r="HE235" s="844"/>
      <c r="HF235" s="844"/>
      <c r="HG235" s="844"/>
      <c r="HH235" s="844"/>
      <c r="HI235" s="844"/>
      <c r="HJ235" s="844"/>
      <c r="HK235" s="844"/>
      <c r="HL235" s="844"/>
      <c r="HM235" s="844"/>
      <c r="HN235" s="844"/>
      <c r="HP235" s="466"/>
      <c r="HQ235" s="466"/>
      <c r="HR235" s="466"/>
      <c r="HS235" s="415"/>
      <c r="HT235" s="2292"/>
    </row>
    <row r="236" spans="3:228">
      <c r="C236" s="466"/>
      <c r="D236" s="466"/>
      <c r="E236" s="466"/>
      <c r="F236" s="466"/>
      <c r="G236" s="466"/>
      <c r="H236" s="466"/>
      <c r="I236" s="466"/>
      <c r="J236" s="466"/>
      <c r="K236" s="466"/>
      <c r="L236" s="466"/>
      <c r="M236" s="466"/>
      <c r="N236" s="466"/>
      <c r="O236" s="466"/>
      <c r="P236" s="510"/>
      <c r="Q236" s="510"/>
      <c r="R236" s="510"/>
      <c r="S236" s="510"/>
      <c r="T236" s="510"/>
      <c r="U236" s="510"/>
      <c r="V236" s="510"/>
      <c r="W236" s="510"/>
      <c r="X236" s="510"/>
      <c r="Y236" s="510"/>
      <c r="Z236" s="510"/>
      <c r="AA236" s="510"/>
      <c r="AB236" s="510"/>
      <c r="AC236" s="510"/>
      <c r="AD236" s="510"/>
      <c r="AE236" s="510"/>
      <c r="AF236" s="510"/>
      <c r="AG236" s="510"/>
      <c r="AH236" s="510"/>
      <c r="AI236" s="510"/>
      <c r="AJ236" s="510"/>
      <c r="AK236" s="510"/>
      <c r="AL236" s="510"/>
      <c r="AM236" s="510"/>
      <c r="AN236" s="510"/>
      <c r="AO236" s="510"/>
      <c r="AP236" s="510"/>
      <c r="AQ236" s="510"/>
      <c r="AR236" s="510"/>
      <c r="AS236" s="510"/>
      <c r="AT236" s="510"/>
      <c r="AU236" s="510"/>
      <c r="AV236" s="510"/>
      <c r="AW236" s="510"/>
      <c r="AX236" s="510"/>
      <c r="AY236" s="510"/>
      <c r="AZ236" s="466"/>
      <c r="BA236" s="466"/>
      <c r="BB236" s="466"/>
      <c r="BC236" s="466"/>
      <c r="BD236" s="466"/>
      <c r="BE236" s="466"/>
      <c r="BF236" s="466"/>
      <c r="BG236" s="466"/>
      <c r="BH236" s="466"/>
      <c r="BI236" s="466"/>
      <c r="BJ236" s="466"/>
      <c r="BK236" s="466"/>
      <c r="BL236" s="466"/>
      <c r="BM236" s="466"/>
      <c r="BN236" s="466"/>
      <c r="BO236" s="466"/>
      <c r="BP236" s="466"/>
      <c r="BQ236" s="466"/>
      <c r="BR236" s="466"/>
      <c r="BS236" s="466"/>
      <c r="BT236" s="466"/>
      <c r="BU236" s="466"/>
      <c r="BV236" s="466"/>
      <c r="BW236" s="466"/>
      <c r="BX236" s="466"/>
      <c r="BY236" s="466"/>
      <c r="BZ236" s="466"/>
      <c r="CA236" s="466"/>
      <c r="CB236" s="466"/>
      <c r="CC236" s="466"/>
      <c r="CD236" s="466"/>
      <c r="CE236" s="466"/>
      <c r="CF236" s="466"/>
      <c r="CG236" s="466"/>
      <c r="CH236" s="466"/>
      <c r="CI236" s="466"/>
      <c r="CJ236" s="466"/>
      <c r="CK236" s="466"/>
      <c r="CL236" s="466"/>
      <c r="CM236" s="466"/>
      <c r="CN236" s="466"/>
      <c r="CO236" s="466"/>
      <c r="CP236" s="466"/>
      <c r="CQ236" s="466"/>
      <c r="CR236" s="466"/>
      <c r="CS236" s="466"/>
      <c r="CT236" s="466"/>
      <c r="CU236" s="466"/>
      <c r="CV236" s="466"/>
      <c r="CW236" s="466"/>
      <c r="CX236" s="466"/>
      <c r="CY236" s="466"/>
      <c r="CZ236" s="466"/>
      <c r="DA236" s="466"/>
      <c r="DB236" s="466"/>
      <c r="DC236" s="466"/>
      <c r="DD236" s="466"/>
      <c r="DE236" s="466"/>
      <c r="DF236" s="466"/>
      <c r="DG236" s="466"/>
      <c r="FE236" s="527"/>
      <c r="FF236" s="466"/>
      <c r="FG236" s="466"/>
      <c r="FH236" s="466"/>
      <c r="FI236" s="466"/>
      <c r="FJ236" s="466"/>
      <c r="FK236" s="466"/>
      <c r="FL236" s="466"/>
      <c r="FM236" s="466"/>
      <c r="FN236" s="466"/>
      <c r="FO236" s="466"/>
      <c r="FP236" s="466"/>
      <c r="FQ236" s="466"/>
      <c r="FR236" s="466"/>
      <c r="FS236" s="466"/>
      <c r="FT236" s="466"/>
      <c r="FU236" s="466"/>
      <c r="FV236" s="466"/>
      <c r="FW236" s="466"/>
      <c r="FX236" s="466"/>
      <c r="FY236" s="466"/>
      <c r="FZ236" s="527"/>
      <c r="GA236" s="527"/>
      <c r="GB236" s="527"/>
      <c r="GC236" s="527"/>
      <c r="GD236" s="527"/>
      <c r="GE236" s="527"/>
      <c r="GF236" s="527"/>
      <c r="GG236" s="527"/>
      <c r="GH236" s="527"/>
      <c r="GI236" s="527"/>
      <c r="GJ236" s="527"/>
      <c r="GK236" s="527"/>
      <c r="GL236" s="527"/>
      <c r="GM236" s="527"/>
      <c r="GN236" s="527"/>
      <c r="GV236" s="527"/>
      <c r="GW236" s="527"/>
      <c r="GX236" s="527"/>
      <c r="GY236" s="527"/>
      <c r="GZ236" s="527"/>
      <c r="HA236" s="527"/>
      <c r="HB236" s="527"/>
      <c r="HC236" s="527"/>
      <c r="HD236" s="527"/>
      <c r="HE236" s="844"/>
      <c r="HF236" s="844"/>
      <c r="HG236" s="844"/>
      <c r="HH236" s="844"/>
      <c r="HI236" s="844"/>
      <c r="HJ236" s="844"/>
      <c r="HK236" s="844"/>
      <c r="HL236" s="844"/>
      <c r="HM236" s="844"/>
      <c r="HN236" s="844"/>
      <c r="HP236" s="466"/>
      <c r="HQ236" s="466"/>
      <c r="HR236" s="466"/>
      <c r="HS236" s="415"/>
      <c r="HT236" s="2292"/>
    </row>
    <row r="237" spans="3:228">
      <c r="C237" s="466"/>
      <c r="D237" s="466"/>
      <c r="E237" s="466"/>
      <c r="F237" s="466"/>
      <c r="G237" s="466"/>
      <c r="H237" s="466"/>
      <c r="I237" s="466"/>
      <c r="J237" s="466"/>
      <c r="K237" s="466"/>
      <c r="L237" s="466"/>
      <c r="M237" s="466"/>
      <c r="N237" s="466"/>
      <c r="O237" s="466"/>
      <c r="P237" s="510"/>
      <c r="Q237" s="510"/>
      <c r="R237" s="510"/>
      <c r="S237" s="510"/>
      <c r="T237" s="510"/>
      <c r="U237" s="510"/>
      <c r="V237" s="510"/>
      <c r="W237" s="510"/>
      <c r="X237" s="510"/>
      <c r="Y237" s="510"/>
      <c r="Z237" s="510"/>
      <c r="AA237" s="510"/>
      <c r="AB237" s="510"/>
      <c r="AC237" s="510"/>
      <c r="AD237" s="510"/>
      <c r="AE237" s="510"/>
      <c r="AF237" s="510"/>
      <c r="AG237" s="510"/>
      <c r="AH237" s="510"/>
      <c r="AI237" s="510"/>
      <c r="AJ237" s="510"/>
      <c r="AK237" s="510"/>
      <c r="AL237" s="510"/>
      <c r="AM237" s="510"/>
      <c r="AN237" s="510"/>
      <c r="AO237" s="510"/>
      <c r="AP237" s="510"/>
      <c r="AQ237" s="510"/>
      <c r="AR237" s="510"/>
      <c r="AS237" s="510"/>
      <c r="AT237" s="510"/>
      <c r="AU237" s="510"/>
      <c r="AV237" s="510"/>
      <c r="AW237" s="510"/>
      <c r="AX237" s="510"/>
      <c r="AY237" s="510"/>
      <c r="AZ237" s="466"/>
      <c r="BA237" s="466"/>
      <c r="BB237" s="466"/>
      <c r="BC237" s="466"/>
      <c r="BD237" s="466"/>
      <c r="BE237" s="466"/>
      <c r="BF237" s="466"/>
      <c r="BG237" s="466"/>
      <c r="BH237" s="466"/>
      <c r="BI237" s="466"/>
      <c r="BJ237" s="466"/>
      <c r="BK237" s="466"/>
      <c r="BL237" s="466"/>
      <c r="BM237" s="466"/>
      <c r="BN237" s="466"/>
      <c r="BO237" s="466"/>
      <c r="BP237" s="466"/>
      <c r="BQ237" s="466"/>
      <c r="BR237" s="466"/>
      <c r="BS237" s="466"/>
      <c r="BT237" s="466"/>
      <c r="BU237" s="466"/>
      <c r="BV237" s="466"/>
      <c r="BW237" s="466"/>
      <c r="BX237" s="466"/>
      <c r="BY237" s="466"/>
      <c r="BZ237" s="466"/>
      <c r="CA237" s="466"/>
      <c r="CB237" s="466"/>
      <c r="CC237" s="466"/>
      <c r="CD237" s="466"/>
      <c r="CE237" s="466"/>
      <c r="CF237" s="466"/>
      <c r="CG237" s="466"/>
      <c r="CH237" s="466"/>
      <c r="CI237" s="466"/>
      <c r="CJ237" s="466"/>
      <c r="CK237" s="466"/>
      <c r="CL237" s="466"/>
      <c r="CM237" s="466"/>
      <c r="CN237" s="466"/>
      <c r="CO237" s="466"/>
      <c r="CP237" s="466"/>
      <c r="CQ237" s="466"/>
      <c r="CR237" s="466"/>
      <c r="CS237" s="466"/>
      <c r="CT237" s="466"/>
      <c r="CU237" s="466"/>
      <c r="CV237" s="466"/>
      <c r="CW237" s="466"/>
      <c r="CX237" s="466"/>
      <c r="CY237" s="466"/>
      <c r="CZ237" s="466"/>
      <c r="DA237" s="466"/>
      <c r="DB237" s="466"/>
      <c r="DC237" s="466"/>
      <c r="DD237" s="466"/>
      <c r="DE237" s="466"/>
      <c r="DF237" s="466"/>
      <c r="DG237" s="466"/>
      <c r="FE237" s="527"/>
      <c r="FF237" s="466"/>
      <c r="FG237" s="466"/>
      <c r="FH237" s="466"/>
      <c r="FI237" s="466"/>
      <c r="FJ237" s="466"/>
      <c r="FK237" s="466"/>
      <c r="FL237" s="466"/>
      <c r="FM237" s="466"/>
      <c r="FN237" s="466"/>
      <c r="FO237" s="466"/>
      <c r="FP237" s="466"/>
      <c r="FQ237" s="466"/>
      <c r="FR237" s="466"/>
      <c r="FS237" s="466"/>
      <c r="FT237" s="466"/>
      <c r="FU237" s="466"/>
      <c r="FV237" s="466"/>
      <c r="FW237" s="466"/>
      <c r="FX237" s="466"/>
      <c r="FY237" s="466"/>
      <c r="FZ237" s="527"/>
      <c r="GA237" s="527"/>
      <c r="GB237" s="527"/>
      <c r="GC237" s="527"/>
      <c r="GD237" s="527"/>
      <c r="GE237" s="527"/>
      <c r="GF237" s="527"/>
      <c r="GG237" s="527"/>
      <c r="GH237" s="527"/>
      <c r="GI237" s="527"/>
      <c r="GJ237" s="527"/>
      <c r="GK237" s="527"/>
      <c r="GL237" s="527"/>
      <c r="GM237" s="527"/>
      <c r="GN237" s="527"/>
      <c r="GV237" s="527"/>
      <c r="GW237" s="527"/>
      <c r="GX237" s="527"/>
      <c r="GY237" s="527"/>
      <c r="GZ237" s="527"/>
      <c r="HA237" s="527"/>
      <c r="HB237" s="527"/>
      <c r="HC237" s="527"/>
      <c r="HD237" s="527"/>
      <c r="HE237" s="844"/>
      <c r="HF237" s="844"/>
      <c r="HG237" s="844"/>
      <c r="HH237" s="844"/>
      <c r="HI237" s="844"/>
      <c r="HJ237" s="844"/>
      <c r="HK237" s="844"/>
      <c r="HL237" s="844"/>
      <c r="HM237" s="844"/>
      <c r="HN237" s="844"/>
      <c r="HP237" s="466"/>
      <c r="HQ237" s="466"/>
      <c r="HR237" s="466"/>
      <c r="HS237" s="415"/>
      <c r="HT237" s="2292"/>
    </row>
    <row r="238" spans="3:228">
      <c r="C238" s="466"/>
      <c r="D238" s="466"/>
      <c r="E238" s="466"/>
      <c r="F238" s="466"/>
      <c r="G238" s="466"/>
      <c r="H238" s="466"/>
      <c r="I238" s="466"/>
      <c r="J238" s="466"/>
      <c r="K238" s="466"/>
      <c r="L238" s="466"/>
      <c r="M238" s="466"/>
      <c r="N238" s="466"/>
      <c r="O238" s="466"/>
      <c r="P238" s="510"/>
      <c r="Q238" s="510"/>
      <c r="R238" s="510"/>
      <c r="S238" s="510"/>
      <c r="T238" s="510"/>
      <c r="U238" s="510"/>
      <c r="V238" s="510"/>
      <c r="W238" s="510"/>
      <c r="X238" s="510"/>
      <c r="Y238" s="510"/>
      <c r="Z238" s="510"/>
      <c r="AA238" s="510"/>
      <c r="AB238" s="510"/>
      <c r="AC238" s="510"/>
      <c r="AD238" s="510"/>
      <c r="AE238" s="510"/>
      <c r="AF238" s="510"/>
      <c r="AG238" s="510"/>
      <c r="AH238" s="510"/>
      <c r="AI238" s="510"/>
      <c r="AJ238" s="510"/>
      <c r="AK238" s="510"/>
      <c r="AL238" s="510"/>
      <c r="AM238" s="510"/>
      <c r="AN238" s="510"/>
      <c r="AO238" s="510"/>
      <c r="AP238" s="510"/>
      <c r="AQ238" s="510"/>
      <c r="AR238" s="510"/>
      <c r="AS238" s="510"/>
      <c r="AT238" s="510"/>
      <c r="AU238" s="510"/>
      <c r="AV238" s="510"/>
      <c r="AW238" s="510"/>
      <c r="AX238" s="510"/>
      <c r="AY238" s="510"/>
      <c r="AZ238" s="466"/>
      <c r="BA238" s="466"/>
      <c r="BB238" s="466"/>
      <c r="BC238" s="466"/>
      <c r="BD238" s="466"/>
      <c r="BE238" s="466"/>
      <c r="BF238" s="466"/>
      <c r="BG238" s="466"/>
      <c r="BH238" s="466"/>
      <c r="BI238" s="466"/>
      <c r="BJ238" s="466"/>
      <c r="BK238" s="466"/>
      <c r="BL238" s="466"/>
      <c r="BM238" s="466"/>
      <c r="BN238" s="466"/>
      <c r="BO238" s="466"/>
      <c r="BP238" s="466"/>
      <c r="BQ238" s="466"/>
      <c r="BR238" s="466"/>
      <c r="BS238" s="466"/>
      <c r="BT238" s="466"/>
      <c r="BU238" s="466"/>
      <c r="BV238" s="466"/>
      <c r="BW238" s="466"/>
      <c r="BX238" s="466"/>
      <c r="BY238" s="466"/>
      <c r="BZ238" s="466"/>
      <c r="CA238" s="466"/>
      <c r="CB238" s="466"/>
      <c r="CC238" s="466"/>
      <c r="CD238" s="466"/>
      <c r="CE238" s="466"/>
      <c r="CF238" s="466"/>
      <c r="CG238" s="466"/>
      <c r="CH238" s="466"/>
      <c r="CI238" s="466"/>
      <c r="CJ238" s="466"/>
      <c r="CK238" s="466"/>
      <c r="CL238" s="466"/>
      <c r="CM238" s="466"/>
      <c r="CN238" s="466"/>
      <c r="CO238" s="466"/>
      <c r="CP238" s="466"/>
      <c r="CQ238" s="466"/>
      <c r="CR238" s="466"/>
      <c r="CS238" s="466"/>
      <c r="CT238" s="466"/>
      <c r="CU238" s="466"/>
      <c r="CV238" s="466"/>
      <c r="CW238" s="466"/>
      <c r="CX238" s="466"/>
      <c r="CY238" s="466"/>
      <c r="CZ238" s="466"/>
      <c r="DA238" s="466"/>
      <c r="DB238" s="466"/>
      <c r="DC238" s="466"/>
      <c r="DD238" s="466"/>
      <c r="DE238" s="466"/>
      <c r="DF238" s="466"/>
      <c r="DG238" s="466"/>
      <c r="FE238" s="527"/>
      <c r="FF238" s="466"/>
      <c r="FG238" s="466"/>
      <c r="FH238" s="466"/>
      <c r="FI238" s="466"/>
      <c r="FJ238" s="466"/>
      <c r="FK238" s="466"/>
      <c r="FL238" s="466"/>
      <c r="FM238" s="466"/>
      <c r="FN238" s="466"/>
      <c r="FO238" s="466"/>
      <c r="FP238" s="466"/>
      <c r="FQ238" s="466"/>
      <c r="FR238" s="466"/>
      <c r="FS238" s="466"/>
      <c r="FT238" s="466"/>
      <c r="FU238" s="466"/>
      <c r="FV238" s="466"/>
      <c r="FW238" s="466"/>
      <c r="FX238" s="466"/>
      <c r="FY238" s="466"/>
      <c r="FZ238" s="527"/>
      <c r="GA238" s="527"/>
      <c r="GB238" s="527"/>
      <c r="GC238" s="527"/>
      <c r="GD238" s="527"/>
      <c r="GE238" s="527"/>
      <c r="GF238" s="527"/>
      <c r="GG238" s="527"/>
      <c r="GH238" s="527"/>
      <c r="GI238" s="527"/>
      <c r="GJ238" s="527"/>
      <c r="GK238" s="527"/>
      <c r="GL238" s="527"/>
      <c r="GM238" s="527"/>
      <c r="GN238" s="527"/>
      <c r="GV238" s="527"/>
      <c r="GW238" s="527"/>
      <c r="GX238" s="527"/>
      <c r="GY238" s="527"/>
      <c r="GZ238" s="527"/>
      <c r="HA238" s="527"/>
      <c r="HB238" s="527"/>
      <c r="HC238" s="527"/>
      <c r="HD238" s="527"/>
      <c r="HE238" s="844"/>
      <c r="HF238" s="844"/>
      <c r="HG238" s="844"/>
      <c r="HH238" s="844"/>
      <c r="HI238" s="844"/>
      <c r="HJ238" s="844"/>
      <c r="HK238" s="844"/>
      <c r="HL238" s="844"/>
      <c r="HM238" s="844"/>
      <c r="HN238" s="844"/>
      <c r="HP238" s="466"/>
      <c r="HQ238" s="466"/>
      <c r="HR238" s="466"/>
      <c r="HS238" s="415"/>
      <c r="HT238" s="2292"/>
    </row>
    <row r="239" spans="3:228">
      <c r="C239" s="466"/>
      <c r="D239" s="466"/>
      <c r="E239" s="466"/>
      <c r="F239" s="466"/>
      <c r="G239" s="466"/>
      <c r="H239" s="466"/>
      <c r="I239" s="466"/>
      <c r="J239" s="466"/>
      <c r="K239" s="466"/>
      <c r="L239" s="466"/>
      <c r="M239" s="466"/>
      <c r="N239" s="466"/>
      <c r="O239" s="466"/>
      <c r="P239" s="510"/>
      <c r="Q239" s="510"/>
      <c r="R239" s="510"/>
      <c r="S239" s="510"/>
      <c r="T239" s="510"/>
      <c r="U239" s="510"/>
      <c r="V239" s="510"/>
      <c r="W239" s="510"/>
      <c r="X239" s="510"/>
      <c r="Y239" s="510"/>
      <c r="Z239" s="510"/>
      <c r="AA239" s="510"/>
      <c r="AB239" s="510"/>
      <c r="AC239" s="510"/>
      <c r="AD239" s="510"/>
      <c r="AE239" s="510"/>
      <c r="AF239" s="510"/>
      <c r="AG239" s="510"/>
      <c r="AH239" s="510"/>
      <c r="AI239" s="510"/>
      <c r="AJ239" s="510"/>
      <c r="AK239" s="510"/>
      <c r="AL239" s="510"/>
      <c r="AM239" s="510"/>
      <c r="AN239" s="510"/>
      <c r="AO239" s="510"/>
      <c r="AP239" s="510"/>
      <c r="AQ239" s="510"/>
      <c r="AR239" s="510"/>
      <c r="AS239" s="510"/>
      <c r="AT239" s="510"/>
      <c r="AU239" s="510"/>
      <c r="AV239" s="510"/>
      <c r="AW239" s="510"/>
      <c r="AX239" s="510"/>
      <c r="AY239" s="510"/>
      <c r="AZ239" s="466"/>
      <c r="BA239" s="466"/>
      <c r="BB239" s="466"/>
      <c r="BC239" s="466"/>
      <c r="BD239" s="466"/>
      <c r="BE239" s="466"/>
      <c r="BF239" s="466"/>
      <c r="BG239" s="466"/>
      <c r="BH239" s="466"/>
      <c r="BI239" s="466"/>
      <c r="BJ239" s="466"/>
      <c r="BK239" s="466"/>
      <c r="BL239" s="466"/>
      <c r="BM239" s="466"/>
      <c r="BN239" s="466"/>
      <c r="BO239" s="466"/>
      <c r="BP239" s="466"/>
      <c r="BQ239" s="466"/>
      <c r="BR239" s="466"/>
      <c r="BS239" s="466"/>
      <c r="BT239" s="466"/>
      <c r="BU239" s="466"/>
      <c r="BV239" s="466"/>
      <c r="BW239" s="466"/>
      <c r="BX239" s="466"/>
      <c r="BY239" s="466"/>
      <c r="BZ239" s="466"/>
      <c r="CA239" s="466"/>
      <c r="CB239" s="466"/>
      <c r="CC239" s="466"/>
      <c r="CD239" s="466"/>
      <c r="CE239" s="466"/>
      <c r="CF239" s="466"/>
      <c r="CG239" s="466"/>
      <c r="CH239" s="466"/>
      <c r="CI239" s="466"/>
      <c r="CJ239" s="466"/>
      <c r="CK239" s="466"/>
      <c r="CL239" s="466"/>
      <c r="CM239" s="466"/>
      <c r="CN239" s="466"/>
      <c r="CO239" s="466"/>
      <c r="CP239" s="466"/>
      <c r="CQ239" s="466"/>
      <c r="CR239" s="466"/>
      <c r="CS239" s="466"/>
      <c r="CT239" s="466"/>
      <c r="CU239" s="466"/>
      <c r="CV239" s="466"/>
      <c r="CW239" s="466"/>
      <c r="CX239" s="466"/>
      <c r="CY239" s="466"/>
      <c r="CZ239" s="466"/>
      <c r="DA239" s="466"/>
      <c r="DB239" s="466"/>
      <c r="DC239" s="466"/>
      <c r="DD239" s="466"/>
      <c r="DE239" s="466"/>
      <c r="DF239" s="466"/>
      <c r="DG239" s="466"/>
      <c r="FE239" s="527"/>
      <c r="FF239" s="466"/>
      <c r="FG239" s="466"/>
      <c r="FH239" s="466"/>
      <c r="FI239" s="466"/>
      <c r="FJ239" s="466"/>
      <c r="FK239" s="466"/>
      <c r="FL239" s="466"/>
      <c r="FM239" s="466"/>
      <c r="FN239" s="466"/>
      <c r="FO239" s="466"/>
      <c r="FP239" s="466"/>
      <c r="FQ239" s="466"/>
      <c r="FR239" s="466"/>
      <c r="FS239" s="466"/>
      <c r="FT239" s="466"/>
      <c r="FU239" s="466"/>
      <c r="FV239" s="466"/>
      <c r="FW239" s="466"/>
      <c r="FX239" s="466"/>
      <c r="FY239" s="466"/>
      <c r="FZ239" s="527"/>
      <c r="GA239" s="527"/>
      <c r="GB239" s="527"/>
      <c r="GC239" s="527"/>
      <c r="GD239" s="527"/>
      <c r="GE239" s="527"/>
      <c r="GF239" s="527"/>
      <c r="GG239" s="527"/>
      <c r="GH239" s="527"/>
      <c r="GI239" s="527"/>
      <c r="GJ239" s="527"/>
      <c r="GK239" s="527"/>
      <c r="GL239" s="527"/>
      <c r="GM239" s="527"/>
      <c r="GN239" s="527"/>
      <c r="GV239" s="527"/>
      <c r="GW239" s="527"/>
      <c r="GX239" s="527"/>
      <c r="GY239" s="527"/>
      <c r="GZ239" s="527"/>
      <c r="HA239" s="527"/>
      <c r="HB239" s="527"/>
      <c r="HC239" s="527"/>
      <c r="HD239" s="527"/>
      <c r="HE239" s="844"/>
      <c r="HF239" s="844"/>
      <c r="HG239" s="844"/>
      <c r="HH239" s="844"/>
      <c r="HI239" s="844"/>
      <c r="HJ239" s="844"/>
      <c r="HK239" s="844"/>
      <c r="HL239" s="844"/>
      <c r="HM239" s="844"/>
      <c r="HN239" s="844"/>
      <c r="HP239" s="466"/>
      <c r="HQ239" s="466"/>
      <c r="HR239" s="466"/>
      <c r="HS239" s="415"/>
      <c r="HT239" s="2292"/>
    </row>
    <row r="240" spans="3:228">
      <c r="C240" s="466"/>
      <c r="D240" s="466"/>
      <c r="E240" s="466"/>
      <c r="F240" s="466"/>
      <c r="G240" s="466"/>
      <c r="H240" s="466"/>
      <c r="I240" s="466"/>
      <c r="J240" s="466"/>
      <c r="K240" s="466"/>
      <c r="L240" s="466"/>
      <c r="M240" s="466"/>
      <c r="N240" s="466"/>
      <c r="O240" s="466"/>
      <c r="P240" s="510"/>
      <c r="Q240" s="510"/>
      <c r="R240" s="510"/>
      <c r="S240" s="510"/>
      <c r="T240" s="510"/>
      <c r="U240" s="510"/>
      <c r="V240" s="510"/>
      <c r="W240" s="510"/>
      <c r="X240" s="510"/>
      <c r="Y240" s="510"/>
      <c r="Z240" s="510"/>
      <c r="AA240" s="510"/>
      <c r="AB240" s="510"/>
      <c r="AC240" s="510"/>
      <c r="AD240" s="510"/>
      <c r="AE240" s="510"/>
      <c r="AF240" s="510"/>
      <c r="AG240" s="510"/>
      <c r="AH240" s="510"/>
      <c r="AI240" s="510"/>
      <c r="AJ240" s="510"/>
      <c r="AK240" s="510"/>
      <c r="AL240" s="510"/>
      <c r="AM240" s="510"/>
      <c r="AN240" s="510"/>
      <c r="AO240" s="510"/>
      <c r="AP240" s="510"/>
      <c r="AQ240" s="510"/>
      <c r="AR240" s="510"/>
      <c r="AS240" s="510"/>
      <c r="AT240" s="510"/>
      <c r="AU240" s="510"/>
      <c r="AV240" s="510"/>
      <c r="AW240" s="510"/>
      <c r="AX240" s="510"/>
      <c r="AY240" s="510"/>
      <c r="AZ240" s="466"/>
      <c r="BA240" s="466"/>
      <c r="BB240" s="466"/>
      <c r="BC240" s="466"/>
      <c r="BD240" s="466"/>
      <c r="BE240" s="466"/>
      <c r="BF240" s="466"/>
      <c r="BG240" s="466"/>
      <c r="BH240" s="466"/>
      <c r="BI240" s="466"/>
      <c r="BJ240" s="466"/>
      <c r="BK240" s="466"/>
      <c r="BL240" s="466"/>
      <c r="BM240" s="466"/>
      <c r="BN240" s="466"/>
      <c r="BO240" s="466"/>
      <c r="BP240" s="466"/>
      <c r="BQ240" s="466"/>
      <c r="BR240" s="466"/>
      <c r="BS240" s="466"/>
      <c r="BT240" s="466"/>
      <c r="BU240" s="466"/>
      <c r="BV240" s="466"/>
      <c r="BW240" s="466"/>
      <c r="BX240" s="466"/>
      <c r="BY240" s="466"/>
      <c r="BZ240" s="466"/>
      <c r="CA240" s="466"/>
      <c r="CB240" s="466"/>
      <c r="CC240" s="466"/>
      <c r="CD240" s="466"/>
      <c r="CE240" s="466"/>
      <c r="CF240" s="466"/>
      <c r="CG240" s="466"/>
      <c r="CH240" s="466"/>
      <c r="CI240" s="466"/>
      <c r="CJ240" s="466"/>
      <c r="CK240" s="466"/>
      <c r="CL240" s="466"/>
      <c r="CM240" s="466"/>
      <c r="CN240" s="466"/>
      <c r="CO240" s="466"/>
      <c r="CP240" s="466"/>
      <c r="CQ240" s="466"/>
      <c r="CR240" s="466"/>
      <c r="CS240" s="466"/>
      <c r="CT240" s="466"/>
      <c r="CU240" s="466"/>
      <c r="CV240" s="466"/>
      <c r="CW240" s="466"/>
      <c r="CX240" s="466"/>
      <c r="CY240" s="466"/>
      <c r="CZ240" s="466"/>
      <c r="DA240" s="466"/>
      <c r="DB240" s="466"/>
      <c r="DC240" s="466"/>
      <c r="DD240" s="466"/>
      <c r="DE240" s="466"/>
      <c r="DF240" s="466"/>
      <c r="DG240" s="466"/>
      <c r="FE240" s="527"/>
      <c r="FF240" s="466"/>
      <c r="FG240" s="466"/>
      <c r="FH240" s="466"/>
      <c r="FI240" s="466"/>
      <c r="FJ240" s="466"/>
      <c r="FK240" s="466"/>
      <c r="FL240" s="466"/>
      <c r="FM240" s="466"/>
      <c r="FN240" s="466"/>
      <c r="FO240" s="466"/>
      <c r="FP240" s="466"/>
      <c r="FQ240" s="466"/>
      <c r="FR240" s="466"/>
      <c r="FS240" s="466"/>
      <c r="FT240" s="466"/>
      <c r="FU240" s="466"/>
      <c r="FV240" s="466"/>
      <c r="FW240" s="466"/>
      <c r="FX240" s="466"/>
      <c r="FY240" s="466"/>
      <c r="FZ240" s="527"/>
      <c r="GA240" s="527"/>
      <c r="GB240" s="527"/>
      <c r="GC240" s="527"/>
      <c r="GD240" s="527"/>
      <c r="GE240" s="527"/>
      <c r="GF240" s="527"/>
      <c r="GG240" s="527"/>
      <c r="GH240" s="527"/>
      <c r="GI240" s="527"/>
      <c r="GJ240" s="527"/>
      <c r="GK240" s="527"/>
      <c r="GL240" s="527"/>
      <c r="GM240" s="527"/>
      <c r="GN240" s="527"/>
      <c r="GV240" s="527"/>
      <c r="GW240" s="527"/>
      <c r="GX240" s="527"/>
      <c r="GY240" s="527"/>
      <c r="GZ240" s="527"/>
      <c r="HA240" s="527"/>
      <c r="HB240" s="527"/>
      <c r="HC240" s="527"/>
      <c r="HD240" s="527"/>
      <c r="HE240" s="844"/>
      <c r="HF240" s="844"/>
      <c r="HG240" s="844"/>
      <c r="HH240" s="844"/>
      <c r="HI240" s="844"/>
      <c r="HJ240" s="844"/>
      <c r="HK240" s="844"/>
      <c r="HL240" s="844"/>
      <c r="HM240" s="844"/>
      <c r="HN240" s="844"/>
      <c r="HP240" s="466"/>
      <c r="HQ240" s="466"/>
      <c r="HR240" s="466"/>
      <c r="HS240" s="415"/>
      <c r="HT240" s="2292"/>
    </row>
    <row r="241" spans="3:228">
      <c r="C241" s="466"/>
      <c r="D241" s="466"/>
      <c r="E241" s="466"/>
      <c r="F241" s="466"/>
      <c r="G241" s="466"/>
      <c r="H241" s="466"/>
      <c r="I241" s="466"/>
      <c r="J241" s="466"/>
      <c r="K241" s="466"/>
      <c r="L241" s="466"/>
      <c r="M241" s="466"/>
      <c r="N241" s="466"/>
      <c r="O241" s="466"/>
      <c r="P241" s="510"/>
      <c r="Q241" s="510"/>
      <c r="R241" s="510"/>
      <c r="S241" s="510"/>
      <c r="T241" s="510"/>
      <c r="U241" s="510"/>
      <c r="V241" s="510"/>
      <c r="W241" s="510"/>
      <c r="X241" s="510"/>
      <c r="Y241" s="510"/>
      <c r="Z241" s="510"/>
      <c r="AA241" s="510"/>
      <c r="AB241" s="510"/>
      <c r="AC241" s="510"/>
      <c r="AD241" s="510"/>
      <c r="AE241" s="510"/>
      <c r="AF241" s="510"/>
      <c r="AG241" s="510"/>
      <c r="AH241" s="510"/>
      <c r="AI241" s="510"/>
      <c r="AJ241" s="510"/>
      <c r="AK241" s="510"/>
      <c r="AL241" s="510"/>
      <c r="AM241" s="510"/>
      <c r="AN241" s="510"/>
      <c r="AO241" s="510"/>
      <c r="AP241" s="510"/>
      <c r="AQ241" s="510"/>
      <c r="AR241" s="510"/>
      <c r="AS241" s="510"/>
      <c r="AT241" s="510"/>
      <c r="AU241" s="510"/>
      <c r="AV241" s="510"/>
      <c r="AW241" s="510"/>
      <c r="AX241" s="510"/>
      <c r="AY241" s="510"/>
      <c r="AZ241" s="466"/>
      <c r="BA241" s="466"/>
      <c r="BB241" s="466"/>
      <c r="BC241" s="466"/>
      <c r="BD241" s="466"/>
      <c r="BE241" s="466"/>
      <c r="BF241" s="466"/>
      <c r="BG241" s="466"/>
      <c r="BH241" s="466"/>
      <c r="BI241" s="466"/>
      <c r="BJ241" s="466"/>
      <c r="BK241" s="466"/>
      <c r="BL241" s="466"/>
      <c r="BM241" s="466"/>
      <c r="BN241" s="466"/>
      <c r="BO241" s="466"/>
      <c r="BP241" s="466"/>
      <c r="BQ241" s="466"/>
      <c r="BR241" s="466"/>
      <c r="BS241" s="466"/>
      <c r="BT241" s="466"/>
      <c r="BU241" s="466"/>
      <c r="BV241" s="466"/>
      <c r="BW241" s="466"/>
      <c r="BX241" s="466"/>
      <c r="BY241" s="466"/>
      <c r="BZ241" s="466"/>
      <c r="CA241" s="466"/>
      <c r="CB241" s="466"/>
      <c r="CC241" s="466"/>
      <c r="CD241" s="466"/>
      <c r="CE241" s="466"/>
      <c r="CF241" s="466"/>
      <c r="CG241" s="466"/>
      <c r="CH241" s="466"/>
      <c r="CI241" s="466"/>
      <c r="CJ241" s="466"/>
      <c r="CK241" s="466"/>
      <c r="CL241" s="466"/>
      <c r="CM241" s="466"/>
      <c r="CN241" s="466"/>
      <c r="CO241" s="466"/>
      <c r="CP241" s="466"/>
      <c r="CQ241" s="466"/>
      <c r="CR241" s="466"/>
      <c r="CS241" s="466"/>
      <c r="CT241" s="466"/>
      <c r="CU241" s="466"/>
      <c r="CV241" s="466"/>
      <c r="CW241" s="466"/>
      <c r="CX241" s="466"/>
      <c r="CY241" s="466"/>
      <c r="CZ241" s="466"/>
      <c r="DA241" s="466"/>
      <c r="DB241" s="466"/>
      <c r="DC241" s="466"/>
      <c r="DD241" s="466"/>
      <c r="DE241" s="466"/>
      <c r="DF241" s="466"/>
      <c r="DG241" s="466"/>
      <c r="FE241" s="527"/>
      <c r="FF241" s="466"/>
      <c r="FG241" s="466"/>
      <c r="FH241" s="466"/>
      <c r="FI241" s="466"/>
      <c r="FJ241" s="466"/>
      <c r="FK241" s="466"/>
      <c r="FL241" s="466"/>
      <c r="FM241" s="466"/>
      <c r="FN241" s="466"/>
      <c r="FO241" s="466"/>
      <c r="FP241" s="466"/>
      <c r="FQ241" s="466"/>
      <c r="FR241" s="466"/>
      <c r="FS241" s="466"/>
      <c r="FT241" s="466"/>
      <c r="FU241" s="466"/>
      <c r="FV241" s="466"/>
      <c r="FW241" s="466"/>
      <c r="FX241" s="466"/>
      <c r="FY241" s="466"/>
      <c r="FZ241" s="527"/>
      <c r="GA241" s="527"/>
      <c r="GB241" s="527"/>
      <c r="GC241" s="527"/>
      <c r="GD241" s="527"/>
      <c r="GE241" s="527"/>
      <c r="GF241" s="527"/>
      <c r="GG241" s="527"/>
      <c r="GH241" s="527"/>
      <c r="GI241" s="527"/>
      <c r="GJ241" s="527"/>
      <c r="GK241" s="527"/>
      <c r="GL241" s="527"/>
      <c r="GM241" s="527"/>
      <c r="GN241" s="527"/>
      <c r="GV241" s="527"/>
      <c r="GW241" s="527"/>
      <c r="GX241" s="527"/>
      <c r="GY241" s="527"/>
      <c r="GZ241" s="527"/>
      <c r="HA241" s="527"/>
      <c r="HB241" s="527"/>
      <c r="HC241" s="527"/>
      <c r="HD241" s="527"/>
      <c r="HE241" s="844"/>
      <c r="HF241" s="844"/>
      <c r="HG241" s="844"/>
      <c r="HH241" s="844"/>
      <c r="HI241" s="844"/>
      <c r="HJ241" s="844"/>
      <c r="HK241" s="844"/>
      <c r="HL241" s="844"/>
      <c r="HM241" s="844"/>
      <c r="HN241" s="844"/>
      <c r="HP241" s="466"/>
      <c r="HQ241" s="466"/>
      <c r="HR241" s="466"/>
      <c r="HS241" s="415"/>
      <c r="HT241" s="2292"/>
    </row>
    <row r="242" spans="3:228">
      <c r="C242" s="466"/>
      <c r="D242" s="466"/>
      <c r="E242" s="466"/>
      <c r="F242" s="466"/>
      <c r="G242" s="466"/>
      <c r="H242" s="466"/>
      <c r="I242" s="466"/>
      <c r="J242" s="466"/>
      <c r="K242" s="466"/>
      <c r="L242" s="466"/>
      <c r="M242" s="466"/>
      <c r="N242" s="466"/>
      <c r="O242" s="466"/>
      <c r="P242" s="510"/>
      <c r="Q242" s="510"/>
      <c r="R242" s="510"/>
      <c r="S242" s="510"/>
      <c r="T242" s="510"/>
      <c r="U242" s="510"/>
      <c r="V242" s="510"/>
      <c r="W242" s="510"/>
      <c r="X242" s="510"/>
      <c r="Y242" s="510"/>
      <c r="Z242" s="510"/>
      <c r="AA242" s="510"/>
      <c r="AB242" s="510"/>
      <c r="AC242" s="510"/>
      <c r="AD242" s="510"/>
      <c r="AE242" s="510"/>
      <c r="AF242" s="510"/>
      <c r="AG242" s="510"/>
      <c r="AH242" s="510"/>
      <c r="AI242" s="510"/>
      <c r="AJ242" s="510"/>
      <c r="AK242" s="510"/>
      <c r="AL242" s="510"/>
      <c r="AM242" s="510"/>
      <c r="AN242" s="510"/>
      <c r="AO242" s="510"/>
      <c r="AP242" s="510"/>
      <c r="AQ242" s="510"/>
      <c r="AR242" s="510"/>
      <c r="AS242" s="510"/>
      <c r="AT242" s="510"/>
      <c r="AU242" s="510"/>
      <c r="AV242" s="510"/>
      <c r="AW242" s="510"/>
      <c r="AX242" s="510"/>
      <c r="AY242" s="510"/>
      <c r="AZ242" s="466"/>
      <c r="BA242" s="466"/>
      <c r="BB242" s="466"/>
      <c r="BC242" s="466"/>
      <c r="BD242" s="466"/>
      <c r="BE242" s="466"/>
      <c r="BF242" s="466"/>
      <c r="BG242" s="466"/>
      <c r="BH242" s="466"/>
      <c r="BI242" s="466"/>
      <c r="BJ242" s="466"/>
      <c r="BK242" s="466"/>
      <c r="BL242" s="466"/>
      <c r="BM242" s="466"/>
      <c r="BN242" s="466"/>
      <c r="BO242" s="466"/>
      <c r="BP242" s="466"/>
      <c r="BQ242" s="466"/>
      <c r="BR242" s="466"/>
      <c r="BS242" s="466"/>
      <c r="BT242" s="466"/>
      <c r="BU242" s="466"/>
      <c r="BV242" s="466"/>
      <c r="BW242" s="466"/>
      <c r="BX242" s="466"/>
      <c r="BY242" s="466"/>
      <c r="BZ242" s="466"/>
      <c r="CA242" s="466"/>
      <c r="CB242" s="466"/>
      <c r="CC242" s="466"/>
      <c r="CD242" s="466"/>
      <c r="CE242" s="466"/>
      <c r="CF242" s="466"/>
      <c r="CG242" s="466"/>
      <c r="CH242" s="466"/>
      <c r="CI242" s="466"/>
      <c r="CJ242" s="466"/>
      <c r="CK242" s="466"/>
      <c r="CL242" s="466"/>
      <c r="CM242" s="466"/>
      <c r="CN242" s="466"/>
      <c r="CO242" s="466"/>
      <c r="CP242" s="466"/>
      <c r="CQ242" s="466"/>
      <c r="CR242" s="466"/>
      <c r="CS242" s="466"/>
      <c r="CT242" s="466"/>
      <c r="CU242" s="466"/>
      <c r="CV242" s="466"/>
      <c r="CW242" s="466"/>
      <c r="CX242" s="466"/>
      <c r="CY242" s="466"/>
      <c r="CZ242" s="466"/>
      <c r="DA242" s="466"/>
      <c r="DB242" s="466"/>
      <c r="DC242" s="466"/>
      <c r="DD242" s="466"/>
      <c r="DE242" s="466"/>
      <c r="DF242" s="466"/>
      <c r="DG242" s="466"/>
      <c r="FE242" s="527"/>
      <c r="FF242" s="466"/>
      <c r="FG242" s="466"/>
      <c r="FH242" s="466"/>
      <c r="FI242" s="466"/>
      <c r="FJ242" s="466"/>
      <c r="FK242" s="466"/>
      <c r="FL242" s="466"/>
      <c r="FM242" s="466"/>
      <c r="FN242" s="466"/>
      <c r="FO242" s="466"/>
      <c r="FP242" s="466"/>
      <c r="FQ242" s="466"/>
      <c r="FR242" s="466"/>
      <c r="FS242" s="466"/>
      <c r="FT242" s="466"/>
      <c r="FU242" s="466"/>
      <c r="FV242" s="466"/>
      <c r="FW242" s="466"/>
      <c r="FX242" s="466"/>
      <c r="FY242" s="466"/>
      <c r="FZ242" s="527"/>
      <c r="GA242" s="527"/>
      <c r="GB242" s="527"/>
      <c r="GC242" s="527"/>
      <c r="GD242" s="527"/>
      <c r="GE242" s="527"/>
      <c r="GF242" s="527"/>
      <c r="GG242" s="527"/>
      <c r="GH242" s="527"/>
      <c r="GI242" s="527"/>
      <c r="GJ242" s="527"/>
      <c r="GK242" s="527"/>
      <c r="GL242" s="527"/>
      <c r="GM242" s="527"/>
      <c r="GN242" s="527"/>
      <c r="GV242" s="527"/>
      <c r="GW242" s="527"/>
      <c r="GX242" s="527"/>
      <c r="GY242" s="527"/>
      <c r="GZ242" s="527"/>
      <c r="HA242" s="527"/>
      <c r="HB242" s="527"/>
      <c r="HC242" s="527"/>
      <c r="HD242" s="527"/>
      <c r="HE242" s="844"/>
      <c r="HF242" s="844"/>
      <c r="HG242" s="844"/>
      <c r="HH242" s="844"/>
      <c r="HI242" s="844"/>
      <c r="HJ242" s="844"/>
      <c r="HK242" s="844"/>
      <c r="HL242" s="844"/>
      <c r="HM242" s="844"/>
      <c r="HN242" s="844"/>
      <c r="HP242" s="466"/>
      <c r="HQ242" s="466"/>
      <c r="HR242" s="466"/>
      <c r="HS242" s="415"/>
      <c r="HT242" s="2292"/>
    </row>
    <row r="243" spans="3:228">
      <c r="C243" s="466"/>
      <c r="D243" s="466"/>
      <c r="E243" s="466"/>
      <c r="F243" s="466"/>
      <c r="G243" s="466"/>
      <c r="H243" s="466"/>
      <c r="I243" s="466"/>
      <c r="J243" s="466"/>
      <c r="K243" s="466"/>
      <c r="L243" s="466"/>
      <c r="M243" s="466"/>
      <c r="N243" s="466"/>
      <c r="O243" s="466"/>
      <c r="P243" s="510"/>
      <c r="Q243" s="510"/>
      <c r="R243" s="510"/>
      <c r="S243" s="510"/>
      <c r="T243" s="510"/>
      <c r="U243" s="510"/>
      <c r="V243" s="510"/>
      <c r="W243" s="510"/>
      <c r="X243" s="510"/>
      <c r="Y243" s="510"/>
      <c r="Z243" s="510"/>
      <c r="AA243" s="510"/>
      <c r="AB243" s="510"/>
      <c r="AC243" s="510"/>
      <c r="AD243" s="510"/>
      <c r="AE243" s="510"/>
      <c r="AF243" s="510"/>
      <c r="AG243" s="510"/>
      <c r="AH243" s="510"/>
      <c r="AI243" s="510"/>
      <c r="AJ243" s="510"/>
      <c r="AK243" s="510"/>
      <c r="AL243" s="510"/>
      <c r="AM243" s="510"/>
      <c r="AN243" s="510"/>
      <c r="AO243" s="510"/>
      <c r="AP243" s="510"/>
      <c r="AQ243" s="510"/>
      <c r="AR243" s="510"/>
      <c r="AS243" s="510"/>
      <c r="AT243" s="510"/>
      <c r="AU243" s="510"/>
      <c r="AV243" s="510"/>
      <c r="AW243" s="510"/>
      <c r="AX243" s="510"/>
      <c r="AY243" s="510"/>
      <c r="AZ243" s="466"/>
      <c r="BA243" s="466"/>
      <c r="BB243" s="466"/>
      <c r="BC243" s="466"/>
      <c r="BD243" s="466"/>
      <c r="BE243" s="466"/>
      <c r="BF243" s="466"/>
      <c r="BG243" s="466"/>
      <c r="BH243" s="466"/>
      <c r="BI243" s="466"/>
      <c r="BJ243" s="466"/>
      <c r="BK243" s="466"/>
      <c r="BL243" s="466"/>
      <c r="BM243" s="466"/>
      <c r="BN243" s="466"/>
      <c r="BO243" s="466"/>
      <c r="BP243" s="466"/>
      <c r="BQ243" s="466"/>
      <c r="BR243" s="466"/>
      <c r="BS243" s="466"/>
      <c r="BT243" s="466"/>
      <c r="BU243" s="466"/>
      <c r="BV243" s="466"/>
      <c r="BW243" s="466"/>
      <c r="BX243" s="466"/>
      <c r="BY243" s="466"/>
      <c r="BZ243" s="466"/>
      <c r="CA243" s="466"/>
      <c r="CB243" s="466"/>
      <c r="CC243" s="466"/>
      <c r="CD243" s="466"/>
      <c r="CE243" s="466"/>
      <c r="CF243" s="466"/>
      <c r="CG243" s="466"/>
      <c r="CH243" s="466"/>
      <c r="CI243" s="466"/>
      <c r="CJ243" s="466"/>
      <c r="CK243" s="466"/>
      <c r="CL243" s="466"/>
      <c r="CM243" s="466"/>
      <c r="CN243" s="466"/>
      <c r="CO243" s="466"/>
      <c r="CP243" s="466"/>
      <c r="CQ243" s="466"/>
      <c r="CR243" s="466"/>
      <c r="CS243" s="466"/>
      <c r="CT243" s="466"/>
      <c r="CU243" s="466"/>
      <c r="CV243" s="466"/>
      <c r="CW243" s="466"/>
      <c r="CX243" s="466"/>
      <c r="CY243" s="466"/>
      <c r="CZ243" s="466"/>
      <c r="DA243" s="466"/>
      <c r="DB243" s="466"/>
      <c r="DC243" s="466"/>
      <c r="DD243" s="466"/>
      <c r="DE243" s="466"/>
      <c r="DF243" s="466"/>
      <c r="DG243" s="466"/>
      <c r="FE243" s="527"/>
      <c r="FF243" s="466"/>
      <c r="FG243" s="466"/>
      <c r="FH243" s="466"/>
      <c r="FI243" s="466"/>
      <c r="FJ243" s="466"/>
      <c r="FK243" s="466"/>
      <c r="FL243" s="466"/>
      <c r="FM243" s="466"/>
      <c r="FN243" s="466"/>
      <c r="FO243" s="466"/>
      <c r="FP243" s="466"/>
      <c r="FQ243" s="466"/>
      <c r="FR243" s="466"/>
      <c r="FS243" s="466"/>
      <c r="FT243" s="466"/>
      <c r="FU243" s="466"/>
      <c r="FV243" s="466"/>
      <c r="FW243" s="466"/>
      <c r="FX243" s="466"/>
      <c r="FY243" s="466"/>
      <c r="FZ243" s="527"/>
      <c r="GA243" s="527"/>
      <c r="GB243" s="527"/>
      <c r="GC243" s="527"/>
      <c r="GD243" s="527"/>
      <c r="GE243" s="527"/>
      <c r="GF243" s="527"/>
      <c r="GG243" s="527"/>
      <c r="GH243" s="527"/>
      <c r="GI243" s="527"/>
      <c r="GJ243" s="527"/>
      <c r="GK243" s="527"/>
      <c r="GL243" s="527"/>
      <c r="GM243" s="527"/>
      <c r="GN243" s="527"/>
      <c r="GV243" s="527"/>
      <c r="GW243" s="527"/>
      <c r="GX243" s="527"/>
      <c r="GY243" s="527"/>
      <c r="GZ243" s="527"/>
      <c r="HA243" s="527"/>
      <c r="HB243" s="527"/>
      <c r="HC243" s="527"/>
      <c r="HD243" s="527"/>
      <c r="HE243" s="844"/>
      <c r="HF243" s="844"/>
      <c r="HG243" s="844"/>
      <c r="HH243" s="844"/>
      <c r="HI243" s="844"/>
      <c r="HJ243" s="844"/>
      <c r="HK243" s="844"/>
      <c r="HL243" s="844"/>
      <c r="HM243" s="844"/>
      <c r="HN243" s="844"/>
      <c r="HP243" s="466"/>
      <c r="HQ243" s="466"/>
      <c r="HR243" s="466"/>
      <c r="HS243" s="415"/>
      <c r="HT243" s="2292"/>
    </row>
    <row r="244" spans="3:228">
      <c r="C244" s="466"/>
      <c r="D244" s="466"/>
      <c r="E244" s="466"/>
      <c r="F244" s="466"/>
      <c r="G244" s="466"/>
      <c r="H244" s="466"/>
      <c r="I244" s="466"/>
      <c r="J244" s="466"/>
      <c r="K244" s="466"/>
      <c r="L244" s="466"/>
      <c r="M244" s="466"/>
      <c r="N244" s="466"/>
      <c r="O244" s="466"/>
      <c r="P244" s="510"/>
      <c r="Q244" s="510"/>
      <c r="R244" s="510"/>
      <c r="S244" s="510"/>
      <c r="T244" s="510"/>
      <c r="U244" s="510"/>
      <c r="V244" s="510"/>
      <c r="W244" s="510"/>
      <c r="X244" s="510"/>
      <c r="Y244" s="510"/>
      <c r="Z244" s="510"/>
      <c r="AA244" s="510"/>
      <c r="AB244" s="510"/>
      <c r="AC244" s="510"/>
      <c r="AD244" s="510"/>
      <c r="AE244" s="510"/>
      <c r="AF244" s="510"/>
      <c r="AG244" s="510"/>
      <c r="AH244" s="510"/>
      <c r="AI244" s="510"/>
      <c r="AJ244" s="510"/>
      <c r="AK244" s="510"/>
      <c r="AL244" s="510"/>
      <c r="AM244" s="510"/>
      <c r="AN244" s="510"/>
      <c r="AO244" s="510"/>
      <c r="AP244" s="510"/>
      <c r="AQ244" s="510"/>
      <c r="AR244" s="510"/>
      <c r="AS244" s="510"/>
      <c r="AT244" s="510"/>
      <c r="AU244" s="510"/>
      <c r="AV244" s="510"/>
      <c r="AW244" s="510"/>
      <c r="AX244" s="510"/>
      <c r="AY244" s="510"/>
      <c r="AZ244" s="466"/>
      <c r="BA244" s="466"/>
      <c r="BB244" s="466"/>
      <c r="BC244" s="466"/>
      <c r="BD244" s="466"/>
      <c r="BE244" s="466"/>
      <c r="BF244" s="466"/>
      <c r="BG244" s="466"/>
      <c r="BH244" s="466"/>
      <c r="BI244" s="466"/>
      <c r="BJ244" s="466"/>
      <c r="BK244" s="466"/>
      <c r="BL244" s="466"/>
      <c r="BM244" s="466"/>
      <c r="BN244" s="466"/>
      <c r="BO244" s="466"/>
      <c r="BP244" s="466"/>
      <c r="BQ244" s="466"/>
      <c r="BR244" s="466"/>
      <c r="BS244" s="466"/>
      <c r="BT244" s="466"/>
      <c r="BU244" s="466"/>
      <c r="BV244" s="466"/>
      <c r="BW244" s="466"/>
      <c r="BX244" s="466"/>
      <c r="BY244" s="466"/>
      <c r="BZ244" s="466"/>
      <c r="CA244" s="466"/>
      <c r="CB244" s="466"/>
      <c r="CC244" s="466"/>
      <c r="CD244" s="466"/>
      <c r="CE244" s="466"/>
      <c r="CF244" s="466"/>
      <c r="CG244" s="466"/>
      <c r="CH244" s="466"/>
      <c r="CI244" s="466"/>
      <c r="CJ244" s="466"/>
      <c r="CK244" s="466"/>
      <c r="CL244" s="466"/>
      <c r="CM244" s="466"/>
      <c r="CN244" s="466"/>
      <c r="CO244" s="466"/>
      <c r="CP244" s="466"/>
      <c r="CQ244" s="466"/>
      <c r="CR244" s="466"/>
      <c r="CS244" s="466"/>
      <c r="CT244" s="466"/>
      <c r="CU244" s="466"/>
      <c r="CV244" s="466"/>
      <c r="CW244" s="466"/>
      <c r="CX244" s="466"/>
      <c r="CY244" s="466"/>
      <c r="CZ244" s="466"/>
      <c r="DA244" s="466"/>
      <c r="DB244" s="466"/>
      <c r="DC244" s="466"/>
      <c r="DD244" s="466"/>
      <c r="DE244" s="466"/>
      <c r="DF244" s="466"/>
      <c r="DG244" s="466"/>
      <c r="FE244" s="527"/>
      <c r="FF244" s="466"/>
      <c r="FG244" s="466"/>
      <c r="FH244" s="466"/>
      <c r="FI244" s="466"/>
      <c r="FJ244" s="466"/>
      <c r="FK244" s="466"/>
      <c r="FL244" s="466"/>
      <c r="FM244" s="466"/>
      <c r="FN244" s="466"/>
      <c r="FO244" s="466"/>
      <c r="FP244" s="466"/>
      <c r="FQ244" s="466"/>
      <c r="FR244" s="466"/>
      <c r="FS244" s="466"/>
      <c r="FT244" s="466"/>
      <c r="FU244" s="466"/>
      <c r="FV244" s="466"/>
      <c r="FW244" s="466"/>
      <c r="FX244" s="466"/>
      <c r="FY244" s="466"/>
      <c r="FZ244" s="527"/>
      <c r="GA244" s="527"/>
      <c r="GB244" s="527"/>
      <c r="GC244" s="527"/>
      <c r="GD244" s="527"/>
      <c r="GE244" s="527"/>
      <c r="GF244" s="527"/>
      <c r="GG244" s="527"/>
      <c r="GH244" s="527"/>
      <c r="GI244" s="527"/>
      <c r="GJ244" s="527"/>
      <c r="GK244" s="527"/>
      <c r="GL244" s="527"/>
      <c r="GM244" s="527"/>
      <c r="GN244" s="527"/>
      <c r="GV244" s="527"/>
      <c r="GW244" s="527"/>
      <c r="GX244" s="527"/>
      <c r="GY244" s="527"/>
      <c r="GZ244" s="527"/>
      <c r="HA244" s="527"/>
      <c r="HB244" s="527"/>
      <c r="HC244" s="527"/>
      <c r="HD244" s="527"/>
      <c r="HE244" s="844"/>
      <c r="HF244" s="844"/>
      <c r="HG244" s="844"/>
      <c r="HH244" s="844"/>
      <c r="HI244" s="844"/>
      <c r="HJ244" s="844"/>
      <c r="HK244" s="844"/>
      <c r="HL244" s="844"/>
      <c r="HM244" s="844"/>
      <c r="HN244" s="844"/>
      <c r="HP244" s="466"/>
      <c r="HQ244" s="466"/>
      <c r="HR244" s="466"/>
      <c r="HS244" s="415"/>
      <c r="HT244" s="2292"/>
    </row>
    <row r="245" spans="3:228">
      <c r="C245" s="466"/>
      <c r="D245" s="466"/>
      <c r="E245" s="466"/>
      <c r="F245" s="466"/>
      <c r="G245" s="466"/>
      <c r="H245" s="466"/>
      <c r="I245" s="466"/>
      <c r="J245" s="466"/>
      <c r="K245" s="466"/>
      <c r="L245" s="466"/>
      <c r="M245" s="466"/>
      <c r="N245" s="466"/>
      <c r="O245" s="466"/>
      <c r="P245" s="510"/>
      <c r="Q245" s="510"/>
      <c r="R245" s="510"/>
      <c r="S245" s="510"/>
      <c r="T245" s="510"/>
      <c r="U245" s="510"/>
      <c r="V245" s="510"/>
      <c r="W245" s="510"/>
      <c r="X245" s="510"/>
      <c r="Y245" s="510"/>
      <c r="Z245" s="510"/>
      <c r="AA245" s="510"/>
      <c r="AB245" s="510"/>
      <c r="AC245" s="510"/>
      <c r="AD245" s="510"/>
      <c r="AE245" s="510"/>
      <c r="AF245" s="510"/>
      <c r="AG245" s="510"/>
      <c r="AH245" s="510"/>
      <c r="AI245" s="510"/>
      <c r="AJ245" s="510"/>
      <c r="AK245" s="510"/>
      <c r="AL245" s="510"/>
      <c r="AM245" s="510"/>
      <c r="AN245" s="510"/>
      <c r="AO245" s="510"/>
      <c r="AP245" s="510"/>
      <c r="AQ245" s="510"/>
      <c r="AR245" s="510"/>
      <c r="AS245" s="510"/>
      <c r="AT245" s="510"/>
      <c r="AU245" s="510"/>
      <c r="AV245" s="510"/>
      <c r="AW245" s="510"/>
      <c r="AX245" s="510"/>
      <c r="AY245" s="510"/>
      <c r="AZ245" s="466"/>
      <c r="BA245" s="466"/>
      <c r="BB245" s="466"/>
      <c r="BC245" s="466"/>
      <c r="BD245" s="466"/>
      <c r="BE245" s="466"/>
      <c r="BF245" s="466"/>
      <c r="BG245" s="466"/>
      <c r="BH245" s="466"/>
      <c r="BI245" s="466"/>
      <c r="BJ245" s="466"/>
      <c r="BK245" s="466"/>
      <c r="BL245" s="466"/>
      <c r="BM245" s="466"/>
      <c r="BN245" s="466"/>
      <c r="BO245" s="466"/>
      <c r="BP245" s="466"/>
      <c r="BQ245" s="466"/>
      <c r="BR245" s="466"/>
      <c r="BS245" s="466"/>
      <c r="BT245" s="466"/>
      <c r="BU245" s="466"/>
      <c r="BV245" s="466"/>
      <c r="BW245" s="466"/>
      <c r="BX245" s="466"/>
      <c r="BY245" s="466"/>
      <c r="BZ245" s="466"/>
      <c r="CA245" s="466"/>
      <c r="CB245" s="466"/>
      <c r="CC245" s="466"/>
      <c r="CD245" s="466"/>
      <c r="CE245" s="466"/>
      <c r="CF245" s="466"/>
      <c r="CG245" s="466"/>
      <c r="CH245" s="466"/>
      <c r="CI245" s="466"/>
      <c r="CJ245" s="466"/>
      <c r="CK245" s="466"/>
      <c r="CL245" s="466"/>
      <c r="CM245" s="466"/>
      <c r="CN245" s="466"/>
      <c r="CO245" s="466"/>
      <c r="CP245" s="466"/>
      <c r="CQ245" s="466"/>
      <c r="CR245" s="466"/>
      <c r="CS245" s="466"/>
      <c r="CT245" s="466"/>
      <c r="CU245" s="466"/>
      <c r="CV245" s="466"/>
      <c r="CW245" s="466"/>
      <c r="CX245" s="466"/>
      <c r="CY245" s="466"/>
      <c r="CZ245" s="466"/>
      <c r="DA245" s="466"/>
      <c r="DB245" s="466"/>
      <c r="DC245" s="466"/>
      <c r="DD245" s="466"/>
      <c r="DE245" s="466"/>
      <c r="DF245" s="466"/>
      <c r="DG245" s="466"/>
      <c r="FE245" s="527"/>
      <c r="FF245" s="466"/>
      <c r="FG245" s="466"/>
      <c r="FH245" s="466"/>
      <c r="FI245" s="466"/>
      <c r="FJ245" s="466"/>
      <c r="FK245" s="466"/>
      <c r="FL245" s="466"/>
      <c r="FM245" s="466"/>
      <c r="FN245" s="466"/>
      <c r="FO245" s="466"/>
      <c r="FP245" s="466"/>
      <c r="FQ245" s="466"/>
      <c r="FR245" s="466"/>
      <c r="FS245" s="466"/>
      <c r="FT245" s="466"/>
      <c r="FU245" s="466"/>
      <c r="FV245" s="466"/>
      <c r="FW245" s="466"/>
      <c r="FX245" s="466"/>
      <c r="FY245" s="466"/>
      <c r="FZ245" s="527"/>
      <c r="GA245" s="527"/>
      <c r="GB245" s="527"/>
      <c r="GC245" s="527"/>
      <c r="GD245" s="527"/>
      <c r="GE245" s="527"/>
      <c r="GF245" s="527"/>
      <c r="GG245" s="527"/>
      <c r="GH245" s="527"/>
      <c r="GI245" s="527"/>
      <c r="GJ245" s="527"/>
      <c r="GK245" s="527"/>
      <c r="GL245" s="527"/>
      <c r="GM245" s="527"/>
      <c r="GN245" s="527"/>
      <c r="GV245" s="527"/>
      <c r="GW245" s="527"/>
      <c r="GX245" s="527"/>
      <c r="GY245" s="527"/>
      <c r="GZ245" s="527"/>
      <c r="HA245" s="527"/>
      <c r="HB245" s="527"/>
      <c r="HC245" s="527"/>
      <c r="HD245" s="527"/>
      <c r="HE245" s="844"/>
      <c r="HF245" s="844"/>
      <c r="HG245" s="844"/>
      <c r="HH245" s="844"/>
      <c r="HI245" s="844"/>
      <c r="HJ245" s="844"/>
      <c r="HK245" s="844"/>
      <c r="HL245" s="844"/>
      <c r="HM245" s="844"/>
      <c r="HN245" s="844"/>
      <c r="HP245" s="466"/>
      <c r="HQ245" s="466"/>
      <c r="HR245" s="466"/>
      <c r="HS245" s="415"/>
      <c r="HT245" s="2292"/>
    </row>
    <row r="246" spans="3:228">
      <c r="C246" s="466"/>
      <c r="D246" s="466"/>
      <c r="E246" s="466"/>
      <c r="F246" s="466"/>
      <c r="G246" s="466"/>
      <c r="H246" s="466"/>
      <c r="I246" s="466"/>
      <c r="J246" s="466"/>
      <c r="K246" s="466"/>
      <c r="L246" s="466"/>
      <c r="M246" s="466"/>
      <c r="N246" s="466"/>
      <c r="O246" s="466"/>
      <c r="P246" s="510"/>
      <c r="Q246" s="510"/>
      <c r="R246" s="510"/>
      <c r="S246" s="510"/>
      <c r="T246" s="510"/>
      <c r="U246" s="510"/>
      <c r="V246" s="510"/>
      <c r="W246" s="510"/>
      <c r="X246" s="510"/>
      <c r="Y246" s="510"/>
      <c r="Z246" s="510"/>
      <c r="AA246" s="510"/>
      <c r="AB246" s="510"/>
      <c r="AC246" s="510"/>
      <c r="AD246" s="510"/>
      <c r="AE246" s="510"/>
      <c r="AF246" s="510"/>
      <c r="AG246" s="510"/>
      <c r="AH246" s="510"/>
      <c r="AI246" s="510"/>
      <c r="AJ246" s="510"/>
      <c r="AK246" s="510"/>
      <c r="AL246" s="510"/>
      <c r="AM246" s="510"/>
      <c r="AN246" s="510"/>
      <c r="AO246" s="510"/>
      <c r="AP246" s="510"/>
      <c r="AQ246" s="510"/>
      <c r="AR246" s="510"/>
      <c r="AS246" s="510"/>
      <c r="AT246" s="510"/>
      <c r="AU246" s="510"/>
      <c r="AV246" s="510"/>
      <c r="AW246" s="510"/>
      <c r="AX246" s="510"/>
      <c r="AY246" s="510"/>
      <c r="AZ246" s="466"/>
      <c r="BA246" s="466"/>
      <c r="BB246" s="466"/>
      <c r="BC246" s="466"/>
      <c r="BD246" s="466"/>
      <c r="BE246" s="466"/>
      <c r="BF246" s="466"/>
      <c r="BG246" s="466"/>
      <c r="BH246" s="466"/>
      <c r="BI246" s="466"/>
      <c r="BJ246" s="466"/>
      <c r="BK246" s="466"/>
      <c r="BL246" s="466"/>
      <c r="BM246" s="466"/>
      <c r="BN246" s="466"/>
      <c r="BO246" s="466"/>
      <c r="BP246" s="466"/>
      <c r="BQ246" s="466"/>
      <c r="BR246" s="466"/>
      <c r="BS246" s="466"/>
      <c r="BT246" s="466"/>
      <c r="BU246" s="466"/>
      <c r="BV246" s="466"/>
      <c r="BW246" s="466"/>
      <c r="BX246" s="466"/>
      <c r="BY246" s="466"/>
      <c r="BZ246" s="466"/>
      <c r="CA246" s="466"/>
      <c r="CB246" s="466"/>
      <c r="CC246" s="466"/>
      <c r="CD246" s="466"/>
      <c r="CE246" s="466"/>
      <c r="CF246" s="466"/>
      <c r="CG246" s="466"/>
      <c r="CH246" s="466"/>
      <c r="CI246" s="466"/>
      <c r="CJ246" s="466"/>
      <c r="CK246" s="466"/>
      <c r="CL246" s="466"/>
      <c r="CM246" s="466"/>
      <c r="CN246" s="466"/>
      <c r="CO246" s="466"/>
      <c r="CP246" s="466"/>
      <c r="CQ246" s="466"/>
      <c r="CR246" s="466"/>
      <c r="CS246" s="466"/>
      <c r="CT246" s="466"/>
      <c r="CU246" s="466"/>
      <c r="CV246" s="466"/>
      <c r="CW246" s="466"/>
      <c r="CX246" s="466"/>
      <c r="CY246" s="466"/>
      <c r="CZ246" s="466"/>
      <c r="DA246" s="466"/>
      <c r="DB246" s="466"/>
      <c r="DC246" s="466"/>
      <c r="DD246" s="466"/>
      <c r="DE246" s="466"/>
      <c r="DF246" s="466"/>
      <c r="DG246" s="466"/>
      <c r="FE246" s="527"/>
      <c r="FF246" s="466"/>
      <c r="FG246" s="466"/>
      <c r="FH246" s="466"/>
      <c r="FI246" s="466"/>
      <c r="FJ246" s="466"/>
      <c r="FK246" s="466"/>
      <c r="FL246" s="466"/>
      <c r="FM246" s="466"/>
      <c r="FN246" s="466"/>
      <c r="FO246" s="466"/>
      <c r="FP246" s="466"/>
      <c r="FQ246" s="466"/>
      <c r="FR246" s="466"/>
      <c r="FS246" s="466"/>
      <c r="FT246" s="466"/>
      <c r="FU246" s="466"/>
      <c r="FV246" s="466"/>
      <c r="FW246" s="466"/>
      <c r="FX246" s="466"/>
      <c r="FY246" s="466"/>
      <c r="FZ246" s="527"/>
      <c r="GA246" s="527"/>
      <c r="GB246" s="527"/>
      <c r="GC246" s="527"/>
      <c r="GD246" s="527"/>
      <c r="GE246" s="527"/>
      <c r="GF246" s="527"/>
      <c r="GG246" s="527"/>
      <c r="GH246" s="527"/>
      <c r="GI246" s="527"/>
      <c r="GJ246" s="527"/>
      <c r="GK246" s="527"/>
      <c r="GL246" s="527"/>
      <c r="GM246" s="527"/>
      <c r="GN246" s="527"/>
      <c r="GV246" s="527"/>
      <c r="GW246" s="527"/>
      <c r="GX246" s="527"/>
      <c r="GY246" s="527"/>
      <c r="GZ246" s="527"/>
      <c r="HA246" s="527"/>
      <c r="HB246" s="527"/>
      <c r="HC246" s="527"/>
      <c r="HD246" s="527"/>
      <c r="HE246" s="844"/>
      <c r="HF246" s="844"/>
      <c r="HG246" s="844"/>
      <c r="HH246" s="844"/>
      <c r="HI246" s="844"/>
      <c r="HJ246" s="844"/>
      <c r="HK246" s="844"/>
      <c r="HL246" s="844"/>
      <c r="HM246" s="844"/>
      <c r="HN246" s="844"/>
      <c r="HP246" s="466"/>
      <c r="HQ246" s="466"/>
      <c r="HR246" s="466"/>
      <c r="HS246" s="415"/>
      <c r="HT246" s="2292"/>
    </row>
    <row r="247" spans="3:228">
      <c r="C247" s="466"/>
      <c r="D247" s="466"/>
      <c r="E247" s="466"/>
      <c r="F247" s="466"/>
      <c r="G247" s="466"/>
      <c r="H247" s="466"/>
      <c r="I247" s="466"/>
      <c r="J247" s="466"/>
      <c r="K247" s="466"/>
      <c r="L247" s="466"/>
      <c r="M247" s="466"/>
      <c r="N247" s="466"/>
      <c r="O247" s="466"/>
      <c r="P247" s="510"/>
      <c r="Q247" s="510"/>
      <c r="R247" s="510"/>
      <c r="S247" s="510"/>
      <c r="T247" s="510"/>
      <c r="U247" s="510"/>
      <c r="V247" s="510"/>
      <c r="W247" s="510"/>
      <c r="X247" s="510"/>
      <c r="Y247" s="510"/>
      <c r="Z247" s="510"/>
      <c r="AA247" s="510"/>
      <c r="AB247" s="510"/>
      <c r="AC247" s="510"/>
      <c r="AD247" s="510"/>
      <c r="AE247" s="510"/>
      <c r="AF247" s="510"/>
      <c r="AG247" s="510"/>
      <c r="AH247" s="510"/>
      <c r="AI247" s="510"/>
      <c r="AJ247" s="510"/>
      <c r="AK247" s="510"/>
      <c r="AL247" s="510"/>
      <c r="AM247" s="510"/>
      <c r="AN247" s="510"/>
      <c r="AO247" s="510"/>
      <c r="AP247" s="510"/>
      <c r="AQ247" s="510"/>
      <c r="AR247" s="510"/>
      <c r="AS247" s="510"/>
      <c r="AT247" s="510"/>
      <c r="AU247" s="510"/>
      <c r="AV247" s="510"/>
      <c r="AW247" s="510"/>
      <c r="AX247" s="510"/>
      <c r="AY247" s="510"/>
      <c r="AZ247" s="466"/>
      <c r="BA247" s="466"/>
      <c r="BB247" s="466"/>
      <c r="BC247" s="466"/>
      <c r="BD247" s="466"/>
      <c r="BE247" s="466"/>
      <c r="BF247" s="466"/>
      <c r="BG247" s="466"/>
      <c r="BH247" s="466"/>
      <c r="BI247" s="466"/>
      <c r="BJ247" s="466"/>
      <c r="BK247" s="466"/>
      <c r="BL247" s="466"/>
      <c r="BM247" s="466"/>
      <c r="BN247" s="466"/>
      <c r="BO247" s="466"/>
      <c r="BP247" s="466"/>
      <c r="BQ247" s="466"/>
      <c r="BR247" s="466"/>
      <c r="BS247" s="466"/>
      <c r="BT247" s="466"/>
      <c r="BU247" s="466"/>
      <c r="BV247" s="466"/>
      <c r="BW247" s="466"/>
      <c r="BX247" s="466"/>
      <c r="BY247" s="466"/>
      <c r="BZ247" s="466"/>
      <c r="CA247" s="466"/>
      <c r="CB247" s="466"/>
      <c r="CC247" s="466"/>
      <c r="CD247" s="466"/>
      <c r="CE247" s="466"/>
      <c r="CF247" s="466"/>
      <c r="CG247" s="466"/>
      <c r="CH247" s="466"/>
      <c r="CI247" s="466"/>
      <c r="CJ247" s="466"/>
      <c r="CK247" s="466"/>
      <c r="CL247" s="466"/>
      <c r="CM247" s="466"/>
      <c r="CN247" s="466"/>
      <c r="CO247" s="466"/>
      <c r="CP247" s="466"/>
      <c r="CQ247" s="466"/>
      <c r="CR247" s="466"/>
      <c r="CS247" s="466"/>
      <c r="CT247" s="466"/>
      <c r="CU247" s="466"/>
      <c r="CV247" s="466"/>
      <c r="CW247" s="466"/>
      <c r="CX247" s="466"/>
      <c r="CY247" s="466"/>
      <c r="CZ247" s="466"/>
      <c r="DA247" s="466"/>
      <c r="DB247" s="466"/>
      <c r="DC247" s="466"/>
      <c r="DD247" s="466"/>
      <c r="DE247" s="466"/>
      <c r="DF247" s="466"/>
      <c r="DG247" s="466"/>
      <c r="FE247" s="527"/>
      <c r="FF247" s="466"/>
      <c r="FG247" s="466"/>
      <c r="FH247" s="466"/>
      <c r="FI247" s="466"/>
      <c r="FJ247" s="466"/>
      <c r="FK247" s="466"/>
      <c r="FL247" s="466"/>
      <c r="FM247" s="466"/>
      <c r="FN247" s="466"/>
      <c r="FO247" s="466"/>
      <c r="FP247" s="466"/>
      <c r="FQ247" s="466"/>
      <c r="FR247" s="466"/>
      <c r="FS247" s="466"/>
      <c r="FT247" s="466"/>
      <c r="FU247" s="466"/>
      <c r="FV247" s="466"/>
      <c r="FW247" s="466"/>
      <c r="FX247" s="466"/>
      <c r="FY247" s="466"/>
      <c r="FZ247" s="527"/>
      <c r="GA247" s="527"/>
      <c r="GB247" s="527"/>
      <c r="GC247" s="527"/>
      <c r="GD247" s="527"/>
      <c r="GE247" s="527"/>
      <c r="GF247" s="527"/>
      <c r="GG247" s="527"/>
      <c r="GH247" s="527"/>
      <c r="GI247" s="527"/>
      <c r="GJ247" s="527"/>
      <c r="GK247" s="527"/>
      <c r="GL247" s="527"/>
      <c r="GM247" s="527"/>
      <c r="GN247" s="527"/>
      <c r="GV247" s="527"/>
      <c r="GW247" s="527"/>
      <c r="GX247" s="527"/>
      <c r="GY247" s="527"/>
      <c r="GZ247" s="527"/>
      <c r="HA247" s="527"/>
      <c r="HB247" s="527"/>
      <c r="HC247" s="527"/>
      <c r="HD247" s="527"/>
      <c r="HE247" s="844"/>
      <c r="HF247" s="844"/>
      <c r="HG247" s="844"/>
      <c r="HH247" s="844"/>
      <c r="HI247" s="844"/>
      <c r="HJ247" s="844"/>
      <c r="HK247" s="844"/>
      <c r="HL247" s="844"/>
      <c r="HM247" s="844"/>
      <c r="HN247" s="844"/>
      <c r="HP247" s="466"/>
      <c r="HQ247" s="466"/>
      <c r="HR247" s="466"/>
      <c r="HS247" s="415"/>
      <c r="HT247" s="2292"/>
    </row>
    <row r="248" spans="3:228">
      <c r="C248" s="466"/>
      <c r="D248" s="466"/>
      <c r="E248" s="466"/>
      <c r="F248" s="466"/>
      <c r="G248" s="466"/>
      <c r="H248" s="466"/>
      <c r="I248" s="466"/>
      <c r="J248" s="466"/>
      <c r="K248" s="466"/>
      <c r="L248" s="466"/>
      <c r="M248" s="466"/>
      <c r="N248" s="466"/>
      <c r="O248" s="466"/>
      <c r="P248" s="510"/>
      <c r="Q248" s="510"/>
      <c r="R248" s="510"/>
      <c r="S248" s="510"/>
      <c r="T248" s="510"/>
      <c r="U248" s="510"/>
      <c r="V248" s="510"/>
      <c r="W248" s="510"/>
      <c r="X248" s="510"/>
      <c r="Y248" s="510"/>
      <c r="Z248" s="510"/>
      <c r="AA248" s="510"/>
      <c r="AB248" s="510"/>
      <c r="AC248" s="510"/>
      <c r="AD248" s="510"/>
      <c r="AE248" s="510"/>
      <c r="AF248" s="510"/>
      <c r="AG248" s="510"/>
      <c r="AH248" s="510"/>
      <c r="AI248" s="510"/>
      <c r="AJ248" s="510"/>
      <c r="AK248" s="510"/>
      <c r="AL248" s="510"/>
      <c r="AM248" s="510"/>
      <c r="AN248" s="510"/>
      <c r="AO248" s="510"/>
      <c r="AP248" s="510"/>
      <c r="AQ248" s="510"/>
      <c r="AR248" s="510"/>
      <c r="AS248" s="510"/>
      <c r="AT248" s="510"/>
      <c r="AU248" s="510"/>
      <c r="AV248" s="510"/>
      <c r="AW248" s="510"/>
      <c r="AX248" s="510"/>
      <c r="AY248" s="510"/>
      <c r="AZ248" s="466"/>
      <c r="BA248" s="466"/>
      <c r="BB248" s="466"/>
      <c r="BC248" s="466"/>
      <c r="BD248" s="466"/>
      <c r="BE248" s="466"/>
      <c r="BF248" s="466"/>
      <c r="BG248" s="466"/>
      <c r="BH248" s="466"/>
      <c r="BI248" s="466"/>
      <c r="BJ248" s="466"/>
      <c r="BK248" s="466"/>
      <c r="BL248" s="466"/>
      <c r="BM248" s="466"/>
      <c r="BN248" s="466"/>
      <c r="BO248" s="466"/>
      <c r="BP248" s="466"/>
      <c r="BQ248" s="466"/>
      <c r="BR248" s="466"/>
      <c r="BS248" s="466"/>
      <c r="BT248" s="466"/>
      <c r="BU248" s="466"/>
      <c r="BV248" s="466"/>
      <c r="BW248" s="466"/>
      <c r="BX248" s="466"/>
      <c r="BY248" s="466"/>
      <c r="BZ248" s="466"/>
      <c r="CA248" s="466"/>
      <c r="CB248" s="466"/>
      <c r="CC248" s="466"/>
      <c r="CD248" s="466"/>
      <c r="CE248" s="466"/>
      <c r="CF248" s="466"/>
      <c r="CG248" s="466"/>
      <c r="CH248" s="466"/>
      <c r="CI248" s="466"/>
      <c r="CJ248" s="466"/>
      <c r="CK248" s="466"/>
      <c r="CL248" s="466"/>
      <c r="CM248" s="466"/>
      <c r="CN248" s="466"/>
      <c r="CO248" s="466"/>
      <c r="CP248" s="466"/>
      <c r="CQ248" s="466"/>
      <c r="CR248" s="466"/>
      <c r="CS248" s="466"/>
      <c r="CT248" s="466"/>
      <c r="CU248" s="466"/>
      <c r="CV248" s="466"/>
      <c r="CW248" s="466"/>
      <c r="CX248" s="466"/>
      <c r="CY248" s="466"/>
      <c r="CZ248" s="466"/>
      <c r="DA248" s="466"/>
      <c r="DB248" s="466"/>
      <c r="DC248" s="466"/>
      <c r="DD248" s="466"/>
      <c r="DE248" s="466"/>
      <c r="DF248" s="466"/>
      <c r="DG248" s="466"/>
      <c r="FE248" s="527"/>
      <c r="FF248" s="466"/>
      <c r="FG248" s="466"/>
      <c r="FH248" s="466"/>
      <c r="FI248" s="466"/>
      <c r="FJ248" s="466"/>
      <c r="FK248" s="466"/>
      <c r="FL248" s="466"/>
      <c r="FM248" s="466"/>
      <c r="FN248" s="466"/>
      <c r="FO248" s="466"/>
      <c r="FP248" s="466"/>
      <c r="FQ248" s="466"/>
      <c r="FR248" s="466"/>
      <c r="FS248" s="466"/>
      <c r="FT248" s="466"/>
      <c r="FU248" s="466"/>
      <c r="FV248" s="466"/>
      <c r="FW248" s="466"/>
      <c r="FX248" s="466"/>
      <c r="FY248" s="466"/>
      <c r="FZ248" s="527"/>
      <c r="GA248" s="527"/>
      <c r="GB248" s="527"/>
      <c r="GC248" s="527"/>
      <c r="GD248" s="527"/>
      <c r="GE248" s="527"/>
      <c r="GF248" s="527"/>
      <c r="GG248" s="527"/>
      <c r="GH248" s="527"/>
      <c r="GI248" s="527"/>
      <c r="GJ248" s="527"/>
      <c r="GK248" s="527"/>
      <c r="GL248" s="527"/>
      <c r="GM248" s="527"/>
      <c r="GN248" s="527"/>
      <c r="GV248" s="527"/>
      <c r="GW248" s="527"/>
      <c r="GX248" s="527"/>
      <c r="GY248" s="527"/>
      <c r="GZ248" s="527"/>
      <c r="HA248" s="527"/>
      <c r="HB248" s="527"/>
      <c r="HC248" s="527"/>
      <c r="HD248" s="527"/>
      <c r="HE248" s="844"/>
      <c r="HF248" s="844"/>
      <c r="HG248" s="844"/>
      <c r="HH248" s="844"/>
      <c r="HI248" s="844"/>
      <c r="HJ248" s="844"/>
      <c r="HK248" s="844"/>
      <c r="HL248" s="844"/>
      <c r="HM248" s="844"/>
      <c r="HN248" s="844"/>
      <c r="HP248" s="466"/>
      <c r="HQ248" s="466"/>
      <c r="HR248" s="466"/>
      <c r="HS248" s="415"/>
      <c r="HT248" s="2292"/>
    </row>
    <row r="249" spans="3:228">
      <c r="C249" s="466"/>
      <c r="D249" s="466"/>
      <c r="E249" s="466"/>
      <c r="F249" s="466"/>
      <c r="G249" s="466"/>
      <c r="H249" s="466"/>
      <c r="I249" s="466"/>
      <c r="J249" s="466"/>
      <c r="K249" s="466"/>
      <c r="L249" s="466"/>
      <c r="M249" s="466"/>
      <c r="N249" s="466"/>
      <c r="O249" s="466"/>
      <c r="P249" s="510"/>
      <c r="Q249" s="510"/>
      <c r="R249" s="510"/>
      <c r="S249" s="510"/>
      <c r="T249" s="510"/>
      <c r="U249" s="510"/>
      <c r="V249" s="510"/>
      <c r="W249" s="510"/>
      <c r="X249" s="510"/>
      <c r="Y249" s="510"/>
      <c r="Z249" s="510"/>
      <c r="AA249" s="510"/>
      <c r="AB249" s="510"/>
      <c r="AC249" s="510"/>
      <c r="AD249" s="510"/>
      <c r="AE249" s="510"/>
      <c r="AF249" s="510"/>
      <c r="AG249" s="510"/>
      <c r="AH249" s="510"/>
      <c r="AI249" s="510"/>
      <c r="AJ249" s="510"/>
      <c r="AK249" s="510"/>
      <c r="AL249" s="510"/>
      <c r="AM249" s="510"/>
      <c r="AN249" s="510"/>
      <c r="AO249" s="510"/>
      <c r="AP249" s="510"/>
      <c r="AQ249" s="510"/>
      <c r="AR249" s="510"/>
      <c r="AS249" s="510"/>
      <c r="AT249" s="510"/>
      <c r="AU249" s="510"/>
      <c r="AV249" s="510"/>
      <c r="AW249" s="510"/>
      <c r="AX249" s="510"/>
      <c r="AY249" s="510"/>
      <c r="AZ249" s="466"/>
      <c r="BA249" s="466"/>
      <c r="BB249" s="466"/>
      <c r="BC249" s="466"/>
      <c r="BD249" s="466"/>
      <c r="BE249" s="466"/>
      <c r="BF249" s="466"/>
      <c r="BG249" s="466"/>
      <c r="BH249" s="466"/>
      <c r="BI249" s="466"/>
      <c r="BJ249" s="466"/>
      <c r="BK249" s="466"/>
      <c r="BL249" s="466"/>
      <c r="BM249" s="466"/>
      <c r="BN249" s="466"/>
      <c r="BO249" s="466"/>
      <c r="BP249" s="466"/>
      <c r="BQ249" s="466"/>
      <c r="BR249" s="466"/>
      <c r="BS249" s="466"/>
      <c r="BT249" s="466"/>
      <c r="BU249" s="466"/>
      <c r="BV249" s="466"/>
      <c r="BW249" s="466"/>
      <c r="BX249" s="466"/>
      <c r="BY249" s="466"/>
      <c r="BZ249" s="466"/>
      <c r="CA249" s="466"/>
      <c r="CB249" s="466"/>
      <c r="CC249" s="466"/>
      <c r="CD249" s="466"/>
      <c r="CE249" s="466"/>
      <c r="CF249" s="466"/>
      <c r="CG249" s="466"/>
      <c r="CH249" s="466"/>
      <c r="CI249" s="466"/>
      <c r="CJ249" s="466"/>
      <c r="CK249" s="466"/>
      <c r="CL249" s="466"/>
      <c r="CM249" s="466"/>
      <c r="CN249" s="466"/>
      <c r="CO249" s="466"/>
      <c r="CP249" s="466"/>
      <c r="CQ249" s="466"/>
      <c r="CR249" s="466"/>
      <c r="CS249" s="466"/>
      <c r="CT249" s="466"/>
      <c r="CU249" s="466"/>
      <c r="CV249" s="466"/>
      <c r="CW249" s="466"/>
      <c r="CX249" s="466"/>
      <c r="CY249" s="466"/>
      <c r="CZ249" s="466"/>
      <c r="DA249" s="466"/>
      <c r="DB249" s="466"/>
      <c r="DC249" s="466"/>
      <c r="DD249" s="466"/>
      <c r="DE249" s="466"/>
      <c r="DF249" s="466"/>
      <c r="DG249" s="466"/>
      <c r="FE249" s="527"/>
      <c r="FF249" s="466"/>
      <c r="FG249" s="466"/>
      <c r="FH249" s="466"/>
      <c r="FI249" s="466"/>
      <c r="FJ249" s="466"/>
      <c r="FK249" s="466"/>
      <c r="FL249" s="466"/>
      <c r="FM249" s="466"/>
      <c r="FN249" s="466"/>
      <c r="FO249" s="466"/>
      <c r="FP249" s="466"/>
      <c r="FQ249" s="466"/>
      <c r="FR249" s="466"/>
      <c r="FS249" s="466"/>
      <c r="FT249" s="466"/>
      <c r="FU249" s="466"/>
      <c r="FV249" s="466"/>
      <c r="FW249" s="466"/>
      <c r="FX249" s="466"/>
      <c r="FY249" s="466"/>
      <c r="FZ249" s="527"/>
      <c r="GA249" s="527"/>
      <c r="GB249" s="527"/>
      <c r="GC249" s="527"/>
      <c r="GD249" s="527"/>
      <c r="GE249" s="527"/>
      <c r="GF249" s="527"/>
      <c r="GG249" s="527"/>
      <c r="GH249" s="527"/>
      <c r="GI249" s="527"/>
      <c r="GJ249" s="527"/>
      <c r="GK249" s="527"/>
      <c r="GL249" s="527"/>
      <c r="GM249" s="527"/>
      <c r="GN249" s="527"/>
      <c r="GV249" s="527"/>
      <c r="GW249" s="527"/>
      <c r="GX249" s="527"/>
      <c r="GY249" s="527"/>
      <c r="GZ249" s="527"/>
      <c r="HA249" s="527"/>
      <c r="HB249" s="527"/>
      <c r="HC249" s="527"/>
      <c r="HD249" s="527"/>
      <c r="HE249" s="844"/>
      <c r="HF249" s="844"/>
      <c r="HG249" s="844"/>
      <c r="HH249" s="844"/>
      <c r="HI249" s="844"/>
      <c r="HJ249" s="844"/>
      <c r="HK249" s="844"/>
      <c r="HL249" s="844"/>
      <c r="HM249" s="844"/>
      <c r="HN249" s="844"/>
      <c r="HP249" s="466"/>
      <c r="HQ249" s="466"/>
      <c r="HR249" s="466"/>
      <c r="HS249" s="415"/>
      <c r="HT249" s="2292"/>
    </row>
    <row r="250" spans="3:228">
      <c r="C250" s="466"/>
      <c r="D250" s="466"/>
      <c r="E250" s="466"/>
      <c r="F250" s="466"/>
      <c r="G250" s="466"/>
      <c r="H250" s="466"/>
      <c r="I250" s="466"/>
      <c r="J250" s="466"/>
      <c r="K250" s="466"/>
      <c r="L250" s="466"/>
      <c r="M250" s="466"/>
      <c r="N250" s="466"/>
      <c r="O250" s="466"/>
      <c r="P250" s="510"/>
      <c r="Q250" s="510"/>
      <c r="R250" s="510"/>
      <c r="S250" s="510"/>
      <c r="T250" s="510"/>
      <c r="U250" s="510"/>
      <c r="V250" s="510"/>
      <c r="W250" s="510"/>
      <c r="X250" s="510"/>
      <c r="Y250" s="510"/>
      <c r="Z250" s="510"/>
      <c r="AA250" s="510"/>
      <c r="AB250" s="510"/>
      <c r="AC250" s="510"/>
      <c r="AD250" s="510"/>
      <c r="AE250" s="510"/>
      <c r="AF250" s="510"/>
      <c r="AG250" s="510"/>
      <c r="AH250" s="510"/>
      <c r="AI250" s="510"/>
      <c r="AJ250" s="510"/>
      <c r="AK250" s="510"/>
      <c r="AL250" s="510"/>
      <c r="AM250" s="510"/>
      <c r="AN250" s="510"/>
      <c r="AO250" s="510"/>
      <c r="AP250" s="510"/>
      <c r="AQ250" s="510"/>
      <c r="AR250" s="510"/>
      <c r="AS250" s="510"/>
      <c r="AT250" s="510"/>
      <c r="AU250" s="510"/>
      <c r="AV250" s="510"/>
      <c r="AW250" s="510"/>
      <c r="AX250" s="510"/>
      <c r="AY250" s="510"/>
      <c r="AZ250" s="466"/>
      <c r="BA250" s="466"/>
      <c r="BB250" s="466"/>
      <c r="BC250" s="466"/>
      <c r="BD250" s="466"/>
      <c r="BE250" s="466"/>
      <c r="BF250" s="466"/>
      <c r="BG250" s="466"/>
      <c r="BH250" s="466"/>
      <c r="BI250" s="466"/>
      <c r="BJ250" s="466"/>
      <c r="BK250" s="466"/>
      <c r="BL250" s="466"/>
      <c r="BM250" s="466"/>
      <c r="BN250" s="466"/>
      <c r="BO250" s="466"/>
      <c r="BP250" s="466"/>
      <c r="BQ250" s="466"/>
      <c r="BR250" s="466"/>
      <c r="BS250" s="466"/>
      <c r="BT250" s="466"/>
      <c r="BU250" s="466"/>
      <c r="BV250" s="466"/>
      <c r="BW250" s="466"/>
      <c r="BX250" s="466"/>
      <c r="BY250" s="466"/>
      <c r="BZ250" s="466"/>
      <c r="CA250" s="466"/>
      <c r="CB250" s="466"/>
      <c r="CC250" s="466"/>
      <c r="CD250" s="466"/>
      <c r="CE250" s="466"/>
      <c r="CF250" s="466"/>
      <c r="CG250" s="466"/>
      <c r="CH250" s="466"/>
      <c r="CI250" s="466"/>
      <c r="CJ250" s="466"/>
      <c r="CK250" s="466"/>
      <c r="CL250" s="466"/>
      <c r="CM250" s="466"/>
      <c r="CN250" s="466"/>
      <c r="CO250" s="466"/>
      <c r="CP250" s="466"/>
      <c r="CQ250" s="466"/>
      <c r="CR250" s="466"/>
      <c r="CS250" s="466"/>
      <c r="CT250" s="466"/>
      <c r="CU250" s="466"/>
      <c r="CV250" s="466"/>
      <c r="CW250" s="466"/>
      <c r="CX250" s="466"/>
      <c r="CY250" s="466"/>
      <c r="CZ250" s="466"/>
      <c r="DA250" s="466"/>
      <c r="DB250" s="466"/>
      <c r="DC250" s="466"/>
      <c r="DD250" s="466"/>
      <c r="DE250" s="466"/>
      <c r="DF250" s="466"/>
      <c r="DG250" s="466"/>
      <c r="FE250" s="527"/>
      <c r="FF250" s="466"/>
      <c r="FG250" s="466"/>
      <c r="FH250" s="466"/>
      <c r="FI250" s="466"/>
      <c r="FJ250" s="466"/>
      <c r="FK250" s="466"/>
      <c r="FL250" s="466"/>
      <c r="FM250" s="466"/>
      <c r="FN250" s="466"/>
      <c r="FO250" s="466"/>
      <c r="FP250" s="466"/>
      <c r="FQ250" s="466"/>
      <c r="FR250" s="466"/>
      <c r="FS250" s="466"/>
      <c r="FT250" s="466"/>
      <c r="FU250" s="466"/>
      <c r="FV250" s="466"/>
      <c r="FW250" s="466"/>
      <c r="FX250" s="466"/>
      <c r="FY250" s="466"/>
      <c r="FZ250" s="527"/>
      <c r="GA250" s="527"/>
      <c r="GB250" s="527"/>
      <c r="GC250" s="527"/>
      <c r="GD250" s="527"/>
      <c r="GE250" s="527"/>
      <c r="GF250" s="527"/>
      <c r="GG250" s="527"/>
      <c r="GH250" s="527"/>
      <c r="GI250" s="527"/>
      <c r="GJ250" s="527"/>
      <c r="GK250" s="527"/>
      <c r="GL250" s="527"/>
      <c r="GM250" s="527"/>
      <c r="GN250" s="527"/>
      <c r="GV250" s="527"/>
      <c r="GW250" s="527"/>
      <c r="GX250" s="527"/>
      <c r="GY250" s="527"/>
      <c r="GZ250" s="527"/>
      <c r="HA250" s="527"/>
      <c r="HB250" s="527"/>
      <c r="HC250" s="527"/>
      <c r="HD250" s="527"/>
      <c r="HE250" s="844"/>
      <c r="HF250" s="844"/>
      <c r="HG250" s="844"/>
      <c r="HH250" s="844"/>
      <c r="HI250" s="844"/>
      <c r="HJ250" s="844"/>
      <c r="HK250" s="844"/>
      <c r="HL250" s="844"/>
      <c r="HM250" s="844"/>
      <c r="HN250" s="844"/>
      <c r="HP250" s="466"/>
      <c r="HQ250" s="466"/>
      <c r="HR250" s="466"/>
      <c r="HS250" s="415"/>
      <c r="HT250" s="2292"/>
    </row>
    <row r="251" spans="3:228">
      <c r="C251" s="466"/>
      <c r="D251" s="466"/>
      <c r="E251" s="466"/>
      <c r="F251" s="466"/>
      <c r="G251" s="466"/>
      <c r="H251" s="466"/>
      <c r="I251" s="466"/>
      <c r="J251" s="466"/>
      <c r="K251" s="466"/>
      <c r="L251" s="466"/>
      <c r="M251" s="466"/>
      <c r="N251" s="466"/>
      <c r="O251" s="466"/>
      <c r="P251" s="510"/>
      <c r="Q251" s="510"/>
      <c r="R251" s="510"/>
      <c r="S251" s="510"/>
      <c r="T251" s="510"/>
      <c r="U251" s="510"/>
      <c r="V251" s="510"/>
      <c r="W251" s="510"/>
      <c r="X251" s="510"/>
      <c r="Y251" s="510"/>
      <c r="Z251" s="510"/>
      <c r="AA251" s="510"/>
      <c r="AB251" s="510"/>
      <c r="AC251" s="510"/>
      <c r="AD251" s="510"/>
      <c r="AE251" s="510"/>
      <c r="AF251" s="510"/>
      <c r="AG251" s="510"/>
      <c r="AH251" s="510"/>
      <c r="AI251" s="510"/>
      <c r="AJ251" s="510"/>
      <c r="AK251" s="510"/>
      <c r="AL251" s="510"/>
      <c r="AM251" s="510"/>
      <c r="AN251" s="510"/>
      <c r="AO251" s="510"/>
      <c r="AP251" s="510"/>
      <c r="AQ251" s="510"/>
      <c r="AR251" s="510"/>
      <c r="AS251" s="510"/>
      <c r="AT251" s="510"/>
      <c r="AU251" s="510"/>
      <c r="AV251" s="510"/>
      <c r="AW251" s="510"/>
      <c r="AX251" s="510"/>
      <c r="AY251" s="510"/>
      <c r="AZ251" s="466"/>
      <c r="BA251" s="466"/>
      <c r="BB251" s="466"/>
      <c r="BC251" s="466"/>
      <c r="BD251" s="466"/>
      <c r="BE251" s="466"/>
      <c r="BF251" s="466"/>
      <c r="BG251" s="466"/>
      <c r="BH251" s="466"/>
      <c r="BI251" s="466"/>
      <c r="BJ251" s="466"/>
      <c r="BK251" s="466"/>
      <c r="BL251" s="466"/>
      <c r="BM251" s="466"/>
      <c r="BN251" s="466"/>
      <c r="BO251" s="466"/>
      <c r="BP251" s="466"/>
      <c r="BQ251" s="466"/>
      <c r="BR251" s="466"/>
      <c r="BS251" s="466"/>
      <c r="BT251" s="466"/>
      <c r="BU251" s="466"/>
      <c r="BV251" s="466"/>
      <c r="BW251" s="466"/>
      <c r="BX251" s="466"/>
      <c r="BY251" s="466"/>
      <c r="BZ251" s="466"/>
      <c r="CA251" s="466"/>
      <c r="CB251" s="466"/>
      <c r="CC251" s="466"/>
      <c r="CD251" s="466"/>
      <c r="CE251" s="466"/>
      <c r="CF251" s="466"/>
      <c r="CG251" s="466"/>
      <c r="CH251" s="466"/>
      <c r="CI251" s="466"/>
      <c r="CJ251" s="466"/>
      <c r="CK251" s="466"/>
      <c r="CL251" s="466"/>
      <c r="CM251" s="466"/>
      <c r="CN251" s="466"/>
      <c r="CO251" s="466"/>
      <c r="CP251" s="466"/>
      <c r="CQ251" s="466"/>
      <c r="CR251" s="466"/>
      <c r="CS251" s="466"/>
      <c r="CT251" s="466"/>
      <c r="CU251" s="466"/>
      <c r="CV251" s="466"/>
      <c r="CW251" s="466"/>
      <c r="CX251" s="466"/>
      <c r="CY251" s="466"/>
      <c r="CZ251" s="466"/>
      <c r="DA251" s="466"/>
      <c r="DB251" s="466"/>
      <c r="DC251" s="466"/>
      <c r="DD251" s="466"/>
      <c r="DE251" s="466"/>
      <c r="DF251" s="466"/>
      <c r="DG251" s="466"/>
      <c r="FE251" s="527"/>
      <c r="FF251" s="466"/>
      <c r="FG251" s="466"/>
      <c r="FH251" s="466"/>
      <c r="FI251" s="466"/>
      <c r="FJ251" s="466"/>
      <c r="FK251" s="466"/>
      <c r="FL251" s="466"/>
      <c r="FM251" s="466"/>
      <c r="FN251" s="466"/>
      <c r="FO251" s="466"/>
      <c r="FP251" s="466"/>
      <c r="FQ251" s="466"/>
      <c r="FR251" s="466"/>
      <c r="FS251" s="466"/>
      <c r="FT251" s="466"/>
      <c r="FU251" s="466"/>
      <c r="FV251" s="466"/>
      <c r="FW251" s="466"/>
      <c r="FX251" s="466"/>
      <c r="FY251" s="466"/>
      <c r="FZ251" s="527"/>
      <c r="GA251" s="527"/>
      <c r="GB251" s="527"/>
      <c r="GC251" s="527"/>
      <c r="GD251" s="527"/>
      <c r="GE251" s="527"/>
      <c r="GF251" s="527"/>
      <c r="GG251" s="527"/>
      <c r="GH251" s="527"/>
      <c r="GI251" s="527"/>
      <c r="GJ251" s="527"/>
      <c r="GK251" s="527"/>
      <c r="GL251" s="527"/>
      <c r="GM251" s="527"/>
      <c r="GN251" s="527"/>
      <c r="GV251" s="527"/>
      <c r="GW251" s="527"/>
      <c r="GX251" s="527"/>
      <c r="GY251" s="527"/>
      <c r="GZ251" s="527"/>
      <c r="HA251" s="527"/>
      <c r="HB251" s="527"/>
      <c r="HC251" s="527"/>
      <c r="HD251" s="527"/>
      <c r="HE251" s="844"/>
      <c r="HF251" s="844"/>
      <c r="HG251" s="844"/>
      <c r="HH251" s="844"/>
      <c r="HI251" s="844"/>
      <c r="HJ251" s="844"/>
      <c r="HK251" s="844"/>
      <c r="HL251" s="844"/>
      <c r="HM251" s="844"/>
      <c r="HN251" s="844"/>
      <c r="HP251" s="466"/>
      <c r="HQ251" s="466"/>
      <c r="HR251" s="466"/>
      <c r="HS251" s="415"/>
      <c r="HT251" s="2292"/>
    </row>
    <row r="252" spans="3:228">
      <c r="C252" s="466"/>
      <c r="D252" s="466"/>
      <c r="E252" s="466"/>
      <c r="F252" s="466"/>
      <c r="G252" s="466"/>
      <c r="H252" s="466"/>
      <c r="I252" s="466"/>
      <c r="J252" s="466"/>
      <c r="K252" s="466"/>
      <c r="L252" s="466"/>
      <c r="M252" s="466"/>
      <c r="N252" s="466"/>
      <c r="O252" s="466"/>
      <c r="P252" s="510"/>
      <c r="Q252" s="510"/>
      <c r="R252" s="510"/>
      <c r="S252" s="510"/>
      <c r="T252" s="510"/>
      <c r="U252" s="510"/>
      <c r="V252" s="510"/>
      <c r="W252" s="510"/>
      <c r="X252" s="510"/>
      <c r="Y252" s="510"/>
      <c r="Z252" s="510"/>
      <c r="AA252" s="510"/>
      <c r="AB252" s="510"/>
      <c r="AC252" s="510"/>
      <c r="AD252" s="510"/>
      <c r="AE252" s="510"/>
      <c r="AF252" s="510"/>
      <c r="AG252" s="510"/>
      <c r="AH252" s="510"/>
      <c r="AI252" s="510"/>
      <c r="AJ252" s="510"/>
      <c r="AK252" s="510"/>
      <c r="AL252" s="510"/>
      <c r="AM252" s="510"/>
      <c r="AN252" s="510"/>
      <c r="AO252" s="510"/>
      <c r="AP252" s="510"/>
      <c r="AQ252" s="510"/>
      <c r="AR252" s="510"/>
      <c r="AS252" s="510"/>
      <c r="AT252" s="510"/>
      <c r="AU252" s="510"/>
      <c r="AV252" s="510"/>
      <c r="AW252" s="510"/>
      <c r="AX252" s="510"/>
      <c r="AY252" s="510"/>
      <c r="AZ252" s="466"/>
      <c r="BA252" s="466"/>
      <c r="BB252" s="466"/>
      <c r="BC252" s="466"/>
      <c r="BD252" s="466"/>
      <c r="BE252" s="466"/>
      <c r="BF252" s="466"/>
      <c r="BG252" s="466"/>
      <c r="BH252" s="466"/>
      <c r="BI252" s="466"/>
      <c r="BJ252" s="466"/>
      <c r="BK252" s="466"/>
      <c r="BL252" s="466"/>
      <c r="BM252" s="466"/>
      <c r="BN252" s="466"/>
      <c r="BO252" s="466"/>
      <c r="BP252" s="466"/>
      <c r="BQ252" s="466"/>
      <c r="BR252" s="466"/>
      <c r="BS252" s="466"/>
      <c r="BT252" s="466"/>
      <c r="BU252" s="466"/>
      <c r="BV252" s="466"/>
      <c r="BW252" s="466"/>
      <c r="BX252" s="466"/>
      <c r="BY252" s="466"/>
      <c r="BZ252" s="466"/>
      <c r="CA252" s="466"/>
      <c r="CB252" s="466"/>
      <c r="CC252" s="466"/>
      <c r="CD252" s="466"/>
      <c r="CE252" s="466"/>
      <c r="CF252" s="466"/>
      <c r="CG252" s="466"/>
      <c r="CH252" s="466"/>
      <c r="CI252" s="466"/>
      <c r="CJ252" s="466"/>
      <c r="CK252" s="466"/>
      <c r="CL252" s="466"/>
      <c r="CM252" s="466"/>
      <c r="CN252" s="466"/>
      <c r="CO252" s="466"/>
      <c r="CP252" s="466"/>
      <c r="CQ252" s="466"/>
      <c r="CR252" s="466"/>
      <c r="CS252" s="466"/>
      <c r="CT252" s="466"/>
      <c r="CU252" s="466"/>
      <c r="CV252" s="466"/>
      <c r="CW252" s="466"/>
      <c r="CX252" s="466"/>
      <c r="CY252" s="466"/>
      <c r="CZ252" s="466"/>
      <c r="DA252" s="466"/>
      <c r="DB252" s="466"/>
      <c r="DC252" s="466"/>
      <c r="DD252" s="466"/>
      <c r="DE252" s="466"/>
      <c r="DF252" s="466"/>
      <c r="DG252" s="466"/>
      <c r="FE252" s="527"/>
      <c r="FF252" s="466"/>
      <c r="FG252" s="466"/>
      <c r="FH252" s="466"/>
      <c r="FI252" s="466"/>
      <c r="FJ252" s="466"/>
      <c r="FK252" s="466"/>
      <c r="FL252" s="466"/>
      <c r="FM252" s="466"/>
      <c r="FN252" s="466"/>
      <c r="FO252" s="466"/>
      <c r="FP252" s="466"/>
      <c r="FQ252" s="466"/>
      <c r="FR252" s="466"/>
      <c r="FS252" s="466"/>
      <c r="FT252" s="466"/>
      <c r="FU252" s="466"/>
      <c r="FV252" s="466"/>
      <c r="FW252" s="466"/>
      <c r="FX252" s="466"/>
      <c r="FY252" s="466"/>
      <c r="FZ252" s="527"/>
      <c r="GA252" s="527"/>
      <c r="GB252" s="527"/>
      <c r="GC252" s="527"/>
      <c r="GD252" s="527"/>
      <c r="GE252" s="527"/>
      <c r="GF252" s="527"/>
      <c r="GG252" s="527"/>
      <c r="GH252" s="527"/>
      <c r="GI252" s="527"/>
      <c r="GJ252" s="527"/>
      <c r="GK252" s="527"/>
      <c r="GL252" s="527"/>
      <c r="GM252" s="527"/>
      <c r="GN252" s="527"/>
      <c r="GV252" s="527"/>
      <c r="GW252" s="527"/>
      <c r="GX252" s="527"/>
      <c r="GY252" s="527"/>
      <c r="GZ252" s="527"/>
      <c r="HA252" s="527"/>
      <c r="HB252" s="527"/>
      <c r="HC252" s="527"/>
      <c r="HD252" s="527"/>
      <c r="HE252" s="844"/>
      <c r="HF252" s="844"/>
      <c r="HG252" s="844"/>
      <c r="HH252" s="844"/>
      <c r="HI252" s="844"/>
      <c r="HJ252" s="844"/>
      <c r="HK252" s="844"/>
      <c r="HL252" s="844"/>
      <c r="HM252" s="844"/>
      <c r="HN252" s="844"/>
      <c r="HP252" s="466"/>
      <c r="HQ252" s="466"/>
      <c r="HR252" s="466"/>
      <c r="HS252" s="415"/>
      <c r="HT252" s="2292"/>
    </row>
    <row r="253" spans="3:228">
      <c r="C253" s="466"/>
      <c r="D253" s="466"/>
      <c r="E253" s="466"/>
      <c r="F253" s="466"/>
      <c r="G253" s="466"/>
      <c r="H253" s="466"/>
      <c r="I253" s="466"/>
      <c r="J253" s="466"/>
      <c r="K253" s="466"/>
      <c r="L253" s="466"/>
      <c r="M253" s="466"/>
      <c r="N253" s="466"/>
      <c r="O253" s="466"/>
      <c r="P253" s="510"/>
      <c r="Q253" s="510"/>
      <c r="R253" s="510"/>
      <c r="S253" s="510"/>
      <c r="T253" s="510"/>
      <c r="U253" s="510"/>
      <c r="V253" s="510"/>
      <c r="W253" s="510"/>
      <c r="X253" s="510"/>
      <c r="Y253" s="510"/>
      <c r="Z253" s="510"/>
      <c r="AA253" s="510"/>
      <c r="AB253" s="510"/>
      <c r="AC253" s="510"/>
      <c r="AD253" s="510"/>
      <c r="AE253" s="510"/>
      <c r="AF253" s="510"/>
      <c r="AG253" s="510"/>
      <c r="AH253" s="510"/>
      <c r="AI253" s="510"/>
      <c r="AJ253" s="510"/>
      <c r="AK253" s="510"/>
      <c r="AL253" s="510"/>
      <c r="AM253" s="510"/>
      <c r="AN253" s="510"/>
      <c r="AO253" s="510"/>
      <c r="AP253" s="510"/>
      <c r="AQ253" s="510"/>
      <c r="AR253" s="510"/>
      <c r="AS253" s="510"/>
      <c r="AT253" s="510"/>
      <c r="AU253" s="510"/>
      <c r="AV253" s="510"/>
      <c r="AW253" s="510"/>
      <c r="AX253" s="510"/>
      <c r="AY253" s="510"/>
      <c r="AZ253" s="466"/>
      <c r="BA253" s="466"/>
      <c r="BB253" s="466"/>
      <c r="BC253" s="466"/>
      <c r="BD253" s="466"/>
      <c r="BE253" s="466"/>
      <c r="BF253" s="466"/>
      <c r="BG253" s="466"/>
      <c r="BH253" s="466"/>
      <c r="BI253" s="466"/>
      <c r="BJ253" s="466"/>
      <c r="BK253" s="466"/>
      <c r="BL253" s="466"/>
      <c r="BM253" s="466"/>
      <c r="BN253" s="466"/>
      <c r="BO253" s="466"/>
      <c r="BP253" s="466"/>
      <c r="BQ253" s="466"/>
      <c r="BR253" s="466"/>
      <c r="BS253" s="466"/>
      <c r="BT253" s="466"/>
      <c r="BU253" s="466"/>
      <c r="BV253" s="466"/>
      <c r="BW253" s="466"/>
      <c r="BX253" s="466"/>
      <c r="BY253" s="466"/>
      <c r="BZ253" s="466"/>
      <c r="CA253" s="466"/>
      <c r="CB253" s="466"/>
      <c r="CC253" s="466"/>
      <c r="CD253" s="466"/>
      <c r="CE253" s="466"/>
      <c r="CF253" s="466"/>
      <c r="CG253" s="466"/>
      <c r="CH253" s="466"/>
      <c r="CI253" s="466"/>
      <c r="CJ253" s="466"/>
      <c r="CK253" s="466"/>
      <c r="CL253" s="466"/>
      <c r="CM253" s="466"/>
      <c r="CN253" s="466"/>
      <c r="CO253" s="466"/>
      <c r="CP253" s="466"/>
      <c r="CQ253" s="466"/>
      <c r="CR253" s="466"/>
      <c r="CS253" s="466"/>
      <c r="CT253" s="466"/>
      <c r="CU253" s="466"/>
      <c r="CV253" s="466"/>
      <c r="CW253" s="466"/>
      <c r="CX253" s="466"/>
      <c r="CY253" s="466"/>
      <c r="CZ253" s="466"/>
      <c r="DA253" s="466"/>
      <c r="DB253" s="466"/>
      <c r="DC253" s="466"/>
      <c r="DD253" s="466"/>
      <c r="DE253" s="466"/>
      <c r="DF253" s="466"/>
      <c r="DG253" s="466"/>
      <c r="FE253" s="527"/>
      <c r="FF253" s="466"/>
      <c r="FG253" s="466"/>
      <c r="FH253" s="466"/>
      <c r="FI253" s="466"/>
      <c r="FJ253" s="466"/>
      <c r="FK253" s="466"/>
      <c r="FL253" s="466"/>
      <c r="FM253" s="466"/>
      <c r="FN253" s="466"/>
      <c r="FO253" s="466"/>
      <c r="FP253" s="466"/>
      <c r="FQ253" s="466"/>
      <c r="FR253" s="466"/>
      <c r="FS253" s="466"/>
      <c r="FT253" s="466"/>
      <c r="FU253" s="466"/>
      <c r="FV253" s="466"/>
      <c r="FW253" s="466"/>
      <c r="FX253" s="466"/>
      <c r="FY253" s="466"/>
      <c r="FZ253" s="527"/>
      <c r="GA253" s="527"/>
      <c r="GB253" s="527"/>
      <c r="GC253" s="527"/>
      <c r="GD253" s="527"/>
      <c r="GE253" s="527"/>
      <c r="GF253" s="527"/>
      <c r="GG253" s="527"/>
      <c r="GH253" s="527"/>
      <c r="GI253" s="527"/>
      <c r="GJ253" s="527"/>
      <c r="GK253" s="527"/>
      <c r="GL253" s="527"/>
      <c r="GM253" s="527"/>
      <c r="GN253" s="527"/>
      <c r="GV253" s="527"/>
      <c r="GW253" s="527"/>
      <c r="GX253" s="527"/>
      <c r="GY253" s="527"/>
      <c r="GZ253" s="527"/>
      <c r="HA253" s="527"/>
      <c r="HB253" s="527"/>
      <c r="HC253" s="527"/>
      <c r="HD253" s="527"/>
      <c r="HE253" s="844"/>
      <c r="HF253" s="844"/>
      <c r="HG253" s="844"/>
      <c r="HH253" s="844"/>
      <c r="HI253" s="844"/>
      <c r="HJ253" s="844"/>
      <c r="HK253" s="844"/>
      <c r="HL253" s="844"/>
      <c r="HM253" s="844"/>
      <c r="HN253" s="844"/>
      <c r="HP253" s="466"/>
      <c r="HQ253" s="466"/>
      <c r="HR253" s="466"/>
      <c r="HS253" s="415"/>
      <c r="HT253" s="2292"/>
    </row>
    <row r="254" spans="3:228">
      <c r="C254" s="466"/>
      <c r="D254" s="466"/>
      <c r="E254" s="466"/>
      <c r="F254" s="466"/>
      <c r="G254" s="466"/>
      <c r="H254" s="466"/>
      <c r="I254" s="466"/>
      <c r="J254" s="466"/>
      <c r="K254" s="466"/>
      <c r="L254" s="466"/>
      <c r="M254" s="466"/>
      <c r="N254" s="466"/>
      <c r="O254" s="466"/>
      <c r="P254" s="510"/>
      <c r="Q254" s="510"/>
      <c r="R254" s="510"/>
      <c r="S254" s="510"/>
      <c r="T254" s="510"/>
      <c r="U254" s="510"/>
      <c r="V254" s="510"/>
      <c r="W254" s="510"/>
      <c r="X254" s="510"/>
      <c r="Y254" s="510"/>
      <c r="Z254" s="510"/>
      <c r="AA254" s="510"/>
      <c r="AB254" s="510"/>
      <c r="AC254" s="510"/>
      <c r="AD254" s="510"/>
      <c r="AE254" s="510"/>
      <c r="AF254" s="510"/>
      <c r="AG254" s="510"/>
      <c r="AH254" s="510"/>
      <c r="AI254" s="510"/>
      <c r="AJ254" s="510"/>
      <c r="AK254" s="510"/>
      <c r="AL254" s="510"/>
      <c r="AM254" s="510"/>
      <c r="AN254" s="510"/>
      <c r="AO254" s="510"/>
      <c r="AP254" s="510"/>
      <c r="AQ254" s="510"/>
      <c r="AR254" s="510"/>
      <c r="AS254" s="510"/>
      <c r="AT254" s="510"/>
      <c r="AU254" s="510"/>
      <c r="AV254" s="510"/>
      <c r="AW254" s="510"/>
      <c r="AX254" s="510"/>
      <c r="AY254" s="510"/>
      <c r="AZ254" s="466"/>
      <c r="BA254" s="466"/>
      <c r="BB254" s="466"/>
      <c r="BC254" s="466"/>
      <c r="BD254" s="466"/>
      <c r="BE254" s="466"/>
      <c r="BF254" s="466"/>
      <c r="BG254" s="466"/>
      <c r="BH254" s="466"/>
      <c r="BI254" s="466"/>
      <c r="BJ254" s="466"/>
      <c r="BK254" s="466"/>
      <c r="BL254" s="466"/>
      <c r="BM254" s="466"/>
      <c r="BN254" s="466"/>
      <c r="BO254" s="466"/>
      <c r="BP254" s="466"/>
      <c r="BQ254" s="466"/>
      <c r="BR254" s="466"/>
      <c r="BS254" s="466"/>
      <c r="BT254" s="466"/>
      <c r="BU254" s="466"/>
      <c r="BV254" s="466"/>
      <c r="BW254" s="466"/>
      <c r="BX254" s="466"/>
      <c r="BY254" s="466"/>
      <c r="BZ254" s="466"/>
      <c r="CA254" s="466"/>
      <c r="CB254" s="466"/>
      <c r="CC254" s="466"/>
      <c r="CD254" s="466"/>
      <c r="CE254" s="466"/>
      <c r="CF254" s="466"/>
      <c r="CG254" s="466"/>
      <c r="CH254" s="466"/>
      <c r="CI254" s="466"/>
      <c r="CJ254" s="466"/>
      <c r="CK254" s="466"/>
      <c r="CL254" s="466"/>
      <c r="CM254" s="466"/>
      <c r="CN254" s="466"/>
      <c r="CO254" s="466"/>
      <c r="CP254" s="466"/>
      <c r="CQ254" s="466"/>
      <c r="CR254" s="466"/>
      <c r="CS254" s="466"/>
      <c r="CT254" s="466"/>
      <c r="CU254" s="466"/>
      <c r="CV254" s="466"/>
      <c r="CW254" s="466"/>
      <c r="CX254" s="466"/>
      <c r="CY254" s="466"/>
      <c r="CZ254" s="466"/>
      <c r="DA254" s="466"/>
      <c r="DB254" s="466"/>
      <c r="DC254" s="466"/>
      <c r="DD254" s="466"/>
      <c r="DE254" s="466"/>
      <c r="DF254" s="466"/>
      <c r="DG254" s="466"/>
      <c r="FE254" s="527"/>
      <c r="FF254" s="466"/>
      <c r="FG254" s="466"/>
      <c r="FH254" s="466"/>
      <c r="FI254" s="466"/>
      <c r="FJ254" s="466"/>
      <c r="FK254" s="466"/>
      <c r="FL254" s="466"/>
      <c r="FM254" s="466"/>
      <c r="FN254" s="466"/>
      <c r="FO254" s="466"/>
      <c r="FP254" s="466"/>
      <c r="FQ254" s="466"/>
      <c r="FR254" s="466"/>
      <c r="FS254" s="466"/>
      <c r="FT254" s="466"/>
      <c r="FU254" s="466"/>
      <c r="FV254" s="466"/>
      <c r="FW254" s="466"/>
      <c r="FX254" s="466"/>
      <c r="FY254" s="466"/>
      <c r="FZ254" s="527"/>
      <c r="GA254" s="527"/>
      <c r="GB254" s="527"/>
      <c r="GC254" s="527"/>
      <c r="GD254" s="527"/>
      <c r="GE254" s="527"/>
      <c r="GF254" s="527"/>
      <c r="GG254" s="527"/>
      <c r="GH254" s="527"/>
      <c r="GI254" s="527"/>
      <c r="GJ254" s="527"/>
      <c r="GK254" s="527"/>
      <c r="GL254" s="527"/>
      <c r="GM254" s="527"/>
      <c r="GN254" s="527"/>
      <c r="GV254" s="527"/>
      <c r="GW254" s="527"/>
      <c r="GX254" s="527"/>
      <c r="GY254" s="527"/>
      <c r="GZ254" s="527"/>
      <c r="HA254" s="527"/>
      <c r="HB254" s="527"/>
      <c r="HC254" s="527"/>
      <c r="HD254" s="527"/>
      <c r="HE254" s="844"/>
      <c r="HF254" s="844"/>
      <c r="HG254" s="844"/>
      <c r="HH254" s="844"/>
      <c r="HI254" s="844"/>
      <c r="HJ254" s="844"/>
      <c r="HK254" s="844"/>
      <c r="HL254" s="844"/>
      <c r="HM254" s="844"/>
      <c r="HN254" s="844"/>
      <c r="HP254" s="466"/>
      <c r="HQ254" s="466"/>
      <c r="HR254" s="466"/>
      <c r="HS254" s="415"/>
      <c r="HT254" s="2292"/>
    </row>
    <row r="255" spans="3:228">
      <c r="C255" s="466"/>
      <c r="D255" s="466"/>
      <c r="E255" s="466"/>
      <c r="F255" s="466"/>
      <c r="G255" s="466"/>
      <c r="H255" s="466"/>
      <c r="I255" s="466"/>
      <c r="J255" s="466"/>
      <c r="K255" s="466"/>
      <c r="L255" s="466"/>
      <c r="M255" s="466"/>
      <c r="N255" s="466"/>
      <c r="O255" s="466"/>
      <c r="P255" s="510"/>
      <c r="Q255" s="510"/>
      <c r="R255" s="510"/>
      <c r="S255" s="510"/>
      <c r="T255" s="510"/>
      <c r="U255" s="510"/>
      <c r="V255" s="510"/>
      <c r="W255" s="510"/>
      <c r="X255" s="510"/>
      <c r="Y255" s="510"/>
      <c r="Z255" s="510"/>
      <c r="AA255" s="510"/>
      <c r="AB255" s="510"/>
      <c r="AC255" s="510"/>
      <c r="AD255" s="510"/>
      <c r="AE255" s="510"/>
      <c r="AF255" s="510"/>
      <c r="AG255" s="510"/>
      <c r="AH255" s="510"/>
      <c r="AI255" s="510"/>
      <c r="AJ255" s="510"/>
      <c r="AK255" s="510"/>
      <c r="AL255" s="510"/>
      <c r="AM255" s="510"/>
      <c r="AN255" s="510"/>
      <c r="AO255" s="510"/>
      <c r="AP255" s="510"/>
      <c r="AQ255" s="510"/>
      <c r="AR255" s="510"/>
      <c r="AS255" s="510"/>
      <c r="AT255" s="510"/>
      <c r="AU255" s="510"/>
      <c r="AV255" s="510"/>
      <c r="AW255" s="510"/>
      <c r="AX255" s="510"/>
      <c r="AY255" s="510"/>
      <c r="AZ255" s="466"/>
      <c r="BA255" s="466"/>
      <c r="BB255" s="466"/>
      <c r="BC255" s="466"/>
      <c r="BD255" s="466"/>
      <c r="BE255" s="466"/>
      <c r="BF255" s="466"/>
      <c r="BG255" s="466"/>
      <c r="BH255" s="466"/>
      <c r="BI255" s="466"/>
      <c r="BJ255" s="466"/>
      <c r="BK255" s="466"/>
      <c r="BL255" s="466"/>
      <c r="BM255" s="466"/>
      <c r="BN255" s="466"/>
      <c r="BO255" s="466"/>
      <c r="BP255" s="466"/>
      <c r="BQ255" s="466"/>
      <c r="BR255" s="466"/>
      <c r="BS255" s="466"/>
      <c r="BT255" s="466"/>
      <c r="BU255" s="466"/>
      <c r="BV255" s="466"/>
      <c r="BW255" s="466"/>
      <c r="BX255" s="466"/>
      <c r="BY255" s="466"/>
      <c r="BZ255" s="466"/>
      <c r="CA255" s="466"/>
      <c r="CB255" s="466"/>
      <c r="CC255" s="466"/>
      <c r="CD255" s="466"/>
      <c r="CE255" s="466"/>
      <c r="CF255" s="466"/>
      <c r="CG255" s="466"/>
      <c r="CH255" s="466"/>
      <c r="CI255" s="466"/>
      <c r="CJ255" s="466"/>
      <c r="CK255" s="466"/>
      <c r="CL255" s="466"/>
      <c r="CM255" s="466"/>
      <c r="CN255" s="466"/>
      <c r="CO255" s="466"/>
      <c r="CP255" s="466"/>
      <c r="CQ255" s="466"/>
      <c r="CR255" s="466"/>
      <c r="CS255" s="466"/>
      <c r="CT255" s="466"/>
      <c r="CU255" s="466"/>
      <c r="CV255" s="466"/>
      <c r="CW255" s="466"/>
      <c r="CX255" s="466"/>
      <c r="CY255" s="466"/>
      <c r="CZ255" s="466"/>
      <c r="DA255" s="466"/>
      <c r="DB255" s="466"/>
      <c r="DC255" s="466"/>
      <c r="DD255" s="466"/>
      <c r="DE255" s="466"/>
      <c r="DF255" s="466"/>
      <c r="DG255" s="466"/>
      <c r="FE255" s="527"/>
      <c r="FF255" s="466"/>
      <c r="FG255" s="466"/>
      <c r="FH255" s="466"/>
      <c r="FI255" s="466"/>
      <c r="FJ255" s="466"/>
      <c r="FK255" s="466"/>
      <c r="FL255" s="466"/>
      <c r="FM255" s="466"/>
      <c r="FN255" s="466"/>
      <c r="FO255" s="466"/>
      <c r="FP255" s="466"/>
      <c r="FQ255" s="466"/>
      <c r="FR255" s="466"/>
      <c r="FS255" s="466"/>
      <c r="FT255" s="466"/>
      <c r="FU255" s="466"/>
      <c r="FV255" s="466"/>
      <c r="FW255" s="466"/>
      <c r="FX255" s="466"/>
      <c r="FY255" s="466"/>
      <c r="FZ255" s="527"/>
      <c r="GA255" s="527"/>
      <c r="GB255" s="527"/>
      <c r="GC255" s="527"/>
      <c r="GD255" s="527"/>
      <c r="GE255" s="527"/>
      <c r="GF255" s="527"/>
      <c r="GG255" s="527"/>
      <c r="GH255" s="527"/>
      <c r="GI255" s="527"/>
      <c r="GJ255" s="527"/>
      <c r="GK255" s="527"/>
      <c r="GL255" s="527"/>
      <c r="GM255" s="527"/>
      <c r="GN255" s="527"/>
      <c r="GV255" s="527"/>
      <c r="GW255" s="527"/>
      <c r="GX255" s="527"/>
      <c r="GY255" s="527"/>
      <c r="GZ255" s="527"/>
      <c r="HA255" s="527"/>
      <c r="HB255" s="527"/>
      <c r="HC255" s="527"/>
      <c r="HD255" s="527"/>
      <c r="HE255" s="844"/>
      <c r="HF255" s="844"/>
      <c r="HG255" s="844"/>
      <c r="HH255" s="844"/>
      <c r="HI255" s="844"/>
      <c r="HJ255" s="844"/>
      <c r="HK255" s="844"/>
      <c r="HL255" s="844"/>
      <c r="HM255" s="844"/>
      <c r="HN255" s="844"/>
      <c r="HP255" s="466"/>
      <c r="HQ255" s="466"/>
      <c r="HR255" s="466"/>
      <c r="HS255" s="415"/>
      <c r="HT255" s="2292"/>
    </row>
    <row r="256" spans="3:228">
      <c r="C256" s="466"/>
      <c r="D256" s="466"/>
      <c r="E256" s="466"/>
      <c r="F256" s="466"/>
      <c r="G256" s="466"/>
      <c r="H256" s="466"/>
      <c r="I256" s="466"/>
      <c r="J256" s="466"/>
      <c r="K256" s="466"/>
      <c r="L256" s="466"/>
      <c r="M256" s="466"/>
      <c r="N256" s="466"/>
      <c r="O256" s="466"/>
      <c r="P256" s="510"/>
      <c r="Q256" s="510"/>
      <c r="R256" s="510"/>
      <c r="S256" s="510"/>
      <c r="T256" s="510"/>
      <c r="U256" s="510"/>
      <c r="V256" s="510"/>
      <c r="W256" s="510"/>
      <c r="X256" s="510"/>
      <c r="Y256" s="510"/>
      <c r="Z256" s="510"/>
      <c r="AA256" s="510"/>
      <c r="AB256" s="510"/>
      <c r="AC256" s="510"/>
      <c r="AD256" s="510"/>
      <c r="AE256" s="510"/>
      <c r="AF256" s="510"/>
      <c r="AG256" s="510"/>
      <c r="AH256" s="510"/>
      <c r="AI256" s="510"/>
      <c r="AJ256" s="510"/>
      <c r="AK256" s="510"/>
      <c r="AL256" s="510"/>
      <c r="AM256" s="510"/>
      <c r="AN256" s="510"/>
      <c r="AO256" s="510"/>
      <c r="AP256" s="510"/>
      <c r="AQ256" s="510"/>
      <c r="AR256" s="510"/>
      <c r="AS256" s="510"/>
      <c r="AT256" s="510"/>
      <c r="AU256" s="510"/>
      <c r="AV256" s="510"/>
      <c r="AW256" s="510"/>
      <c r="AX256" s="510"/>
      <c r="AY256" s="510"/>
      <c r="AZ256" s="466"/>
      <c r="BA256" s="466"/>
      <c r="BB256" s="466"/>
      <c r="BC256" s="466"/>
      <c r="BD256" s="466"/>
      <c r="BE256" s="466"/>
      <c r="BF256" s="466"/>
      <c r="BG256" s="466"/>
      <c r="BH256" s="466"/>
      <c r="BI256" s="466"/>
      <c r="BJ256" s="466"/>
      <c r="BK256" s="466"/>
      <c r="BL256" s="466"/>
      <c r="BM256" s="466"/>
      <c r="BN256" s="466"/>
      <c r="BO256" s="466"/>
      <c r="BP256" s="466"/>
      <c r="BQ256" s="466"/>
      <c r="BR256" s="466"/>
      <c r="BS256" s="466"/>
      <c r="BT256" s="466"/>
      <c r="BU256" s="466"/>
      <c r="BV256" s="466"/>
      <c r="BW256" s="466"/>
      <c r="BX256" s="466"/>
      <c r="BY256" s="466"/>
      <c r="BZ256" s="466"/>
      <c r="CA256" s="466"/>
      <c r="CB256" s="466"/>
      <c r="CC256" s="466"/>
      <c r="CD256" s="466"/>
      <c r="CE256" s="466"/>
      <c r="CF256" s="466"/>
      <c r="CG256" s="466"/>
      <c r="CH256" s="466"/>
      <c r="CI256" s="466"/>
      <c r="CJ256" s="466"/>
      <c r="CK256" s="466"/>
      <c r="CL256" s="466"/>
      <c r="CM256" s="466"/>
      <c r="CN256" s="466"/>
      <c r="CO256" s="466"/>
      <c r="CP256" s="466"/>
      <c r="CQ256" s="466"/>
      <c r="CR256" s="466"/>
      <c r="CS256" s="466"/>
      <c r="CT256" s="466"/>
      <c r="CU256" s="466"/>
      <c r="CV256" s="466"/>
      <c r="CW256" s="466"/>
      <c r="CX256" s="466"/>
      <c r="CY256" s="466"/>
      <c r="CZ256" s="466"/>
      <c r="DA256" s="466"/>
      <c r="DB256" s="466"/>
      <c r="DC256" s="466"/>
      <c r="DD256" s="466"/>
      <c r="DE256" s="466"/>
      <c r="DF256" s="466"/>
      <c r="DG256" s="466"/>
      <c r="FE256" s="527"/>
      <c r="FF256" s="466"/>
      <c r="FG256" s="466"/>
      <c r="FH256" s="466"/>
      <c r="FI256" s="466"/>
      <c r="FJ256" s="466"/>
      <c r="FK256" s="466"/>
      <c r="FL256" s="466"/>
      <c r="FM256" s="466"/>
      <c r="FN256" s="466"/>
      <c r="FO256" s="466"/>
      <c r="FP256" s="466"/>
      <c r="FQ256" s="466"/>
      <c r="FR256" s="466"/>
      <c r="FS256" s="466"/>
      <c r="FT256" s="466"/>
      <c r="FU256" s="466"/>
      <c r="FV256" s="466"/>
      <c r="FW256" s="466"/>
      <c r="FX256" s="466"/>
      <c r="FY256" s="466"/>
      <c r="FZ256" s="527"/>
      <c r="GA256" s="527"/>
      <c r="GB256" s="527"/>
      <c r="GC256" s="527"/>
      <c r="GD256" s="527"/>
      <c r="GE256" s="527"/>
      <c r="GF256" s="527"/>
      <c r="GG256" s="527"/>
      <c r="GH256" s="527"/>
      <c r="GI256" s="527"/>
      <c r="GJ256" s="527"/>
      <c r="GK256" s="527"/>
      <c r="GL256" s="527"/>
      <c r="GM256" s="527"/>
      <c r="GN256" s="527"/>
      <c r="GV256" s="527"/>
      <c r="GW256" s="527"/>
      <c r="GX256" s="527"/>
      <c r="GY256" s="527"/>
      <c r="GZ256" s="527"/>
      <c r="HA256" s="527"/>
      <c r="HB256" s="527"/>
      <c r="HC256" s="527"/>
      <c r="HD256" s="527"/>
      <c r="HE256" s="844"/>
      <c r="HF256" s="844"/>
      <c r="HG256" s="844"/>
      <c r="HH256" s="844"/>
      <c r="HI256" s="844"/>
      <c r="HJ256" s="844"/>
      <c r="HK256" s="844"/>
      <c r="HL256" s="844"/>
      <c r="HM256" s="844"/>
      <c r="HN256" s="844"/>
      <c r="HP256" s="466"/>
      <c r="HQ256" s="466"/>
      <c r="HR256" s="466"/>
      <c r="HS256" s="415"/>
      <c r="HT256" s="2292"/>
    </row>
    <row r="257" spans="3:228">
      <c r="C257" s="466"/>
      <c r="D257" s="466"/>
      <c r="E257" s="466"/>
      <c r="F257" s="466"/>
      <c r="G257" s="466"/>
      <c r="H257" s="466"/>
      <c r="I257" s="466"/>
      <c r="J257" s="466"/>
      <c r="K257" s="466"/>
      <c r="L257" s="466"/>
      <c r="M257" s="466"/>
      <c r="N257" s="466"/>
      <c r="O257" s="466"/>
      <c r="P257" s="510"/>
      <c r="Q257" s="510"/>
      <c r="R257" s="510"/>
      <c r="S257" s="510"/>
      <c r="T257" s="510"/>
      <c r="U257" s="510"/>
      <c r="V257" s="510"/>
      <c r="W257" s="510"/>
      <c r="X257" s="510"/>
      <c r="Y257" s="510"/>
      <c r="Z257" s="510"/>
      <c r="AA257" s="510"/>
      <c r="AB257" s="510"/>
      <c r="AC257" s="510"/>
      <c r="AD257" s="510"/>
      <c r="AE257" s="510"/>
      <c r="AF257" s="510"/>
      <c r="AG257" s="510"/>
      <c r="AH257" s="510"/>
      <c r="AI257" s="510"/>
      <c r="AJ257" s="510"/>
      <c r="AK257" s="510"/>
      <c r="AL257" s="510"/>
      <c r="AM257" s="510"/>
      <c r="AN257" s="510"/>
      <c r="AO257" s="510"/>
      <c r="AP257" s="510"/>
      <c r="AQ257" s="510"/>
      <c r="AR257" s="510"/>
      <c r="AS257" s="510"/>
      <c r="AT257" s="510"/>
      <c r="AU257" s="510"/>
      <c r="AV257" s="510"/>
      <c r="AW257" s="510"/>
      <c r="AX257" s="510"/>
      <c r="AY257" s="510"/>
      <c r="AZ257" s="466"/>
      <c r="BA257" s="466"/>
      <c r="BB257" s="466"/>
      <c r="BC257" s="466"/>
      <c r="BD257" s="466"/>
      <c r="BE257" s="466"/>
      <c r="BF257" s="466"/>
      <c r="BG257" s="466"/>
      <c r="BH257" s="466"/>
      <c r="BI257" s="466"/>
      <c r="BJ257" s="466"/>
      <c r="BK257" s="466"/>
      <c r="BL257" s="466"/>
      <c r="BM257" s="466"/>
      <c r="BN257" s="466"/>
      <c r="BO257" s="466"/>
      <c r="BP257" s="466"/>
      <c r="BQ257" s="466"/>
      <c r="BR257" s="466"/>
      <c r="BS257" s="466"/>
      <c r="BT257" s="466"/>
      <c r="BU257" s="466"/>
      <c r="BV257" s="466"/>
      <c r="BW257" s="466"/>
      <c r="BX257" s="466"/>
      <c r="BY257" s="466"/>
      <c r="BZ257" s="466"/>
      <c r="CA257" s="466"/>
      <c r="CB257" s="466"/>
      <c r="CC257" s="466"/>
      <c r="CD257" s="466"/>
      <c r="CE257" s="466"/>
      <c r="CF257" s="466"/>
      <c r="CG257" s="466"/>
      <c r="CH257" s="466"/>
      <c r="CI257" s="466"/>
      <c r="CJ257" s="466"/>
      <c r="CK257" s="466"/>
      <c r="CL257" s="466"/>
      <c r="CM257" s="466"/>
      <c r="CN257" s="466"/>
      <c r="CO257" s="466"/>
      <c r="CP257" s="466"/>
      <c r="CQ257" s="466"/>
      <c r="CR257" s="466"/>
      <c r="CS257" s="466"/>
      <c r="CT257" s="466"/>
      <c r="CU257" s="466"/>
      <c r="CV257" s="466"/>
      <c r="CW257" s="466"/>
      <c r="CX257" s="466"/>
      <c r="CY257" s="466"/>
      <c r="CZ257" s="466"/>
      <c r="DA257" s="466"/>
      <c r="DB257" s="466"/>
      <c r="DC257" s="466"/>
      <c r="DD257" s="466"/>
      <c r="DE257" s="466"/>
      <c r="DF257" s="466"/>
      <c r="DG257" s="466"/>
      <c r="FE257" s="527"/>
      <c r="FF257" s="466"/>
      <c r="FG257" s="466"/>
      <c r="FH257" s="466"/>
      <c r="FI257" s="466"/>
      <c r="FJ257" s="466"/>
      <c r="FK257" s="466"/>
      <c r="FL257" s="466"/>
      <c r="FM257" s="466"/>
      <c r="FN257" s="466"/>
      <c r="FO257" s="466"/>
      <c r="FP257" s="466"/>
      <c r="FQ257" s="466"/>
      <c r="FR257" s="466"/>
      <c r="FS257" s="466"/>
      <c r="FT257" s="466"/>
      <c r="FU257" s="466"/>
      <c r="FV257" s="466"/>
      <c r="FW257" s="466"/>
      <c r="FX257" s="466"/>
      <c r="FY257" s="466"/>
      <c r="FZ257" s="527"/>
      <c r="GA257" s="527"/>
      <c r="GB257" s="527"/>
      <c r="GC257" s="527"/>
      <c r="GD257" s="527"/>
      <c r="GE257" s="527"/>
      <c r="GF257" s="527"/>
      <c r="GG257" s="527"/>
      <c r="GH257" s="527"/>
      <c r="GI257" s="527"/>
      <c r="GJ257" s="527"/>
      <c r="GK257" s="527"/>
      <c r="GL257" s="527"/>
      <c r="GM257" s="527"/>
      <c r="GN257" s="527"/>
      <c r="GV257" s="527"/>
      <c r="GW257" s="527"/>
      <c r="GX257" s="527"/>
      <c r="GY257" s="527"/>
      <c r="GZ257" s="527"/>
      <c r="HA257" s="527"/>
      <c r="HB257" s="527"/>
      <c r="HC257" s="527"/>
      <c r="HD257" s="527"/>
      <c r="HE257" s="844"/>
      <c r="HF257" s="844"/>
      <c r="HG257" s="844"/>
      <c r="HH257" s="844"/>
      <c r="HI257" s="844"/>
      <c r="HJ257" s="844"/>
      <c r="HK257" s="844"/>
      <c r="HL257" s="844"/>
      <c r="HM257" s="844"/>
      <c r="HN257" s="844"/>
      <c r="HP257" s="466"/>
      <c r="HQ257" s="466"/>
      <c r="HR257" s="466"/>
      <c r="HS257" s="415"/>
      <c r="HT257" s="2292"/>
    </row>
    <row r="258" spans="3:228">
      <c r="C258" s="466"/>
      <c r="D258" s="466"/>
      <c r="E258" s="466"/>
      <c r="F258" s="466"/>
      <c r="G258" s="466"/>
      <c r="H258" s="466"/>
      <c r="I258" s="466"/>
      <c r="J258" s="466"/>
      <c r="K258" s="466"/>
      <c r="L258" s="466"/>
      <c r="M258" s="466"/>
      <c r="N258" s="466"/>
      <c r="O258" s="466"/>
      <c r="P258" s="510"/>
      <c r="Q258" s="510"/>
      <c r="R258" s="510"/>
      <c r="S258" s="510"/>
      <c r="T258" s="510"/>
      <c r="U258" s="510"/>
      <c r="V258" s="510"/>
      <c r="W258" s="510"/>
      <c r="X258" s="510"/>
      <c r="Y258" s="510"/>
      <c r="Z258" s="510"/>
      <c r="AA258" s="510"/>
      <c r="AB258" s="510"/>
      <c r="AC258" s="510"/>
      <c r="AD258" s="510"/>
      <c r="AE258" s="510"/>
      <c r="AF258" s="510"/>
      <c r="AG258" s="510"/>
      <c r="AH258" s="510"/>
      <c r="AI258" s="510"/>
      <c r="AJ258" s="510"/>
      <c r="AK258" s="510"/>
      <c r="AL258" s="510"/>
      <c r="AM258" s="510"/>
      <c r="AN258" s="510"/>
      <c r="AO258" s="510"/>
      <c r="AP258" s="510"/>
      <c r="AQ258" s="510"/>
      <c r="AR258" s="510"/>
      <c r="AS258" s="510"/>
      <c r="AT258" s="510"/>
      <c r="AU258" s="510"/>
      <c r="AV258" s="510"/>
      <c r="AW258" s="510"/>
      <c r="AX258" s="510"/>
      <c r="AY258" s="510"/>
      <c r="AZ258" s="466"/>
      <c r="BA258" s="466"/>
      <c r="BB258" s="466"/>
      <c r="BC258" s="466"/>
      <c r="BD258" s="466"/>
      <c r="BE258" s="466"/>
      <c r="BF258" s="466"/>
      <c r="BG258" s="466"/>
      <c r="BH258" s="466"/>
      <c r="BI258" s="466"/>
      <c r="BJ258" s="466"/>
      <c r="BK258" s="466"/>
      <c r="BL258" s="466"/>
      <c r="BM258" s="466"/>
      <c r="BN258" s="466"/>
      <c r="BO258" s="466"/>
      <c r="BP258" s="466"/>
      <c r="BQ258" s="466"/>
      <c r="BR258" s="466"/>
      <c r="BS258" s="466"/>
      <c r="BT258" s="466"/>
      <c r="BU258" s="466"/>
      <c r="BV258" s="466"/>
      <c r="BW258" s="466"/>
      <c r="BX258" s="466"/>
      <c r="BY258" s="466"/>
      <c r="BZ258" s="466"/>
      <c r="CA258" s="466"/>
      <c r="CB258" s="466"/>
      <c r="CC258" s="466"/>
      <c r="CD258" s="466"/>
      <c r="CE258" s="466"/>
      <c r="CF258" s="466"/>
      <c r="CG258" s="466"/>
      <c r="CH258" s="466"/>
      <c r="CI258" s="466"/>
      <c r="CJ258" s="466"/>
      <c r="CK258" s="466"/>
      <c r="CL258" s="466"/>
      <c r="CM258" s="466"/>
      <c r="CN258" s="466"/>
      <c r="CO258" s="466"/>
      <c r="CP258" s="466"/>
      <c r="CQ258" s="466"/>
      <c r="CR258" s="466"/>
      <c r="CS258" s="466"/>
      <c r="CT258" s="466"/>
      <c r="CU258" s="466"/>
      <c r="CV258" s="466"/>
      <c r="CW258" s="466"/>
      <c r="CX258" s="466"/>
      <c r="CY258" s="466"/>
      <c r="CZ258" s="466"/>
      <c r="DA258" s="466"/>
      <c r="DB258" s="466"/>
      <c r="DC258" s="466"/>
      <c r="DD258" s="466"/>
      <c r="DE258" s="466"/>
      <c r="DF258" s="466"/>
      <c r="DG258" s="466"/>
      <c r="FE258" s="527"/>
      <c r="FF258" s="466"/>
      <c r="FG258" s="466"/>
      <c r="FH258" s="466"/>
      <c r="FI258" s="466"/>
      <c r="FJ258" s="466"/>
      <c r="FK258" s="466"/>
      <c r="FL258" s="466"/>
      <c r="FM258" s="466"/>
      <c r="FN258" s="466"/>
      <c r="FO258" s="466"/>
      <c r="FP258" s="466"/>
      <c r="FQ258" s="466"/>
      <c r="FR258" s="466"/>
      <c r="FS258" s="466"/>
      <c r="FT258" s="466"/>
      <c r="FU258" s="466"/>
      <c r="FV258" s="466"/>
      <c r="FW258" s="466"/>
      <c r="FX258" s="466"/>
      <c r="FY258" s="466"/>
      <c r="FZ258" s="527"/>
      <c r="GA258" s="527"/>
      <c r="GB258" s="527"/>
      <c r="GC258" s="527"/>
      <c r="GD258" s="527"/>
      <c r="GE258" s="527"/>
      <c r="GF258" s="527"/>
      <c r="GG258" s="527"/>
      <c r="GH258" s="527"/>
      <c r="GI258" s="527"/>
      <c r="GJ258" s="527"/>
      <c r="GK258" s="527"/>
      <c r="GL258" s="527"/>
      <c r="GM258" s="527"/>
      <c r="GN258" s="527"/>
      <c r="GV258" s="527"/>
      <c r="GW258" s="527"/>
      <c r="GX258" s="527"/>
      <c r="GY258" s="527"/>
      <c r="GZ258" s="527"/>
      <c r="HA258" s="527"/>
      <c r="HB258" s="527"/>
      <c r="HC258" s="527"/>
      <c r="HD258" s="527"/>
      <c r="HE258" s="844"/>
      <c r="HF258" s="844"/>
      <c r="HG258" s="844"/>
      <c r="HH258" s="844"/>
      <c r="HI258" s="844"/>
      <c r="HJ258" s="844"/>
      <c r="HK258" s="844"/>
      <c r="HL258" s="844"/>
      <c r="HM258" s="844"/>
      <c r="HN258" s="844"/>
      <c r="HP258" s="466"/>
      <c r="HQ258" s="466"/>
      <c r="HR258" s="466"/>
      <c r="HS258" s="415"/>
      <c r="HT258" s="2292"/>
    </row>
    <row r="259" spans="3:228">
      <c r="C259" s="466"/>
      <c r="D259" s="466"/>
      <c r="E259" s="466"/>
      <c r="F259" s="466"/>
      <c r="G259" s="466"/>
      <c r="H259" s="466"/>
      <c r="I259" s="466"/>
      <c r="J259" s="466"/>
      <c r="K259" s="466"/>
      <c r="L259" s="466"/>
      <c r="M259" s="466"/>
      <c r="N259" s="466"/>
      <c r="O259" s="466"/>
      <c r="P259" s="510"/>
      <c r="Q259" s="510"/>
      <c r="R259" s="510"/>
      <c r="S259" s="510"/>
      <c r="T259" s="510"/>
      <c r="U259" s="510"/>
      <c r="V259" s="510"/>
      <c r="W259" s="510"/>
      <c r="X259" s="510"/>
      <c r="Y259" s="510"/>
      <c r="Z259" s="510"/>
      <c r="AA259" s="510"/>
      <c r="AB259" s="510"/>
      <c r="AC259" s="510"/>
      <c r="AD259" s="510"/>
      <c r="AE259" s="510"/>
      <c r="AF259" s="510"/>
      <c r="AG259" s="510"/>
      <c r="AH259" s="510"/>
      <c r="AI259" s="510"/>
      <c r="AJ259" s="510"/>
      <c r="AK259" s="510"/>
      <c r="AL259" s="510"/>
      <c r="AM259" s="510"/>
      <c r="AN259" s="510"/>
      <c r="AO259" s="510"/>
      <c r="AP259" s="510"/>
      <c r="AQ259" s="510"/>
      <c r="AR259" s="510"/>
      <c r="AS259" s="510"/>
      <c r="AT259" s="510"/>
      <c r="AU259" s="510"/>
      <c r="AV259" s="510"/>
      <c r="AW259" s="510"/>
      <c r="AX259" s="510"/>
      <c r="AY259" s="510"/>
      <c r="AZ259" s="466"/>
      <c r="BA259" s="466"/>
      <c r="BB259" s="466"/>
      <c r="BC259" s="466"/>
      <c r="BD259" s="466"/>
      <c r="BE259" s="466"/>
      <c r="BF259" s="466"/>
      <c r="BG259" s="466"/>
      <c r="BH259" s="466"/>
      <c r="BI259" s="466"/>
      <c r="BJ259" s="466"/>
      <c r="BK259" s="466"/>
      <c r="BL259" s="466"/>
      <c r="BM259" s="466"/>
      <c r="BN259" s="466"/>
      <c r="BO259" s="466"/>
      <c r="BP259" s="466"/>
      <c r="BQ259" s="466"/>
      <c r="BR259" s="466"/>
      <c r="BS259" s="466"/>
      <c r="BT259" s="466"/>
      <c r="BU259" s="466"/>
      <c r="BV259" s="466"/>
      <c r="BW259" s="466"/>
      <c r="BX259" s="466"/>
      <c r="BY259" s="466"/>
      <c r="BZ259" s="466"/>
      <c r="CA259" s="466"/>
      <c r="CB259" s="466"/>
      <c r="CC259" s="466"/>
      <c r="CD259" s="466"/>
      <c r="CE259" s="466"/>
      <c r="CF259" s="466"/>
      <c r="CG259" s="466"/>
      <c r="CH259" s="466"/>
      <c r="CI259" s="466"/>
      <c r="CJ259" s="466"/>
      <c r="CK259" s="466"/>
      <c r="CL259" s="466"/>
      <c r="CM259" s="466"/>
      <c r="CN259" s="466"/>
      <c r="CO259" s="466"/>
      <c r="CP259" s="466"/>
      <c r="CQ259" s="466"/>
      <c r="CR259" s="466"/>
      <c r="CS259" s="466"/>
      <c r="CT259" s="466"/>
      <c r="CU259" s="466"/>
      <c r="CV259" s="466"/>
      <c r="CW259" s="466"/>
      <c r="CX259" s="466"/>
      <c r="CY259" s="466"/>
      <c r="CZ259" s="466"/>
      <c r="DA259" s="466"/>
      <c r="DB259" s="466"/>
      <c r="DC259" s="466"/>
      <c r="DD259" s="466"/>
      <c r="DE259" s="466"/>
      <c r="DF259" s="466"/>
      <c r="DG259" s="466"/>
      <c r="FE259" s="527"/>
      <c r="FF259" s="466"/>
      <c r="FG259" s="466"/>
      <c r="FH259" s="466"/>
      <c r="FI259" s="466"/>
      <c r="FJ259" s="466"/>
      <c r="FK259" s="466"/>
      <c r="FL259" s="466"/>
      <c r="FM259" s="466"/>
      <c r="FN259" s="466"/>
      <c r="FO259" s="466"/>
      <c r="FP259" s="466"/>
      <c r="FQ259" s="466"/>
      <c r="FR259" s="466"/>
      <c r="FS259" s="466"/>
      <c r="FT259" s="466"/>
      <c r="FU259" s="466"/>
      <c r="FV259" s="466"/>
      <c r="FW259" s="466"/>
      <c r="FX259" s="466"/>
      <c r="FY259" s="466"/>
      <c r="FZ259" s="527"/>
      <c r="GA259" s="527"/>
      <c r="GB259" s="527"/>
      <c r="GC259" s="527"/>
      <c r="GD259" s="527"/>
      <c r="GE259" s="527"/>
      <c r="GF259" s="527"/>
      <c r="GG259" s="527"/>
      <c r="GH259" s="527"/>
      <c r="GI259" s="527"/>
      <c r="GJ259" s="527"/>
      <c r="GK259" s="527"/>
      <c r="GL259" s="527"/>
      <c r="GM259" s="527"/>
      <c r="GN259" s="527"/>
      <c r="GV259" s="527"/>
      <c r="GW259" s="527"/>
      <c r="GX259" s="527"/>
      <c r="GY259" s="527"/>
      <c r="GZ259" s="527"/>
      <c r="HA259" s="527"/>
      <c r="HB259" s="527"/>
      <c r="HC259" s="527"/>
      <c r="HD259" s="527"/>
      <c r="HE259" s="844"/>
      <c r="HF259" s="844"/>
      <c r="HG259" s="844"/>
      <c r="HH259" s="844"/>
      <c r="HI259" s="844"/>
      <c r="HJ259" s="844"/>
      <c r="HK259" s="844"/>
      <c r="HL259" s="844"/>
      <c r="HM259" s="844"/>
      <c r="HN259" s="844"/>
      <c r="HP259" s="466"/>
      <c r="HQ259" s="466"/>
      <c r="HR259" s="466"/>
      <c r="HS259" s="415"/>
      <c r="HT259" s="2292"/>
    </row>
    <row r="260" spans="3:228">
      <c r="C260" s="466"/>
      <c r="D260" s="466"/>
      <c r="E260" s="466"/>
      <c r="F260" s="466"/>
      <c r="G260" s="466"/>
      <c r="H260" s="466"/>
      <c r="I260" s="466"/>
      <c r="J260" s="466"/>
      <c r="K260" s="466"/>
      <c r="L260" s="466"/>
      <c r="M260" s="466"/>
      <c r="N260" s="466"/>
      <c r="O260" s="466"/>
      <c r="P260" s="510"/>
      <c r="Q260" s="510"/>
      <c r="R260" s="510"/>
      <c r="S260" s="510"/>
      <c r="T260" s="510"/>
      <c r="U260" s="510"/>
      <c r="V260" s="510"/>
      <c r="W260" s="510"/>
      <c r="X260" s="510"/>
      <c r="Y260" s="510"/>
      <c r="Z260" s="510"/>
      <c r="AA260" s="510"/>
      <c r="AB260" s="510"/>
      <c r="AC260" s="510"/>
      <c r="AD260" s="510"/>
      <c r="AE260" s="510"/>
      <c r="AF260" s="510"/>
      <c r="AG260" s="510"/>
      <c r="AH260" s="510"/>
      <c r="AI260" s="510"/>
      <c r="AJ260" s="510"/>
      <c r="AK260" s="510"/>
      <c r="AL260" s="510"/>
      <c r="AM260" s="510"/>
      <c r="AN260" s="510"/>
      <c r="AO260" s="510"/>
      <c r="AP260" s="510"/>
      <c r="AQ260" s="510"/>
      <c r="AR260" s="510"/>
      <c r="AS260" s="510"/>
      <c r="AT260" s="510"/>
      <c r="AU260" s="510"/>
      <c r="AV260" s="510"/>
      <c r="AW260" s="510"/>
      <c r="AX260" s="510"/>
      <c r="AY260" s="510"/>
      <c r="AZ260" s="466"/>
      <c r="BA260" s="466"/>
      <c r="BB260" s="466"/>
      <c r="BC260" s="466"/>
      <c r="BD260" s="466"/>
      <c r="BE260" s="466"/>
      <c r="BF260" s="466"/>
      <c r="BG260" s="466"/>
      <c r="BH260" s="466"/>
      <c r="BI260" s="466"/>
      <c r="BJ260" s="466"/>
      <c r="BK260" s="466"/>
      <c r="BL260" s="466"/>
      <c r="BM260" s="466"/>
      <c r="BN260" s="466"/>
      <c r="BO260" s="466"/>
      <c r="BP260" s="466"/>
      <c r="BQ260" s="466"/>
      <c r="BR260" s="466"/>
      <c r="BS260" s="466"/>
      <c r="BT260" s="466"/>
      <c r="BU260" s="466"/>
      <c r="BV260" s="466"/>
      <c r="BW260" s="466"/>
      <c r="BX260" s="466"/>
      <c r="BY260" s="466"/>
      <c r="BZ260" s="466"/>
      <c r="CA260" s="466"/>
      <c r="CB260" s="466"/>
      <c r="CC260" s="466"/>
      <c r="CD260" s="466"/>
      <c r="CE260" s="466"/>
      <c r="CF260" s="466"/>
      <c r="CG260" s="466"/>
      <c r="CH260" s="466"/>
      <c r="CI260" s="466"/>
      <c r="CJ260" s="466"/>
      <c r="CK260" s="466"/>
      <c r="CL260" s="466"/>
      <c r="CM260" s="466"/>
      <c r="CN260" s="466"/>
      <c r="CO260" s="466"/>
      <c r="CP260" s="466"/>
      <c r="CQ260" s="466"/>
      <c r="CR260" s="466"/>
      <c r="CS260" s="466"/>
      <c r="CT260" s="466"/>
      <c r="CU260" s="466"/>
      <c r="CV260" s="466"/>
      <c r="CW260" s="466"/>
      <c r="CX260" s="466"/>
      <c r="CY260" s="466"/>
      <c r="CZ260" s="466"/>
      <c r="DA260" s="466"/>
      <c r="DB260" s="466"/>
      <c r="DC260" s="466"/>
      <c r="DD260" s="466"/>
      <c r="DE260" s="466"/>
      <c r="DF260" s="466"/>
      <c r="DG260" s="466"/>
      <c r="FE260" s="527"/>
      <c r="FF260" s="466"/>
      <c r="FG260" s="466"/>
      <c r="FH260" s="466"/>
      <c r="FI260" s="466"/>
      <c r="FJ260" s="466"/>
      <c r="FK260" s="466"/>
      <c r="FL260" s="466"/>
      <c r="FM260" s="466"/>
      <c r="FN260" s="466"/>
      <c r="FO260" s="466"/>
      <c r="FP260" s="466"/>
      <c r="FQ260" s="466"/>
      <c r="FR260" s="466"/>
      <c r="FS260" s="466"/>
      <c r="FT260" s="466"/>
      <c r="FU260" s="466"/>
      <c r="FV260" s="466"/>
      <c r="FW260" s="466"/>
      <c r="FX260" s="466"/>
      <c r="FY260" s="466"/>
      <c r="FZ260" s="527"/>
      <c r="GA260" s="527"/>
      <c r="GB260" s="527"/>
      <c r="GC260" s="527"/>
      <c r="GD260" s="527"/>
      <c r="GE260" s="527"/>
      <c r="GF260" s="527"/>
      <c r="GG260" s="527"/>
      <c r="GH260" s="527"/>
      <c r="GI260" s="527"/>
      <c r="GJ260" s="527"/>
      <c r="GK260" s="527"/>
      <c r="GL260" s="527"/>
      <c r="GM260" s="527"/>
      <c r="GN260" s="527"/>
      <c r="GV260" s="527"/>
      <c r="GW260" s="527"/>
      <c r="GX260" s="527"/>
      <c r="GY260" s="527"/>
      <c r="GZ260" s="527"/>
      <c r="HA260" s="527"/>
      <c r="HB260" s="527"/>
      <c r="HC260" s="527"/>
      <c r="HD260" s="527"/>
      <c r="HE260" s="844"/>
      <c r="HF260" s="844"/>
      <c r="HG260" s="844"/>
      <c r="HH260" s="844"/>
      <c r="HI260" s="844"/>
      <c r="HJ260" s="844"/>
      <c r="HK260" s="844"/>
      <c r="HL260" s="844"/>
      <c r="HM260" s="844"/>
      <c r="HN260" s="844"/>
      <c r="HP260" s="466"/>
      <c r="HQ260" s="466"/>
      <c r="HR260" s="466"/>
      <c r="HS260" s="415"/>
      <c r="HT260" s="2292"/>
    </row>
    <row r="261" spans="3:228">
      <c r="C261" s="466"/>
      <c r="D261" s="466"/>
      <c r="E261" s="466"/>
      <c r="F261" s="466"/>
      <c r="G261" s="466"/>
      <c r="H261" s="466"/>
      <c r="I261" s="466"/>
      <c r="J261" s="466"/>
      <c r="K261" s="466"/>
      <c r="L261" s="466"/>
      <c r="M261" s="466"/>
      <c r="N261" s="466"/>
      <c r="O261" s="466"/>
      <c r="P261" s="510"/>
      <c r="Q261" s="510"/>
      <c r="R261" s="510"/>
      <c r="S261" s="510"/>
      <c r="T261" s="510"/>
      <c r="U261" s="510"/>
      <c r="V261" s="510"/>
      <c r="W261" s="510"/>
      <c r="X261" s="510"/>
      <c r="Y261" s="510"/>
      <c r="Z261" s="510"/>
      <c r="AA261" s="510"/>
      <c r="AB261" s="510"/>
      <c r="AC261" s="510"/>
      <c r="AD261" s="510"/>
      <c r="AE261" s="510"/>
      <c r="AF261" s="510"/>
      <c r="AG261" s="510"/>
      <c r="AH261" s="510"/>
      <c r="AI261" s="510"/>
      <c r="AJ261" s="510"/>
      <c r="AK261" s="510"/>
      <c r="AL261" s="510"/>
      <c r="AM261" s="510"/>
      <c r="AN261" s="510"/>
      <c r="AO261" s="510"/>
      <c r="AP261" s="510"/>
      <c r="AQ261" s="510"/>
      <c r="AR261" s="510"/>
      <c r="AS261" s="510"/>
      <c r="AT261" s="510"/>
      <c r="AU261" s="510"/>
      <c r="AV261" s="510"/>
      <c r="AW261" s="510"/>
      <c r="AX261" s="510"/>
      <c r="AY261" s="510"/>
      <c r="AZ261" s="466"/>
      <c r="BA261" s="466"/>
      <c r="BB261" s="466"/>
      <c r="BC261" s="466"/>
      <c r="BD261" s="466"/>
      <c r="BE261" s="466"/>
      <c r="BF261" s="466"/>
      <c r="BG261" s="466"/>
      <c r="BH261" s="466"/>
      <c r="BI261" s="466"/>
      <c r="BJ261" s="466"/>
      <c r="BK261" s="466"/>
      <c r="BL261" s="466"/>
      <c r="BM261" s="466"/>
      <c r="BN261" s="466"/>
      <c r="BO261" s="466"/>
      <c r="BP261" s="466"/>
      <c r="BQ261" s="466"/>
      <c r="BR261" s="466"/>
      <c r="BS261" s="466"/>
      <c r="BT261" s="466"/>
      <c r="BU261" s="466"/>
      <c r="BV261" s="466"/>
      <c r="BW261" s="466"/>
      <c r="BX261" s="466"/>
      <c r="BY261" s="466"/>
      <c r="BZ261" s="466"/>
      <c r="CA261" s="466"/>
      <c r="CB261" s="466"/>
      <c r="CC261" s="466"/>
      <c r="CD261" s="466"/>
      <c r="CE261" s="466"/>
      <c r="CF261" s="466"/>
      <c r="CG261" s="466"/>
      <c r="CH261" s="466"/>
      <c r="CI261" s="466"/>
      <c r="CJ261" s="466"/>
      <c r="CK261" s="466"/>
      <c r="CL261" s="466"/>
      <c r="CM261" s="466"/>
      <c r="CN261" s="466"/>
      <c r="CO261" s="466"/>
      <c r="CP261" s="466"/>
      <c r="CQ261" s="466"/>
      <c r="CR261" s="466"/>
      <c r="CS261" s="466"/>
      <c r="CT261" s="466"/>
      <c r="CU261" s="466"/>
      <c r="CV261" s="466"/>
      <c r="CW261" s="466"/>
      <c r="CX261" s="466"/>
      <c r="CY261" s="466"/>
      <c r="CZ261" s="466"/>
      <c r="DA261" s="466"/>
      <c r="DB261" s="466"/>
      <c r="DC261" s="466"/>
      <c r="DD261" s="466"/>
      <c r="DE261" s="466"/>
      <c r="DF261" s="466"/>
      <c r="DG261" s="466"/>
      <c r="FE261" s="527"/>
      <c r="FF261" s="466"/>
      <c r="FG261" s="466"/>
      <c r="FH261" s="466"/>
      <c r="FI261" s="466"/>
      <c r="FJ261" s="466"/>
      <c r="FK261" s="466"/>
      <c r="FL261" s="466"/>
      <c r="FM261" s="466"/>
      <c r="FN261" s="466"/>
      <c r="FO261" s="466"/>
      <c r="FP261" s="466"/>
      <c r="FQ261" s="466"/>
      <c r="FR261" s="466"/>
      <c r="FS261" s="466"/>
      <c r="FT261" s="466"/>
      <c r="FU261" s="466"/>
      <c r="FV261" s="466"/>
      <c r="FW261" s="466"/>
      <c r="FX261" s="466"/>
      <c r="FY261" s="466"/>
      <c r="FZ261" s="527"/>
      <c r="GA261" s="527"/>
      <c r="GB261" s="527"/>
      <c r="GC261" s="527"/>
      <c r="GD261" s="527"/>
      <c r="GE261" s="527"/>
      <c r="GF261" s="527"/>
      <c r="GG261" s="527"/>
      <c r="GH261" s="527"/>
      <c r="GI261" s="527"/>
      <c r="GJ261" s="527"/>
      <c r="GK261" s="527"/>
      <c r="GL261" s="527"/>
      <c r="GM261" s="527"/>
      <c r="GN261" s="527"/>
      <c r="GV261" s="527"/>
      <c r="GW261" s="527"/>
      <c r="GX261" s="527"/>
      <c r="GY261" s="527"/>
      <c r="GZ261" s="527"/>
      <c r="HA261" s="527"/>
      <c r="HB261" s="527"/>
      <c r="HC261" s="527"/>
      <c r="HD261" s="527"/>
      <c r="HE261" s="844"/>
      <c r="HF261" s="844"/>
      <c r="HG261" s="844"/>
      <c r="HH261" s="844"/>
      <c r="HI261" s="844"/>
      <c r="HJ261" s="844"/>
      <c r="HK261" s="844"/>
      <c r="HL261" s="844"/>
      <c r="HM261" s="844"/>
      <c r="HN261" s="844"/>
      <c r="HP261" s="466"/>
      <c r="HQ261" s="466"/>
      <c r="HR261" s="466"/>
      <c r="HS261" s="415"/>
      <c r="HT261" s="2292"/>
    </row>
    <row r="262" spans="3:228">
      <c r="C262" s="466"/>
      <c r="D262" s="466"/>
      <c r="E262" s="466"/>
      <c r="F262" s="466"/>
      <c r="G262" s="466"/>
      <c r="H262" s="466"/>
      <c r="I262" s="466"/>
      <c r="J262" s="466"/>
      <c r="K262" s="466"/>
      <c r="L262" s="466"/>
      <c r="M262" s="466"/>
      <c r="N262" s="466"/>
      <c r="O262" s="466"/>
      <c r="P262" s="510"/>
      <c r="Q262" s="510"/>
      <c r="R262" s="510"/>
      <c r="S262" s="510"/>
      <c r="T262" s="510"/>
      <c r="U262" s="510"/>
      <c r="V262" s="510"/>
      <c r="W262" s="510"/>
      <c r="X262" s="510"/>
      <c r="Y262" s="510"/>
      <c r="Z262" s="510"/>
      <c r="AA262" s="510"/>
      <c r="AB262" s="510"/>
      <c r="AC262" s="510"/>
      <c r="AD262" s="510"/>
      <c r="AE262" s="510"/>
      <c r="AF262" s="510"/>
      <c r="AG262" s="510"/>
      <c r="AH262" s="510"/>
      <c r="AI262" s="510"/>
      <c r="AJ262" s="510"/>
      <c r="AK262" s="510"/>
      <c r="AL262" s="510"/>
      <c r="AM262" s="510"/>
      <c r="AN262" s="510"/>
      <c r="AO262" s="510"/>
      <c r="AP262" s="510"/>
      <c r="AQ262" s="510"/>
      <c r="AR262" s="510"/>
      <c r="AS262" s="510"/>
      <c r="AT262" s="510"/>
      <c r="AU262" s="510"/>
      <c r="AV262" s="510"/>
      <c r="AW262" s="510"/>
      <c r="AX262" s="510"/>
      <c r="AY262" s="510"/>
      <c r="AZ262" s="466"/>
      <c r="BA262" s="466"/>
      <c r="BB262" s="466"/>
      <c r="BC262" s="466"/>
      <c r="BD262" s="466"/>
      <c r="BE262" s="466"/>
      <c r="BF262" s="466"/>
      <c r="BG262" s="466"/>
      <c r="BH262" s="466"/>
      <c r="BI262" s="466"/>
      <c r="BJ262" s="466"/>
      <c r="BK262" s="466"/>
      <c r="BL262" s="466"/>
      <c r="BM262" s="466"/>
      <c r="BN262" s="466"/>
      <c r="BO262" s="466"/>
      <c r="BP262" s="466"/>
      <c r="BQ262" s="466"/>
      <c r="BR262" s="466"/>
      <c r="BS262" s="466"/>
      <c r="BT262" s="466"/>
      <c r="BU262" s="466"/>
      <c r="BV262" s="466"/>
      <c r="BW262" s="466"/>
      <c r="BX262" s="466"/>
      <c r="BY262" s="466"/>
      <c r="BZ262" s="466"/>
      <c r="CA262" s="466"/>
      <c r="CB262" s="466"/>
      <c r="CC262" s="466"/>
      <c r="CD262" s="466"/>
      <c r="CE262" s="466"/>
      <c r="CF262" s="466"/>
      <c r="CG262" s="466"/>
      <c r="CH262" s="466"/>
      <c r="CI262" s="466"/>
      <c r="CJ262" s="466"/>
      <c r="CK262" s="466"/>
      <c r="CL262" s="466"/>
      <c r="CM262" s="466"/>
      <c r="CN262" s="466"/>
      <c r="CO262" s="466"/>
      <c r="CP262" s="466"/>
      <c r="CQ262" s="466"/>
      <c r="CR262" s="466"/>
      <c r="CS262" s="466"/>
      <c r="CT262" s="466"/>
      <c r="CU262" s="466"/>
      <c r="CV262" s="466"/>
      <c r="CW262" s="466"/>
      <c r="CX262" s="466"/>
      <c r="CY262" s="466"/>
      <c r="CZ262" s="466"/>
      <c r="DA262" s="466"/>
      <c r="DB262" s="466"/>
      <c r="DC262" s="466"/>
      <c r="DD262" s="466"/>
      <c r="DE262" s="466"/>
      <c r="DF262" s="466"/>
      <c r="DG262" s="466"/>
      <c r="FE262" s="527"/>
      <c r="FF262" s="466"/>
      <c r="FG262" s="466"/>
      <c r="FH262" s="466"/>
      <c r="FI262" s="466"/>
      <c r="FJ262" s="466"/>
      <c r="FK262" s="466"/>
      <c r="FL262" s="466"/>
      <c r="FM262" s="466"/>
      <c r="FN262" s="466"/>
      <c r="FO262" s="466"/>
      <c r="FP262" s="466"/>
      <c r="FQ262" s="466"/>
      <c r="FR262" s="466"/>
      <c r="FS262" s="466"/>
      <c r="FT262" s="466"/>
      <c r="FU262" s="466"/>
      <c r="FV262" s="466"/>
      <c r="FW262" s="466"/>
      <c r="FX262" s="466"/>
      <c r="FY262" s="466"/>
      <c r="FZ262" s="527"/>
      <c r="GA262" s="527"/>
      <c r="GB262" s="527"/>
      <c r="GC262" s="527"/>
      <c r="GD262" s="527"/>
      <c r="GE262" s="527"/>
      <c r="GF262" s="527"/>
      <c r="GG262" s="527"/>
      <c r="GH262" s="527"/>
      <c r="GI262" s="527"/>
      <c r="GJ262" s="527"/>
      <c r="GK262" s="527"/>
      <c r="GL262" s="527"/>
      <c r="GM262" s="527"/>
      <c r="GN262" s="527"/>
      <c r="GV262" s="527"/>
      <c r="GW262" s="527"/>
      <c r="GX262" s="527"/>
      <c r="GY262" s="527"/>
      <c r="GZ262" s="527"/>
      <c r="HA262" s="527"/>
      <c r="HB262" s="527"/>
      <c r="HC262" s="527"/>
      <c r="HD262" s="527"/>
      <c r="HE262" s="844"/>
      <c r="HF262" s="844"/>
      <c r="HG262" s="844"/>
      <c r="HH262" s="844"/>
      <c r="HI262" s="844"/>
      <c r="HJ262" s="844"/>
      <c r="HK262" s="844"/>
      <c r="HL262" s="844"/>
      <c r="HM262" s="844"/>
      <c r="HN262" s="844"/>
      <c r="HP262" s="466"/>
      <c r="HQ262" s="466"/>
      <c r="HR262" s="466"/>
      <c r="HS262" s="415"/>
      <c r="HT262" s="2292"/>
    </row>
    <row r="263" spans="3:228">
      <c r="C263" s="466"/>
      <c r="D263" s="466"/>
      <c r="E263" s="466"/>
      <c r="F263" s="466"/>
      <c r="G263" s="466"/>
      <c r="H263" s="466"/>
      <c r="I263" s="466"/>
      <c r="J263" s="466"/>
      <c r="K263" s="466"/>
      <c r="L263" s="466"/>
      <c r="M263" s="466"/>
      <c r="N263" s="466"/>
      <c r="O263" s="466"/>
      <c r="P263" s="510"/>
      <c r="Q263" s="510"/>
      <c r="R263" s="510"/>
      <c r="S263" s="510"/>
      <c r="T263" s="510"/>
      <c r="U263" s="510"/>
      <c r="V263" s="510"/>
      <c r="W263" s="510"/>
      <c r="X263" s="510"/>
      <c r="Y263" s="510"/>
      <c r="Z263" s="510"/>
      <c r="AA263" s="510"/>
      <c r="AB263" s="510"/>
      <c r="AC263" s="510"/>
      <c r="AD263" s="510"/>
      <c r="AE263" s="510"/>
      <c r="AF263" s="510"/>
      <c r="AG263" s="510"/>
      <c r="AH263" s="510"/>
      <c r="AI263" s="510"/>
      <c r="AJ263" s="510"/>
      <c r="AK263" s="510"/>
      <c r="AL263" s="510"/>
      <c r="AM263" s="510"/>
      <c r="AN263" s="510"/>
      <c r="AO263" s="510"/>
      <c r="AP263" s="510"/>
      <c r="AQ263" s="510"/>
      <c r="AR263" s="510"/>
      <c r="AS263" s="510"/>
      <c r="AT263" s="510"/>
      <c r="AU263" s="510"/>
      <c r="AV263" s="510"/>
      <c r="AW263" s="510"/>
      <c r="AX263" s="510"/>
      <c r="AY263" s="510"/>
      <c r="AZ263" s="466"/>
      <c r="BA263" s="466"/>
      <c r="BB263" s="466"/>
      <c r="BC263" s="466"/>
      <c r="BD263" s="466"/>
      <c r="BE263" s="466"/>
      <c r="BF263" s="466"/>
      <c r="BG263" s="466"/>
      <c r="BH263" s="466"/>
      <c r="BI263" s="466"/>
      <c r="BJ263" s="466"/>
      <c r="BK263" s="466"/>
      <c r="BL263" s="466"/>
      <c r="BM263" s="466"/>
      <c r="BN263" s="466"/>
      <c r="BO263" s="466"/>
      <c r="BP263" s="466"/>
      <c r="BQ263" s="466"/>
      <c r="BR263" s="466"/>
      <c r="BS263" s="466"/>
      <c r="BT263" s="466"/>
      <c r="BU263" s="466"/>
      <c r="BV263" s="466"/>
      <c r="BW263" s="466"/>
      <c r="BX263" s="466"/>
      <c r="BY263" s="466"/>
      <c r="BZ263" s="466"/>
      <c r="CA263" s="466"/>
      <c r="CB263" s="466"/>
      <c r="CC263" s="466"/>
      <c r="CD263" s="466"/>
      <c r="CE263" s="466"/>
      <c r="CF263" s="466"/>
      <c r="CG263" s="466"/>
      <c r="CH263" s="466"/>
      <c r="CI263" s="466"/>
      <c r="CJ263" s="466"/>
      <c r="CK263" s="466"/>
      <c r="CL263" s="466"/>
      <c r="CM263" s="466"/>
      <c r="CN263" s="466"/>
      <c r="CO263" s="466"/>
      <c r="CP263" s="466"/>
      <c r="CQ263" s="466"/>
      <c r="CR263" s="466"/>
      <c r="CS263" s="466"/>
      <c r="CT263" s="466"/>
      <c r="CU263" s="466"/>
      <c r="CV263" s="466"/>
      <c r="CW263" s="466"/>
      <c r="CX263" s="466"/>
      <c r="CY263" s="466"/>
      <c r="CZ263" s="466"/>
      <c r="DA263" s="466"/>
      <c r="DB263" s="466"/>
      <c r="DC263" s="466"/>
      <c r="DD263" s="466"/>
      <c r="DE263" s="466"/>
      <c r="DF263" s="466"/>
      <c r="DG263" s="466"/>
      <c r="FE263" s="527"/>
      <c r="FF263" s="466"/>
      <c r="FG263" s="466"/>
      <c r="FH263" s="466"/>
      <c r="FI263" s="466"/>
      <c r="FJ263" s="466"/>
      <c r="FK263" s="466"/>
      <c r="FL263" s="466"/>
      <c r="FM263" s="466"/>
      <c r="FN263" s="466"/>
      <c r="FO263" s="466"/>
      <c r="FP263" s="466"/>
      <c r="FQ263" s="466"/>
      <c r="FR263" s="466"/>
      <c r="FS263" s="466"/>
      <c r="FT263" s="466"/>
      <c r="FU263" s="466"/>
      <c r="FV263" s="466"/>
      <c r="FW263" s="466"/>
      <c r="FX263" s="466"/>
      <c r="FY263" s="466"/>
      <c r="FZ263" s="527"/>
      <c r="GA263" s="527"/>
      <c r="GB263" s="527"/>
      <c r="GC263" s="527"/>
      <c r="GD263" s="527"/>
      <c r="GE263" s="527"/>
      <c r="GF263" s="527"/>
      <c r="GG263" s="527"/>
      <c r="GH263" s="527"/>
      <c r="GI263" s="527"/>
      <c r="GJ263" s="527"/>
      <c r="GK263" s="527"/>
      <c r="GL263" s="527"/>
      <c r="GM263" s="527"/>
      <c r="GN263" s="527"/>
      <c r="GV263" s="527"/>
      <c r="GW263" s="527"/>
      <c r="GX263" s="527"/>
      <c r="GY263" s="527"/>
      <c r="GZ263" s="527"/>
      <c r="HA263" s="527"/>
      <c r="HB263" s="527"/>
      <c r="HC263" s="527"/>
      <c r="HD263" s="527"/>
      <c r="HE263" s="844"/>
      <c r="HF263" s="844"/>
      <c r="HG263" s="844"/>
      <c r="HH263" s="844"/>
      <c r="HI263" s="844"/>
      <c r="HJ263" s="844"/>
      <c r="HK263" s="844"/>
      <c r="HL263" s="844"/>
      <c r="HM263" s="844"/>
      <c r="HN263" s="844"/>
      <c r="HP263" s="466"/>
      <c r="HQ263" s="466"/>
      <c r="HR263" s="466"/>
      <c r="HS263" s="415"/>
      <c r="HT263" s="2292"/>
    </row>
    <row r="264" spans="3:228">
      <c r="C264" s="466"/>
      <c r="D264" s="466"/>
      <c r="E264" s="466"/>
      <c r="F264" s="466"/>
      <c r="G264" s="466"/>
      <c r="H264" s="466"/>
      <c r="I264" s="466"/>
      <c r="J264" s="466"/>
      <c r="K264" s="466"/>
      <c r="L264" s="466"/>
      <c r="M264" s="466"/>
      <c r="N264" s="466"/>
      <c r="O264" s="466"/>
      <c r="P264" s="510"/>
      <c r="Q264" s="510"/>
      <c r="R264" s="510"/>
      <c r="S264" s="510"/>
      <c r="T264" s="510"/>
      <c r="U264" s="510"/>
      <c r="V264" s="510"/>
      <c r="W264" s="510"/>
      <c r="X264" s="510"/>
      <c r="Y264" s="510"/>
      <c r="Z264" s="510"/>
      <c r="AA264" s="510"/>
      <c r="AB264" s="510"/>
      <c r="AC264" s="510"/>
      <c r="AD264" s="510"/>
      <c r="AE264" s="510"/>
      <c r="AF264" s="510"/>
      <c r="AG264" s="510"/>
      <c r="AH264" s="510"/>
      <c r="AI264" s="510"/>
      <c r="AJ264" s="510"/>
      <c r="AK264" s="510"/>
      <c r="AL264" s="510"/>
      <c r="AM264" s="510"/>
      <c r="AN264" s="510"/>
      <c r="AO264" s="510"/>
      <c r="AP264" s="510"/>
      <c r="AQ264" s="510"/>
      <c r="AR264" s="510"/>
      <c r="AS264" s="510"/>
      <c r="AT264" s="510"/>
      <c r="AU264" s="510"/>
      <c r="AV264" s="510"/>
      <c r="AW264" s="510"/>
      <c r="AX264" s="510"/>
      <c r="AY264" s="510"/>
      <c r="AZ264" s="466"/>
      <c r="BA264" s="466"/>
      <c r="BB264" s="466"/>
      <c r="BC264" s="466"/>
      <c r="BD264" s="466"/>
      <c r="BE264" s="466"/>
      <c r="BF264" s="466"/>
      <c r="BG264" s="466"/>
      <c r="BH264" s="466"/>
      <c r="BI264" s="466"/>
      <c r="BJ264" s="466"/>
      <c r="BK264" s="466"/>
      <c r="BL264" s="466"/>
      <c r="BM264" s="466"/>
      <c r="BN264" s="466"/>
      <c r="BO264" s="466"/>
      <c r="BP264" s="466"/>
      <c r="BQ264" s="466"/>
      <c r="BR264" s="466"/>
      <c r="BS264" s="466"/>
      <c r="BT264" s="466"/>
      <c r="BU264" s="466"/>
      <c r="BV264" s="466"/>
      <c r="BW264" s="466"/>
      <c r="BX264" s="466"/>
      <c r="BY264" s="466"/>
      <c r="BZ264" s="466"/>
      <c r="CA264" s="466"/>
      <c r="CB264" s="466"/>
      <c r="CC264" s="466"/>
      <c r="CD264" s="466"/>
      <c r="CE264" s="466"/>
      <c r="CF264" s="466"/>
      <c r="CG264" s="466"/>
      <c r="CH264" s="466"/>
      <c r="CI264" s="466"/>
      <c r="CJ264" s="466"/>
      <c r="CK264" s="466"/>
      <c r="CL264" s="466"/>
      <c r="CM264" s="466"/>
      <c r="CN264" s="466"/>
      <c r="CO264" s="466"/>
      <c r="CP264" s="466"/>
      <c r="CQ264" s="466"/>
      <c r="CR264" s="466"/>
      <c r="CS264" s="466"/>
      <c r="CT264" s="466"/>
      <c r="CU264" s="466"/>
      <c r="CV264" s="466"/>
      <c r="CW264" s="466"/>
      <c r="CX264" s="466"/>
      <c r="CY264" s="466"/>
      <c r="CZ264" s="466"/>
      <c r="DA264" s="466"/>
      <c r="DB264" s="466"/>
      <c r="DC264" s="466"/>
      <c r="DD264" s="466"/>
      <c r="DE264" s="466"/>
      <c r="DF264" s="466"/>
      <c r="DG264" s="466"/>
      <c r="FE264" s="527"/>
      <c r="FF264" s="466"/>
      <c r="FG264" s="466"/>
      <c r="FH264" s="466"/>
      <c r="FI264" s="466"/>
      <c r="FJ264" s="466"/>
      <c r="FK264" s="466"/>
      <c r="FL264" s="466"/>
      <c r="FM264" s="466"/>
      <c r="FN264" s="466"/>
      <c r="FO264" s="466"/>
      <c r="FP264" s="466"/>
      <c r="FQ264" s="466"/>
      <c r="FR264" s="466"/>
      <c r="FS264" s="466"/>
      <c r="FT264" s="466"/>
      <c r="FU264" s="466"/>
      <c r="FV264" s="466"/>
      <c r="FW264" s="466"/>
      <c r="FX264" s="466"/>
      <c r="FY264" s="466"/>
      <c r="FZ264" s="527"/>
      <c r="GA264" s="527"/>
      <c r="GB264" s="527"/>
      <c r="GC264" s="527"/>
      <c r="GD264" s="527"/>
      <c r="GE264" s="527"/>
      <c r="GF264" s="527"/>
      <c r="GG264" s="527"/>
      <c r="GH264" s="527"/>
      <c r="GI264" s="527"/>
      <c r="GJ264" s="527"/>
      <c r="GK264" s="527"/>
      <c r="GL264" s="527"/>
      <c r="GM264" s="527"/>
      <c r="GN264" s="527"/>
      <c r="GV264" s="527"/>
      <c r="GW264" s="527"/>
      <c r="GX264" s="527"/>
      <c r="GY264" s="527"/>
      <c r="GZ264" s="527"/>
      <c r="HA264" s="527"/>
      <c r="HB264" s="527"/>
      <c r="HC264" s="527"/>
      <c r="HD264" s="527"/>
      <c r="HE264" s="844"/>
      <c r="HF264" s="844"/>
      <c r="HG264" s="844"/>
      <c r="HH264" s="844"/>
      <c r="HI264" s="844"/>
      <c r="HJ264" s="844"/>
      <c r="HK264" s="844"/>
      <c r="HL264" s="844"/>
      <c r="HM264" s="844"/>
      <c r="HN264" s="844"/>
      <c r="HP264" s="466"/>
      <c r="HQ264" s="466"/>
      <c r="HR264" s="466"/>
      <c r="HS264" s="415"/>
      <c r="HT264" s="2292"/>
    </row>
    <row r="265" spans="3:228">
      <c r="C265" s="466"/>
      <c r="D265" s="466"/>
      <c r="E265" s="466"/>
      <c r="F265" s="466"/>
      <c r="G265" s="466"/>
      <c r="H265" s="466"/>
      <c r="I265" s="466"/>
      <c r="J265" s="466"/>
      <c r="K265" s="466"/>
      <c r="L265" s="466"/>
      <c r="M265" s="466"/>
      <c r="N265" s="466"/>
      <c r="O265" s="466"/>
      <c r="P265" s="510"/>
      <c r="Q265" s="510"/>
      <c r="R265" s="510"/>
      <c r="S265" s="510"/>
      <c r="T265" s="510"/>
      <c r="U265" s="510"/>
      <c r="V265" s="510"/>
      <c r="W265" s="510"/>
      <c r="X265" s="510"/>
      <c r="Y265" s="510"/>
      <c r="Z265" s="510"/>
      <c r="AA265" s="510"/>
      <c r="AB265" s="510"/>
      <c r="AC265" s="510"/>
      <c r="AD265" s="510"/>
      <c r="AE265" s="510"/>
      <c r="AF265" s="510"/>
      <c r="AG265" s="510"/>
      <c r="AH265" s="510"/>
      <c r="AI265" s="510"/>
      <c r="AJ265" s="510"/>
      <c r="AK265" s="510"/>
      <c r="AL265" s="510"/>
      <c r="AM265" s="510"/>
      <c r="AN265" s="510"/>
      <c r="AO265" s="510"/>
      <c r="AP265" s="510"/>
      <c r="AQ265" s="510"/>
      <c r="AR265" s="510"/>
      <c r="AS265" s="510"/>
      <c r="AT265" s="510"/>
      <c r="AU265" s="510"/>
      <c r="AV265" s="510"/>
      <c r="AW265" s="510"/>
      <c r="AX265" s="510"/>
      <c r="AY265" s="510"/>
      <c r="AZ265" s="466"/>
      <c r="BA265" s="466"/>
      <c r="BB265" s="466"/>
      <c r="BC265" s="466"/>
      <c r="BD265" s="466"/>
      <c r="BE265" s="466"/>
      <c r="BF265" s="466"/>
      <c r="BG265" s="466"/>
      <c r="BH265" s="466"/>
      <c r="BI265" s="466"/>
      <c r="BJ265" s="466"/>
      <c r="BK265" s="466"/>
      <c r="BL265" s="466"/>
      <c r="BM265" s="466"/>
      <c r="BN265" s="466"/>
      <c r="BO265" s="466"/>
      <c r="BP265" s="466"/>
      <c r="BQ265" s="466"/>
      <c r="BR265" s="466"/>
      <c r="BS265" s="466"/>
      <c r="BT265" s="466"/>
      <c r="BU265" s="466"/>
      <c r="BV265" s="466"/>
      <c r="BW265" s="466"/>
      <c r="BX265" s="466"/>
      <c r="BY265" s="466"/>
      <c r="BZ265" s="466"/>
      <c r="CA265" s="466"/>
      <c r="CB265" s="466"/>
      <c r="CC265" s="466"/>
      <c r="CD265" s="466"/>
      <c r="CE265" s="466"/>
      <c r="CF265" s="466"/>
      <c r="CG265" s="466"/>
      <c r="CH265" s="466"/>
      <c r="CI265" s="466"/>
      <c r="CJ265" s="466"/>
      <c r="CK265" s="466"/>
      <c r="CL265" s="466"/>
      <c r="CM265" s="466"/>
      <c r="CN265" s="466"/>
      <c r="CO265" s="466"/>
      <c r="CP265" s="466"/>
      <c r="CQ265" s="466"/>
      <c r="CR265" s="466"/>
      <c r="CS265" s="466"/>
      <c r="CT265" s="466"/>
      <c r="CU265" s="466"/>
      <c r="CV265" s="466"/>
      <c r="CW265" s="466"/>
      <c r="CX265" s="466"/>
      <c r="CY265" s="466"/>
      <c r="CZ265" s="466"/>
      <c r="DA265" s="466"/>
      <c r="DB265" s="466"/>
      <c r="DC265" s="466"/>
      <c r="DD265" s="466"/>
      <c r="DE265" s="466"/>
      <c r="DF265" s="466"/>
      <c r="DG265" s="466"/>
      <c r="FE265" s="527"/>
      <c r="FF265" s="466"/>
      <c r="FG265" s="466"/>
      <c r="FH265" s="466"/>
      <c r="FI265" s="466"/>
      <c r="FJ265" s="466"/>
      <c r="FK265" s="466"/>
      <c r="FL265" s="466"/>
      <c r="FM265" s="466"/>
      <c r="FN265" s="466"/>
      <c r="FO265" s="466"/>
      <c r="FP265" s="466"/>
      <c r="FQ265" s="466"/>
      <c r="FR265" s="466"/>
      <c r="FS265" s="466"/>
      <c r="FT265" s="466"/>
      <c r="FU265" s="466"/>
      <c r="FV265" s="466"/>
      <c r="FW265" s="466"/>
      <c r="FX265" s="466"/>
      <c r="FY265" s="466"/>
      <c r="FZ265" s="527"/>
      <c r="GA265" s="527"/>
      <c r="GB265" s="527"/>
      <c r="GC265" s="527"/>
      <c r="GD265" s="527"/>
      <c r="GE265" s="527"/>
      <c r="GF265" s="527"/>
      <c r="GG265" s="527"/>
      <c r="GH265" s="527"/>
      <c r="GI265" s="527"/>
      <c r="GJ265" s="527"/>
      <c r="GK265" s="527"/>
      <c r="GL265" s="527"/>
      <c r="GM265" s="527"/>
      <c r="GN265" s="527"/>
      <c r="GV265" s="527"/>
      <c r="GW265" s="527"/>
      <c r="GX265" s="527"/>
      <c r="GY265" s="527"/>
      <c r="GZ265" s="527"/>
      <c r="HA265" s="527"/>
      <c r="HB265" s="527"/>
      <c r="HC265" s="527"/>
      <c r="HD265" s="527"/>
      <c r="HE265" s="844"/>
      <c r="HF265" s="844"/>
      <c r="HG265" s="844"/>
      <c r="HH265" s="844"/>
      <c r="HI265" s="844"/>
      <c r="HJ265" s="844"/>
      <c r="HK265" s="844"/>
      <c r="HL265" s="844"/>
      <c r="HM265" s="844"/>
      <c r="HN265" s="844"/>
      <c r="HP265" s="466"/>
      <c r="HQ265" s="466"/>
      <c r="HR265" s="466"/>
      <c r="HS265" s="415"/>
      <c r="HT265" s="2292"/>
    </row>
    <row r="266" spans="3:228">
      <c r="C266" s="466"/>
      <c r="D266" s="466"/>
      <c r="E266" s="466"/>
      <c r="F266" s="466"/>
      <c r="G266" s="466"/>
      <c r="H266" s="466"/>
      <c r="I266" s="466"/>
      <c r="J266" s="466"/>
      <c r="K266" s="466"/>
      <c r="L266" s="466"/>
      <c r="M266" s="466"/>
      <c r="N266" s="466"/>
      <c r="O266" s="466"/>
      <c r="P266" s="510"/>
      <c r="Q266" s="510"/>
      <c r="R266" s="510"/>
      <c r="S266" s="510"/>
      <c r="T266" s="510"/>
      <c r="U266" s="510"/>
      <c r="V266" s="510"/>
      <c r="W266" s="510"/>
      <c r="X266" s="510"/>
      <c r="Y266" s="510"/>
      <c r="Z266" s="510"/>
      <c r="AA266" s="510"/>
      <c r="AB266" s="510"/>
      <c r="AC266" s="510"/>
      <c r="AD266" s="510"/>
      <c r="AE266" s="510"/>
      <c r="AF266" s="510"/>
      <c r="AG266" s="510"/>
      <c r="AH266" s="510"/>
      <c r="AI266" s="510"/>
      <c r="AJ266" s="510"/>
      <c r="AK266" s="510"/>
      <c r="AL266" s="510"/>
      <c r="AM266" s="510"/>
      <c r="AN266" s="510"/>
      <c r="AO266" s="510"/>
      <c r="AP266" s="510"/>
      <c r="AQ266" s="510"/>
      <c r="AR266" s="510"/>
      <c r="AS266" s="510"/>
      <c r="AT266" s="510"/>
      <c r="AU266" s="510"/>
      <c r="AV266" s="510"/>
      <c r="AW266" s="510"/>
      <c r="AX266" s="510"/>
      <c r="AY266" s="510"/>
      <c r="AZ266" s="466"/>
      <c r="BA266" s="466"/>
      <c r="BB266" s="466"/>
      <c r="BC266" s="466"/>
      <c r="BD266" s="466"/>
      <c r="BE266" s="466"/>
      <c r="BF266" s="466"/>
      <c r="BG266" s="466"/>
      <c r="BH266" s="466"/>
      <c r="BI266" s="466"/>
      <c r="BJ266" s="466"/>
      <c r="BK266" s="466"/>
      <c r="BL266" s="466"/>
      <c r="BM266" s="466"/>
      <c r="BN266" s="466"/>
      <c r="BO266" s="466"/>
      <c r="BP266" s="466"/>
      <c r="BQ266" s="466"/>
      <c r="BR266" s="466"/>
      <c r="BS266" s="466"/>
      <c r="BT266" s="466"/>
      <c r="BU266" s="466"/>
      <c r="BV266" s="466"/>
      <c r="BW266" s="466"/>
      <c r="BX266" s="466"/>
      <c r="BY266" s="466"/>
      <c r="BZ266" s="466"/>
      <c r="CA266" s="466"/>
      <c r="CB266" s="466"/>
      <c r="CC266" s="466"/>
      <c r="CD266" s="466"/>
      <c r="CE266" s="466"/>
      <c r="CF266" s="466"/>
      <c r="CG266" s="466"/>
      <c r="CH266" s="466"/>
      <c r="CI266" s="466"/>
      <c r="CJ266" s="466"/>
      <c r="CK266" s="466"/>
      <c r="CL266" s="466"/>
      <c r="CM266" s="466"/>
      <c r="CN266" s="466"/>
      <c r="CO266" s="466"/>
      <c r="CP266" s="466"/>
      <c r="CQ266" s="466"/>
      <c r="CR266" s="466"/>
      <c r="CS266" s="466"/>
      <c r="CT266" s="466"/>
      <c r="CU266" s="466"/>
      <c r="CV266" s="466"/>
      <c r="CW266" s="466"/>
      <c r="CX266" s="466"/>
      <c r="CY266" s="466"/>
      <c r="CZ266" s="466"/>
      <c r="DA266" s="466"/>
      <c r="DB266" s="466"/>
      <c r="DC266" s="466"/>
      <c r="DD266" s="466"/>
      <c r="DE266" s="466"/>
      <c r="DF266" s="466"/>
      <c r="DG266" s="466"/>
      <c r="FE266" s="527"/>
      <c r="FF266" s="466"/>
      <c r="FG266" s="466"/>
      <c r="FH266" s="466"/>
      <c r="FI266" s="466"/>
      <c r="FJ266" s="466"/>
      <c r="FK266" s="466"/>
      <c r="FL266" s="466"/>
      <c r="FM266" s="466"/>
      <c r="FN266" s="466"/>
      <c r="FO266" s="466"/>
      <c r="FP266" s="466"/>
      <c r="FQ266" s="466"/>
      <c r="FR266" s="466"/>
      <c r="FS266" s="466"/>
      <c r="FT266" s="466"/>
      <c r="FU266" s="466"/>
      <c r="FV266" s="466"/>
      <c r="FW266" s="466"/>
      <c r="FX266" s="466"/>
      <c r="FY266" s="466"/>
      <c r="FZ266" s="527"/>
      <c r="GA266" s="527"/>
      <c r="GB266" s="527"/>
      <c r="GC266" s="527"/>
      <c r="GD266" s="527"/>
      <c r="GE266" s="527"/>
      <c r="GF266" s="527"/>
      <c r="GG266" s="527"/>
      <c r="GH266" s="527"/>
      <c r="GI266" s="527"/>
      <c r="GJ266" s="527"/>
      <c r="GK266" s="527"/>
      <c r="GL266" s="527"/>
      <c r="GM266" s="527"/>
      <c r="GN266" s="527"/>
      <c r="GV266" s="527"/>
      <c r="GW266" s="527"/>
      <c r="GX266" s="527"/>
      <c r="GY266" s="527"/>
      <c r="GZ266" s="527"/>
      <c r="HA266" s="527"/>
      <c r="HB266" s="527"/>
      <c r="HC266" s="527"/>
      <c r="HD266" s="527"/>
      <c r="HE266" s="844"/>
      <c r="HF266" s="844"/>
      <c r="HG266" s="844"/>
      <c r="HH266" s="844"/>
      <c r="HI266" s="844"/>
      <c r="HJ266" s="844"/>
      <c r="HK266" s="844"/>
      <c r="HL266" s="844"/>
      <c r="HM266" s="844"/>
      <c r="HN266" s="844"/>
      <c r="HP266" s="466"/>
      <c r="HQ266" s="466"/>
      <c r="HR266" s="466"/>
      <c r="HS266" s="415"/>
      <c r="HT266" s="2292"/>
    </row>
    <row r="267" spans="3:228">
      <c r="C267" s="466"/>
      <c r="D267" s="466"/>
      <c r="E267" s="466"/>
      <c r="F267" s="466"/>
      <c r="G267" s="466"/>
      <c r="H267" s="466"/>
      <c r="I267" s="466"/>
      <c r="J267" s="466"/>
      <c r="K267" s="466"/>
      <c r="L267" s="466"/>
      <c r="M267" s="466"/>
      <c r="N267" s="466"/>
      <c r="O267" s="466"/>
      <c r="P267" s="510"/>
      <c r="Q267" s="510"/>
      <c r="R267" s="510"/>
      <c r="S267" s="510"/>
      <c r="T267" s="510"/>
      <c r="U267" s="510"/>
      <c r="V267" s="510"/>
      <c r="W267" s="510"/>
      <c r="X267" s="510"/>
      <c r="Y267" s="510"/>
      <c r="Z267" s="510"/>
      <c r="AA267" s="510"/>
      <c r="AB267" s="510"/>
      <c r="AC267" s="510"/>
      <c r="AD267" s="510"/>
      <c r="AE267" s="510"/>
      <c r="AF267" s="510"/>
      <c r="AG267" s="510"/>
      <c r="AH267" s="510"/>
      <c r="AI267" s="510"/>
      <c r="AJ267" s="510"/>
      <c r="AK267" s="510"/>
      <c r="AL267" s="510"/>
      <c r="AM267" s="510"/>
      <c r="AN267" s="510"/>
      <c r="AO267" s="510"/>
      <c r="AP267" s="510"/>
      <c r="AQ267" s="510"/>
      <c r="AR267" s="510"/>
      <c r="AS267" s="510"/>
      <c r="AT267" s="510"/>
      <c r="AU267" s="510"/>
      <c r="AV267" s="510"/>
      <c r="AW267" s="510"/>
      <c r="AX267" s="510"/>
      <c r="AY267" s="510"/>
      <c r="AZ267" s="466"/>
      <c r="BA267" s="466"/>
      <c r="BB267" s="466"/>
      <c r="BC267" s="466"/>
      <c r="BD267" s="466"/>
      <c r="BE267" s="466"/>
      <c r="BF267" s="466"/>
      <c r="BG267" s="466"/>
      <c r="BH267" s="466"/>
      <c r="BI267" s="466"/>
      <c r="BJ267" s="466"/>
      <c r="BK267" s="466"/>
      <c r="BL267" s="466"/>
      <c r="BM267" s="466"/>
      <c r="BN267" s="466"/>
      <c r="BO267" s="466"/>
      <c r="BP267" s="466"/>
      <c r="BQ267" s="466"/>
      <c r="BR267" s="466"/>
      <c r="BS267" s="466"/>
      <c r="BT267" s="466"/>
      <c r="BU267" s="466"/>
      <c r="BV267" s="466"/>
      <c r="BW267" s="466"/>
      <c r="BX267" s="466"/>
      <c r="BY267" s="466"/>
      <c r="BZ267" s="466"/>
      <c r="CA267" s="466"/>
      <c r="CB267" s="466"/>
      <c r="CC267" s="466"/>
      <c r="CD267" s="466"/>
      <c r="CE267" s="466"/>
      <c r="CF267" s="466"/>
      <c r="CG267" s="466"/>
      <c r="CH267" s="466"/>
      <c r="CI267" s="466"/>
      <c r="CJ267" s="466"/>
      <c r="CK267" s="466"/>
      <c r="CL267" s="466"/>
      <c r="CM267" s="466"/>
      <c r="CN267" s="466"/>
      <c r="CO267" s="466"/>
      <c r="CP267" s="466"/>
      <c r="CQ267" s="466"/>
      <c r="CR267" s="466"/>
      <c r="CS267" s="466"/>
      <c r="CT267" s="466"/>
      <c r="CU267" s="466"/>
      <c r="CV267" s="466"/>
      <c r="CW267" s="466"/>
      <c r="CX267" s="466"/>
      <c r="CY267" s="466"/>
      <c r="CZ267" s="466"/>
      <c r="DA267" s="466"/>
      <c r="DB267" s="466"/>
      <c r="DC267" s="466"/>
      <c r="DD267" s="466"/>
      <c r="DE267" s="466"/>
      <c r="DF267" s="466"/>
      <c r="DG267" s="466"/>
      <c r="FE267" s="527"/>
      <c r="FF267" s="466"/>
      <c r="FG267" s="466"/>
      <c r="FH267" s="466"/>
      <c r="FI267" s="466"/>
      <c r="FJ267" s="466"/>
      <c r="FK267" s="466"/>
      <c r="FL267" s="466"/>
      <c r="FM267" s="466"/>
      <c r="FN267" s="466"/>
      <c r="FO267" s="466"/>
      <c r="FP267" s="466"/>
      <c r="FQ267" s="466"/>
      <c r="FR267" s="466"/>
      <c r="FS267" s="466"/>
      <c r="FT267" s="466"/>
      <c r="FU267" s="466"/>
      <c r="FV267" s="466"/>
      <c r="FW267" s="466"/>
      <c r="FX267" s="466"/>
      <c r="FY267" s="466"/>
      <c r="FZ267" s="527"/>
      <c r="GA267" s="527"/>
      <c r="GB267" s="527"/>
      <c r="GC267" s="527"/>
      <c r="GD267" s="527"/>
      <c r="GE267" s="527"/>
      <c r="GF267" s="527"/>
      <c r="GG267" s="527"/>
      <c r="GH267" s="527"/>
      <c r="GI267" s="527"/>
      <c r="GJ267" s="527"/>
      <c r="GK267" s="527"/>
      <c r="GL267" s="527"/>
      <c r="GM267" s="527"/>
      <c r="GN267" s="527"/>
      <c r="GV267" s="527"/>
      <c r="GW267" s="527"/>
      <c r="GX267" s="527"/>
      <c r="GY267" s="527"/>
      <c r="GZ267" s="527"/>
      <c r="HA267" s="527"/>
      <c r="HB267" s="527"/>
      <c r="HC267" s="527"/>
      <c r="HD267" s="527"/>
      <c r="HE267" s="844"/>
      <c r="HF267" s="844"/>
      <c r="HG267" s="844"/>
      <c r="HH267" s="844"/>
      <c r="HI267" s="844"/>
      <c r="HJ267" s="844"/>
      <c r="HK267" s="844"/>
      <c r="HL267" s="844"/>
      <c r="HM267" s="844"/>
      <c r="HN267" s="844"/>
      <c r="HP267" s="466"/>
      <c r="HQ267" s="466"/>
      <c r="HR267" s="466"/>
      <c r="HS267" s="415"/>
      <c r="HT267" s="2292"/>
    </row>
    <row r="268" spans="3:228">
      <c r="C268" s="466"/>
      <c r="D268" s="466"/>
      <c r="E268" s="466"/>
      <c r="F268" s="466"/>
      <c r="G268" s="466"/>
      <c r="H268" s="466"/>
      <c r="I268" s="466"/>
      <c r="J268" s="466"/>
      <c r="K268" s="466"/>
      <c r="L268" s="466"/>
      <c r="M268" s="466"/>
      <c r="N268" s="466"/>
      <c r="O268" s="466"/>
      <c r="P268" s="510"/>
      <c r="Q268" s="510"/>
      <c r="R268" s="510"/>
      <c r="S268" s="510"/>
      <c r="T268" s="510"/>
      <c r="U268" s="510"/>
      <c r="V268" s="510"/>
      <c r="W268" s="510"/>
      <c r="X268" s="510"/>
      <c r="Y268" s="510"/>
      <c r="Z268" s="510"/>
      <c r="AA268" s="510"/>
      <c r="AB268" s="510"/>
      <c r="AC268" s="510"/>
      <c r="AD268" s="510"/>
      <c r="AE268" s="510"/>
      <c r="AF268" s="510"/>
      <c r="AG268" s="510"/>
      <c r="AH268" s="510"/>
      <c r="AI268" s="510"/>
      <c r="AJ268" s="510"/>
      <c r="AK268" s="510"/>
      <c r="AL268" s="510"/>
      <c r="AM268" s="510"/>
      <c r="AN268" s="510"/>
      <c r="AO268" s="510"/>
      <c r="AP268" s="510"/>
      <c r="AQ268" s="510"/>
      <c r="AR268" s="510"/>
      <c r="AS268" s="510"/>
      <c r="AT268" s="510"/>
      <c r="AU268" s="510"/>
      <c r="AV268" s="510"/>
      <c r="AW268" s="510"/>
      <c r="AX268" s="510"/>
      <c r="AY268" s="510"/>
      <c r="AZ268" s="466"/>
      <c r="BA268" s="466"/>
      <c r="BB268" s="466"/>
      <c r="BC268" s="466"/>
      <c r="BD268" s="466"/>
      <c r="BE268" s="466"/>
      <c r="BF268" s="466"/>
      <c r="BG268" s="466"/>
      <c r="BH268" s="466"/>
      <c r="BI268" s="466"/>
      <c r="BJ268" s="466"/>
      <c r="BK268" s="466"/>
      <c r="BL268" s="466"/>
      <c r="BM268" s="466"/>
      <c r="BN268" s="466"/>
      <c r="BO268" s="466"/>
      <c r="BP268" s="466"/>
      <c r="BQ268" s="466"/>
      <c r="BR268" s="466"/>
      <c r="BS268" s="466"/>
      <c r="BT268" s="466"/>
      <c r="BU268" s="466"/>
      <c r="BV268" s="466"/>
      <c r="BW268" s="466"/>
      <c r="BX268" s="466"/>
      <c r="BY268" s="466"/>
      <c r="BZ268" s="466"/>
      <c r="CA268" s="466"/>
      <c r="CB268" s="466"/>
      <c r="CC268" s="466"/>
      <c r="CD268" s="466"/>
      <c r="CE268" s="466"/>
      <c r="CF268" s="466"/>
      <c r="CG268" s="466"/>
      <c r="CH268" s="466"/>
      <c r="CI268" s="466"/>
      <c r="CJ268" s="466"/>
      <c r="CK268" s="466"/>
      <c r="CL268" s="466"/>
      <c r="CM268" s="466"/>
      <c r="CN268" s="466"/>
      <c r="CO268" s="466"/>
      <c r="CP268" s="466"/>
      <c r="CQ268" s="466"/>
      <c r="CR268" s="466"/>
      <c r="CS268" s="466"/>
      <c r="CT268" s="466"/>
      <c r="CU268" s="466"/>
      <c r="CV268" s="466"/>
      <c r="CW268" s="466"/>
      <c r="CX268" s="466"/>
      <c r="CY268" s="466"/>
      <c r="CZ268" s="466"/>
      <c r="DA268" s="466"/>
      <c r="DB268" s="466"/>
      <c r="DC268" s="466"/>
      <c r="DD268" s="466"/>
      <c r="DE268" s="466"/>
      <c r="DF268" s="466"/>
      <c r="DG268" s="466"/>
      <c r="FE268" s="527"/>
      <c r="FF268" s="466"/>
      <c r="FG268" s="466"/>
      <c r="FH268" s="466"/>
      <c r="FI268" s="466"/>
      <c r="FJ268" s="466"/>
      <c r="FK268" s="466"/>
      <c r="FL268" s="466"/>
      <c r="FM268" s="466"/>
      <c r="FN268" s="466"/>
      <c r="FO268" s="466"/>
      <c r="FP268" s="466"/>
      <c r="FQ268" s="466"/>
      <c r="FR268" s="466"/>
      <c r="FS268" s="466"/>
      <c r="FT268" s="466"/>
      <c r="FU268" s="466"/>
      <c r="FV268" s="466"/>
      <c r="FW268" s="466"/>
      <c r="FX268" s="466"/>
      <c r="FY268" s="466"/>
      <c r="FZ268" s="527"/>
      <c r="GA268" s="527"/>
      <c r="GB268" s="527"/>
      <c r="GC268" s="527"/>
      <c r="GD268" s="527"/>
      <c r="GE268" s="527"/>
      <c r="GF268" s="527"/>
      <c r="GG268" s="527"/>
      <c r="GH268" s="527"/>
      <c r="GI268" s="527"/>
      <c r="GJ268" s="527"/>
      <c r="GK268" s="527"/>
      <c r="GL268" s="527"/>
      <c r="GM268" s="527"/>
      <c r="GN268" s="527"/>
      <c r="GV268" s="527"/>
      <c r="GW268" s="527"/>
      <c r="GX268" s="527"/>
      <c r="GY268" s="527"/>
      <c r="GZ268" s="527"/>
      <c r="HA268" s="527"/>
      <c r="HB268" s="527"/>
      <c r="HC268" s="527"/>
      <c r="HD268" s="527"/>
      <c r="HE268" s="844"/>
      <c r="HF268" s="844"/>
      <c r="HG268" s="844"/>
      <c r="HH268" s="844"/>
      <c r="HI268" s="844"/>
      <c r="HJ268" s="844"/>
      <c r="HK268" s="844"/>
      <c r="HL268" s="844"/>
      <c r="HM268" s="844"/>
      <c r="HN268" s="844"/>
      <c r="HP268" s="466"/>
      <c r="HQ268" s="466"/>
      <c r="HR268" s="466"/>
      <c r="HS268" s="415"/>
      <c r="HT268" s="2292"/>
    </row>
    <row r="269" spans="3:228">
      <c r="C269" s="466"/>
      <c r="D269" s="466"/>
      <c r="E269" s="466"/>
      <c r="F269" s="466"/>
      <c r="G269" s="466"/>
      <c r="H269" s="466"/>
      <c r="I269" s="466"/>
      <c r="J269" s="466"/>
      <c r="K269" s="466"/>
      <c r="L269" s="466"/>
      <c r="M269" s="466"/>
      <c r="N269" s="466"/>
      <c r="O269" s="466"/>
      <c r="P269" s="510"/>
      <c r="Q269" s="510"/>
      <c r="R269" s="510"/>
      <c r="S269" s="510"/>
      <c r="T269" s="510"/>
      <c r="U269" s="510"/>
      <c r="V269" s="510"/>
      <c r="W269" s="510"/>
      <c r="X269" s="510"/>
      <c r="Y269" s="510"/>
      <c r="Z269" s="510"/>
      <c r="AA269" s="510"/>
      <c r="AB269" s="510"/>
      <c r="AC269" s="510"/>
      <c r="AD269" s="510"/>
      <c r="AE269" s="510"/>
      <c r="AF269" s="510"/>
      <c r="AG269" s="510"/>
      <c r="AH269" s="510"/>
      <c r="AI269" s="510"/>
      <c r="AJ269" s="510"/>
      <c r="AK269" s="510"/>
      <c r="AL269" s="510"/>
      <c r="AM269" s="510"/>
      <c r="AN269" s="510"/>
      <c r="AO269" s="510"/>
      <c r="AP269" s="510"/>
      <c r="AQ269" s="510"/>
      <c r="AR269" s="510"/>
      <c r="AS269" s="510"/>
      <c r="AT269" s="510"/>
      <c r="AU269" s="510"/>
      <c r="AV269" s="510"/>
      <c r="AW269" s="510"/>
      <c r="AX269" s="510"/>
      <c r="AY269" s="510"/>
      <c r="AZ269" s="466"/>
      <c r="BA269" s="466"/>
      <c r="BB269" s="466"/>
      <c r="BC269" s="466"/>
      <c r="BD269" s="466"/>
      <c r="BE269" s="466"/>
      <c r="BF269" s="466"/>
      <c r="BG269" s="466"/>
      <c r="BH269" s="466"/>
      <c r="BI269" s="466"/>
      <c r="BJ269" s="466"/>
      <c r="BK269" s="466"/>
      <c r="BL269" s="466"/>
      <c r="BM269" s="466"/>
      <c r="BN269" s="466"/>
      <c r="BO269" s="466"/>
      <c r="BP269" s="466"/>
      <c r="BQ269" s="466"/>
      <c r="BR269" s="466"/>
      <c r="BS269" s="466"/>
      <c r="BT269" s="466"/>
      <c r="BU269" s="466"/>
      <c r="BV269" s="466"/>
      <c r="BW269" s="466"/>
      <c r="BX269" s="466"/>
      <c r="BY269" s="466"/>
      <c r="BZ269" s="466"/>
      <c r="CA269" s="466"/>
      <c r="CB269" s="466"/>
      <c r="CC269" s="466"/>
      <c r="CD269" s="466"/>
      <c r="CE269" s="466"/>
      <c r="CF269" s="466"/>
      <c r="CG269" s="466"/>
      <c r="CH269" s="466"/>
      <c r="CI269" s="466"/>
      <c r="CJ269" s="466"/>
      <c r="CK269" s="466"/>
      <c r="CL269" s="466"/>
      <c r="CM269" s="466"/>
      <c r="CN269" s="466"/>
      <c r="CO269" s="466"/>
      <c r="CP269" s="466"/>
      <c r="CQ269" s="466"/>
      <c r="CR269" s="466"/>
      <c r="CS269" s="466"/>
      <c r="CT269" s="466"/>
      <c r="CU269" s="466"/>
      <c r="CV269" s="466"/>
      <c r="CW269" s="466"/>
      <c r="CX269" s="466"/>
      <c r="CY269" s="466"/>
      <c r="CZ269" s="466"/>
      <c r="DA269" s="466"/>
      <c r="DB269" s="466"/>
      <c r="DC269" s="466"/>
      <c r="DD269" s="466"/>
      <c r="DE269" s="466"/>
      <c r="DF269" s="466"/>
      <c r="DG269" s="466"/>
      <c r="FE269" s="527"/>
      <c r="FF269" s="466"/>
      <c r="FG269" s="466"/>
      <c r="FH269" s="466"/>
      <c r="FI269" s="466"/>
      <c r="FJ269" s="466"/>
      <c r="FK269" s="466"/>
      <c r="FL269" s="466"/>
      <c r="FM269" s="466"/>
      <c r="FN269" s="466"/>
      <c r="FO269" s="466"/>
      <c r="FP269" s="466"/>
      <c r="FQ269" s="466"/>
      <c r="FR269" s="466"/>
      <c r="FS269" s="466"/>
      <c r="FT269" s="466"/>
      <c r="FU269" s="466"/>
      <c r="FV269" s="466"/>
      <c r="FW269" s="466"/>
      <c r="FX269" s="466"/>
      <c r="FY269" s="466"/>
      <c r="FZ269" s="527"/>
      <c r="GA269" s="527"/>
      <c r="GB269" s="527"/>
      <c r="GC269" s="527"/>
      <c r="GD269" s="527"/>
      <c r="GE269" s="527"/>
      <c r="GF269" s="527"/>
      <c r="GG269" s="527"/>
      <c r="GH269" s="527"/>
      <c r="GI269" s="527"/>
      <c r="GJ269" s="527"/>
      <c r="GK269" s="527"/>
      <c r="GL269" s="527"/>
      <c r="GM269" s="527"/>
      <c r="GN269" s="527"/>
      <c r="GV269" s="527"/>
      <c r="GW269" s="527"/>
      <c r="GX269" s="527"/>
      <c r="GY269" s="527"/>
      <c r="GZ269" s="527"/>
      <c r="HA269" s="527"/>
      <c r="HB269" s="527"/>
      <c r="HC269" s="527"/>
      <c r="HD269" s="527"/>
      <c r="HE269" s="844"/>
      <c r="HF269" s="844"/>
      <c r="HG269" s="844"/>
      <c r="HH269" s="844"/>
      <c r="HI269" s="844"/>
      <c r="HJ269" s="844"/>
      <c r="HK269" s="844"/>
      <c r="HL269" s="844"/>
      <c r="HM269" s="844"/>
      <c r="HN269" s="844"/>
      <c r="HP269" s="466"/>
      <c r="HQ269" s="466"/>
      <c r="HR269" s="466"/>
      <c r="HS269" s="415"/>
      <c r="HT269" s="2292"/>
    </row>
    <row r="270" spans="3:228">
      <c r="C270" s="466"/>
      <c r="D270" s="466"/>
      <c r="E270" s="466"/>
      <c r="F270" s="466"/>
      <c r="G270" s="466"/>
      <c r="H270" s="466"/>
      <c r="I270" s="466"/>
      <c r="J270" s="466"/>
      <c r="K270" s="466"/>
      <c r="L270" s="466"/>
      <c r="M270" s="466"/>
      <c r="N270" s="466"/>
      <c r="O270" s="466"/>
      <c r="P270" s="510"/>
      <c r="Q270" s="510"/>
      <c r="R270" s="510"/>
      <c r="S270" s="510"/>
      <c r="T270" s="510"/>
      <c r="U270" s="510"/>
      <c r="V270" s="510"/>
      <c r="W270" s="510"/>
      <c r="X270" s="510"/>
      <c r="Y270" s="510"/>
      <c r="Z270" s="510"/>
      <c r="AA270" s="510"/>
      <c r="AB270" s="510"/>
      <c r="AC270" s="510"/>
      <c r="AD270" s="510"/>
      <c r="AE270" s="510"/>
      <c r="AF270" s="510"/>
      <c r="AG270" s="510"/>
      <c r="AH270" s="510"/>
      <c r="AI270" s="510"/>
      <c r="AJ270" s="510"/>
      <c r="AK270" s="510"/>
      <c r="AL270" s="510"/>
      <c r="AM270" s="510"/>
      <c r="AN270" s="510"/>
      <c r="AO270" s="510"/>
      <c r="AP270" s="510"/>
      <c r="AQ270" s="510"/>
      <c r="AR270" s="510"/>
      <c r="AS270" s="510"/>
      <c r="AT270" s="510"/>
      <c r="AU270" s="510"/>
      <c r="AV270" s="510"/>
      <c r="AW270" s="510"/>
      <c r="AX270" s="510"/>
      <c r="AY270" s="510"/>
      <c r="AZ270" s="466"/>
      <c r="BA270" s="466"/>
      <c r="BB270" s="466"/>
      <c r="BC270" s="466"/>
      <c r="BD270" s="466"/>
      <c r="BE270" s="466"/>
      <c r="BF270" s="466"/>
      <c r="BG270" s="466"/>
      <c r="BH270" s="466"/>
      <c r="BI270" s="466"/>
      <c r="BJ270" s="466"/>
      <c r="BK270" s="466"/>
      <c r="BL270" s="466"/>
      <c r="BM270" s="466"/>
      <c r="BN270" s="466"/>
      <c r="BO270" s="466"/>
      <c r="BP270" s="466"/>
      <c r="BQ270" s="466"/>
      <c r="BR270" s="466"/>
      <c r="BS270" s="466"/>
      <c r="BT270" s="466"/>
      <c r="BU270" s="466"/>
      <c r="BV270" s="466"/>
      <c r="BW270" s="466"/>
      <c r="BX270" s="466"/>
      <c r="BY270" s="466"/>
      <c r="BZ270" s="466"/>
      <c r="CA270" s="466"/>
      <c r="CB270" s="466"/>
      <c r="CC270" s="466"/>
      <c r="CD270" s="466"/>
      <c r="CE270" s="466"/>
      <c r="CF270" s="466"/>
      <c r="CG270" s="466"/>
      <c r="CH270" s="466"/>
      <c r="CI270" s="466"/>
      <c r="CJ270" s="466"/>
      <c r="CK270" s="466"/>
      <c r="CL270" s="466"/>
      <c r="CM270" s="466"/>
      <c r="CN270" s="466"/>
      <c r="CO270" s="466"/>
      <c r="CP270" s="466"/>
      <c r="CQ270" s="466"/>
      <c r="CR270" s="466"/>
      <c r="CS270" s="466"/>
      <c r="CT270" s="466"/>
      <c r="CU270" s="466"/>
      <c r="CV270" s="466"/>
      <c r="CW270" s="466"/>
      <c r="CX270" s="466"/>
      <c r="CY270" s="466"/>
      <c r="CZ270" s="466"/>
      <c r="DA270" s="466"/>
      <c r="DB270" s="466"/>
      <c r="DC270" s="466"/>
      <c r="DD270" s="466"/>
      <c r="DE270" s="466"/>
      <c r="DF270" s="466"/>
      <c r="DG270" s="466"/>
      <c r="FE270" s="527"/>
      <c r="FF270" s="466"/>
      <c r="FG270" s="466"/>
      <c r="FH270" s="466"/>
      <c r="FI270" s="466"/>
      <c r="FJ270" s="466"/>
      <c r="FK270" s="466"/>
      <c r="FL270" s="466"/>
      <c r="FM270" s="466"/>
      <c r="FN270" s="466"/>
      <c r="FO270" s="466"/>
      <c r="FP270" s="466"/>
      <c r="FQ270" s="466"/>
      <c r="FR270" s="466"/>
      <c r="FS270" s="466"/>
      <c r="FT270" s="466"/>
      <c r="FU270" s="466"/>
      <c r="FV270" s="466"/>
      <c r="FW270" s="466"/>
      <c r="FX270" s="466"/>
      <c r="FY270" s="466"/>
      <c r="FZ270" s="527"/>
      <c r="GA270" s="527"/>
      <c r="GB270" s="527"/>
      <c r="GC270" s="527"/>
      <c r="GD270" s="527"/>
      <c r="GE270" s="527"/>
      <c r="GF270" s="527"/>
      <c r="GG270" s="527"/>
      <c r="GH270" s="527"/>
      <c r="GI270" s="527"/>
      <c r="GJ270" s="527"/>
      <c r="GK270" s="527"/>
      <c r="GL270" s="527"/>
      <c r="GM270" s="527"/>
      <c r="GN270" s="527"/>
      <c r="GV270" s="527"/>
      <c r="GW270" s="527"/>
      <c r="GX270" s="527"/>
      <c r="GY270" s="527"/>
      <c r="GZ270" s="527"/>
      <c r="HA270" s="527"/>
      <c r="HB270" s="527"/>
      <c r="HC270" s="527"/>
      <c r="HD270" s="527"/>
      <c r="HE270" s="844"/>
      <c r="HF270" s="844"/>
      <c r="HG270" s="844"/>
      <c r="HH270" s="844"/>
      <c r="HI270" s="844"/>
      <c r="HJ270" s="844"/>
      <c r="HK270" s="844"/>
      <c r="HL270" s="844"/>
      <c r="HM270" s="844"/>
      <c r="HN270" s="844"/>
      <c r="HP270" s="466"/>
      <c r="HQ270" s="466"/>
      <c r="HR270" s="466"/>
      <c r="HS270" s="415"/>
      <c r="HT270" s="2292"/>
    </row>
    <row r="271" spans="3:228">
      <c r="C271" s="466"/>
      <c r="D271" s="466"/>
      <c r="E271" s="466"/>
      <c r="F271" s="466"/>
      <c r="G271" s="466"/>
      <c r="H271" s="466"/>
      <c r="I271" s="466"/>
      <c r="J271" s="466"/>
      <c r="K271" s="466"/>
      <c r="L271" s="466"/>
      <c r="M271" s="466"/>
      <c r="N271" s="466"/>
      <c r="O271" s="466"/>
      <c r="P271" s="510"/>
      <c r="Q271" s="510"/>
      <c r="R271" s="510"/>
      <c r="S271" s="510"/>
      <c r="T271" s="510"/>
      <c r="U271" s="510"/>
      <c r="V271" s="510"/>
      <c r="W271" s="510"/>
      <c r="X271" s="510"/>
      <c r="Y271" s="510"/>
      <c r="Z271" s="510"/>
      <c r="AA271" s="510"/>
      <c r="AB271" s="510"/>
      <c r="AC271" s="510"/>
      <c r="AD271" s="510"/>
      <c r="AE271" s="510"/>
      <c r="AF271" s="510"/>
      <c r="AG271" s="510"/>
      <c r="AH271" s="510"/>
      <c r="AI271" s="510"/>
      <c r="AJ271" s="510"/>
      <c r="AK271" s="510"/>
      <c r="AL271" s="510"/>
      <c r="AM271" s="510"/>
      <c r="AN271" s="510"/>
      <c r="AO271" s="510"/>
      <c r="AP271" s="510"/>
      <c r="AQ271" s="510"/>
      <c r="AR271" s="510"/>
      <c r="AS271" s="510"/>
      <c r="AT271" s="510"/>
      <c r="AU271" s="510"/>
      <c r="AV271" s="510"/>
      <c r="AW271" s="510"/>
      <c r="AX271" s="510"/>
      <c r="AY271" s="510"/>
      <c r="AZ271" s="466"/>
      <c r="BA271" s="466"/>
      <c r="BB271" s="466"/>
      <c r="BC271" s="466"/>
      <c r="BD271" s="466"/>
      <c r="BE271" s="466"/>
      <c r="BF271" s="466"/>
      <c r="BG271" s="466"/>
      <c r="BH271" s="466"/>
      <c r="BI271" s="466"/>
      <c r="BJ271" s="466"/>
      <c r="BK271" s="466"/>
      <c r="BL271" s="466"/>
      <c r="BM271" s="466"/>
      <c r="BN271" s="466"/>
      <c r="BO271" s="466"/>
      <c r="BP271" s="466"/>
      <c r="BQ271" s="466"/>
      <c r="BR271" s="466"/>
      <c r="BS271" s="466"/>
      <c r="BT271" s="466"/>
      <c r="BU271" s="466"/>
      <c r="BV271" s="466"/>
      <c r="BW271" s="466"/>
      <c r="BX271" s="466"/>
      <c r="BY271" s="466"/>
      <c r="BZ271" s="466"/>
      <c r="CA271" s="466"/>
      <c r="CB271" s="466"/>
      <c r="CC271" s="466"/>
      <c r="CD271" s="466"/>
      <c r="CE271" s="466"/>
      <c r="CF271" s="466"/>
      <c r="CG271" s="466"/>
      <c r="CH271" s="466"/>
      <c r="CI271" s="466"/>
      <c r="CJ271" s="466"/>
      <c r="CK271" s="466"/>
      <c r="CL271" s="466"/>
      <c r="CM271" s="466"/>
      <c r="CN271" s="466"/>
      <c r="CO271" s="466"/>
      <c r="CP271" s="466"/>
      <c r="CQ271" s="466"/>
      <c r="CR271" s="466"/>
      <c r="CS271" s="466"/>
      <c r="CT271" s="466"/>
      <c r="CU271" s="466"/>
      <c r="CV271" s="466"/>
      <c r="CW271" s="466"/>
      <c r="CX271" s="466"/>
      <c r="CY271" s="466"/>
      <c r="CZ271" s="466"/>
      <c r="DA271" s="466"/>
      <c r="DB271" s="466"/>
      <c r="DC271" s="466"/>
      <c r="DD271" s="466"/>
      <c r="DE271" s="466"/>
      <c r="DF271" s="466"/>
      <c r="DG271" s="466"/>
      <c r="FE271" s="527"/>
      <c r="FF271" s="466"/>
      <c r="FG271" s="466"/>
      <c r="FH271" s="466"/>
      <c r="FI271" s="466"/>
      <c r="FJ271" s="466"/>
      <c r="FK271" s="466"/>
      <c r="FL271" s="466"/>
      <c r="FM271" s="466"/>
      <c r="FN271" s="466"/>
      <c r="FO271" s="466"/>
      <c r="FP271" s="466"/>
      <c r="FQ271" s="466"/>
      <c r="FR271" s="466"/>
      <c r="FS271" s="466"/>
      <c r="FT271" s="466"/>
      <c r="FU271" s="466"/>
      <c r="FV271" s="466"/>
      <c r="FW271" s="466"/>
      <c r="FX271" s="466"/>
      <c r="FY271" s="466"/>
      <c r="FZ271" s="527"/>
      <c r="GA271" s="527"/>
      <c r="GB271" s="527"/>
      <c r="GC271" s="527"/>
      <c r="GD271" s="527"/>
      <c r="GE271" s="527"/>
      <c r="GF271" s="527"/>
      <c r="GG271" s="527"/>
      <c r="GH271" s="527"/>
      <c r="GI271" s="527"/>
      <c r="GJ271" s="527"/>
      <c r="GK271" s="527"/>
      <c r="GL271" s="527"/>
      <c r="GM271" s="527"/>
      <c r="GN271" s="527"/>
      <c r="GV271" s="527"/>
      <c r="GW271" s="527"/>
      <c r="GX271" s="527"/>
      <c r="GY271" s="527"/>
      <c r="GZ271" s="527"/>
      <c r="HA271" s="527"/>
      <c r="HB271" s="527"/>
      <c r="HC271" s="527"/>
      <c r="HD271" s="527"/>
      <c r="HE271" s="844"/>
      <c r="HF271" s="844"/>
      <c r="HG271" s="844"/>
      <c r="HH271" s="844"/>
      <c r="HI271" s="844"/>
      <c r="HJ271" s="844"/>
      <c r="HK271" s="844"/>
      <c r="HL271" s="844"/>
      <c r="HM271" s="844"/>
      <c r="HN271" s="844"/>
      <c r="HP271" s="466"/>
      <c r="HQ271" s="466"/>
      <c r="HR271" s="466"/>
      <c r="HS271" s="415"/>
      <c r="HT271" s="2292"/>
    </row>
    <row r="272" spans="3:228">
      <c r="C272" s="466"/>
      <c r="D272" s="466"/>
      <c r="E272" s="466"/>
      <c r="F272" s="466"/>
      <c r="G272" s="466"/>
      <c r="H272" s="466"/>
      <c r="I272" s="466"/>
      <c r="J272" s="466"/>
      <c r="K272" s="466"/>
      <c r="L272" s="466"/>
      <c r="M272" s="466"/>
      <c r="N272" s="466"/>
      <c r="O272" s="466"/>
      <c r="P272" s="510"/>
      <c r="Q272" s="510"/>
      <c r="R272" s="510"/>
      <c r="S272" s="510"/>
      <c r="T272" s="510"/>
      <c r="U272" s="510"/>
      <c r="V272" s="510"/>
      <c r="W272" s="510"/>
      <c r="X272" s="510"/>
      <c r="Y272" s="510"/>
      <c r="Z272" s="510"/>
      <c r="AA272" s="510"/>
      <c r="AB272" s="510"/>
      <c r="AC272" s="510"/>
      <c r="AD272" s="510"/>
      <c r="AE272" s="510"/>
      <c r="AF272" s="510"/>
      <c r="AG272" s="510"/>
      <c r="AH272" s="510"/>
      <c r="AI272" s="510"/>
      <c r="AJ272" s="510"/>
      <c r="AK272" s="510"/>
      <c r="AL272" s="510"/>
      <c r="AM272" s="510"/>
      <c r="AN272" s="510"/>
      <c r="AO272" s="510"/>
      <c r="AP272" s="510"/>
      <c r="AQ272" s="510"/>
      <c r="AR272" s="510"/>
      <c r="AS272" s="510"/>
      <c r="AT272" s="510"/>
      <c r="AU272" s="510"/>
      <c r="AV272" s="510"/>
      <c r="AW272" s="510"/>
      <c r="AX272" s="510"/>
      <c r="AY272" s="510"/>
      <c r="AZ272" s="466"/>
      <c r="BA272" s="466"/>
      <c r="BB272" s="466"/>
      <c r="BC272" s="466"/>
      <c r="BD272" s="466"/>
      <c r="BE272" s="466"/>
      <c r="BF272" s="466"/>
      <c r="BG272" s="466"/>
      <c r="BH272" s="466"/>
      <c r="BI272" s="466"/>
      <c r="BJ272" s="466"/>
      <c r="BK272" s="466"/>
      <c r="BL272" s="466"/>
      <c r="BM272" s="466"/>
      <c r="BN272" s="466"/>
      <c r="BO272" s="466"/>
      <c r="BP272" s="466"/>
      <c r="BQ272" s="466"/>
      <c r="BR272" s="466"/>
      <c r="BS272" s="466"/>
      <c r="BT272" s="466"/>
      <c r="BU272" s="466"/>
      <c r="BV272" s="466"/>
      <c r="BW272" s="466"/>
      <c r="BX272" s="466"/>
      <c r="BY272" s="466"/>
      <c r="BZ272" s="466"/>
      <c r="CA272" s="466"/>
      <c r="CB272" s="466"/>
      <c r="CC272" s="466"/>
      <c r="CD272" s="466"/>
      <c r="CE272" s="466"/>
      <c r="CF272" s="466"/>
      <c r="CG272" s="466"/>
      <c r="CH272" s="466"/>
      <c r="CI272" s="466"/>
      <c r="CJ272" s="466"/>
      <c r="CK272" s="466"/>
      <c r="CL272" s="466"/>
      <c r="CM272" s="466"/>
      <c r="CN272" s="466"/>
      <c r="CO272" s="466"/>
      <c r="CP272" s="466"/>
      <c r="CQ272" s="466"/>
      <c r="CR272" s="466"/>
      <c r="CS272" s="466"/>
      <c r="CT272" s="466"/>
      <c r="CU272" s="466"/>
      <c r="CV272" s="466"/>
      <c r="CW272" s="466"/>
      <c r="CX272" s="466"/>
      <c r="CY272" s="466"/>
      <c r="CZ272" s="466"/>
      <c r="DA272" s="466"/>
      <c r="DB272" s="466"/>
      <c r="DC272" s="466"/>
      <c r="DD272" s="466"/>
      <c r="DE272" s="466"/>
      <c r="DF272" s="466"/>
      <c r="DG272" s="466"/>
      <c r="FE272" s="527"/>
      <c r="FF272" s="466"/>
      <c r="FG272" s="466"/>
      <c r="FH272" s="466"/>
      <c r="FI272" s="466"/>
      <c r="FJ272" s="466"/>
      <c r="FK272" s="466"/>
      <c r="FL272" s="466"/>
      <c r="FM272" s="466"/>
      <c r="FN272" s="466"/>
      <c r="FO272" s="466"/>
      <c r="FP272" s="466"/>
      <c r="FQ272" s="466"/>
      <c r="FR272" s="466"/>
      <c r="FS272" s="466"/>
      <c r="FT272" s="466"/>
      <c r="FU272" s="466"/>
      <c r="FV272" s="466"/>
      <c r="FW272" s="466"/>
      <c r="FX272" s="466"/>
      <c r="FY272" s="466"/>
      <c r="FZ272" s="527"/>
      <c r="GA272" s="527"/>
      <c r="GB272" s="527"/>
      <c r="GC272" s="527"/>
      <c r="GD272" s="527"/>
      <c r="GE272" s="527"/>
      <c r="GF272" s="527"/>
      <c r="GG272" s="527"/>
      <c r="GH272" s="527"/>
      <c r="GI272" s="527"/>
      <c r="GJ272" s="527"/>
      <c r="GK272" s="527"/>
      <c r="GL272" s="527"/>
      <c r="GM272" s="527"/>
      <c r="GN272" s="527"/>
      <c r="GV272" s="527"/>
      <c r="GW272" s="527"/>
      <c r="GX272" s="527"/>
      <c r="GY272" s="527"/>
      <c r="GZ272" s="527"/>
      <c r="HA272" s="527"/>
      <c r="HB272" s="527"/>
      <c r="HC272" s="527"/>
      <c r="HD272" s="527"/>
      <c r="HE272" s="844"/>
      <c r="HF272" s="844"/>
      <c r="HG272" s="844"/>
      <c r="HH272" s="844"/>
      <c r="HI272" s="844"/>
      <c r="HJ272" s="844"/>
      <c r="HK272" s="844"/>
      <c r="HL272" s="844"/>
      <c r="HM272" s="844"/>
      <c r="HN272" s="844"/>
      <c r="HP272" s="466"/>
      <c r="HQ272" s="466"/>
      <c r="HR272" s="466"/>
      <c r="HS272" s="415"/>
      <c r="HT272" s="2292"/>
    </row>
    <row r="273" spans="3:228">
      <c r="C273" s="466"/>
      <c r="D273" s="466"/>
      <c r="E273" s="466"/>
      <c r="F273" s="466"/>
      <c r="G273" s="466"/>
      <c r="H273" s="466"/>
      <c r="I273" s="466"/>
      <c r="J273" s="466"/>
      <c r="K273" s="466"/>
      <c r="L273" s="466"/>
      <c r="M273" s="466"/>
      <c r="N273" s="466"/>
      <c r="O273" s="466"/>
      <c r="P273" s="510"/>
      <c r="Q273" s="510"/>
      <c r="R273" s="510"/>
      <c r="S273" s="510"/>
      <c r="T273" s="510"/>
      <c r="U273" s="510"/>
      <c r="V273" s="510"/>
      <c r="W273" s="510"/>
      <c r="X273" s="510"/>
      <c r="Y273" s="510"/>
      <c r="Z273" s="510"/>
      <c r="AA273" s="510"/>
      <c r="AB273" s="510"/>
      <c r="AC273" s="510"/>
      <c r="AD273" s="510"/>
      <c r="AE273" s="510"/>
      <c r="AF273" s="510"/>
      <c r="AG273" s="510"/>
      <c r="AH273" s="510"/>
      <c r="AI273" s="510"/>
      <c r="AJ273" s="510"/>
      <c r="AK273" s="510"/>
      <c r="AL273" s="510"/>
      <c r="AM273" s="510"/>
      <c r="AN273" s="510"/>
      <c r="AO273" s="510"/>
      <c r="AP273" s="510"/>
      <c r="AQ273" s="510"/>
      <c r="AR273" s="510"/>
      <c r="AS273" s="510"/>
      <c r="AT273" s="510"/>
      <c r="AU273" s="510"/>
      <c r="AV273" s="510"/>
      <c r="AW273" s="510"/>
      <c r="AX273" s="510"/>
      <c r="AY273" s="510"/>
      <c r="AZ273" s="466"/>
      <c r="BA273" s="466"/>
      <c r="BB273" s="466"/>
      <c r="BC273" s="466"/>
      <c r="BD273" s="466"/>
      <c r="BE273" s="466"/>
      <c r="BF273" s="466"/>
      <c r="BG273" s="466"/>
      <c r="BH273" s="466"/>
      <c r="BI273" s="466"/>
      <c r="BJ273" s="466"/>
      <c r="BK273" s="466"/>
      <c r="BL273" s="466"/>
      <c r="BM273" s="466"/>
      <c r="BN273" s="466"/>
      <c r="BO273" s="466"/>
      <c r="BP273" s="466"/>
      <c r="BQ273" s="466"/>
      <c r="BR273" s="466"/>
      <c r="BS273" s="466"/>
      <c r="BT273" s="466"/>
      <c r="BU273" s="466"/>
      <c r="BV273" s="466"/>
      <c r="BW273" s="466"/>
      <c r="BX273" s="466"/>
      <c r="BY273" s="466"/>
      <c r="BZ273" s="466"/>
      <c r="CA273" s="466"/>
      <c r="CB273" s="466"/>
      <c r="CC273" s="466"/>
      <c r="CD273" s="466"/>
      <c r="CE273" s="466"/>
      <c r="CF273" s="466"/>
      <c r="CG273" s="466"/>
      <c r="CH273" s="466"/>
      <c r="CI273" s="466"/>
      <c r="CJ273" s="466"/>
      <c r="CK273" s="466"/>
      <c r="CL273" s="466"/>
      <c r="CM273" s="466"/>
      <c r="CN273" s="466"/>
      <c r="CO273" s="466"/>
      <c r="CP273" s="466"/>
      <c r="CQ273" s="466"/>
      <c r="CR273" s="466"/>
      <c r="CS273" s="466"/>
      <c r="CT273" s="466"/>
      <c r="CU273" s="466"/>
      <c r="CV273" s="466"/>
      <c r="CW273" s="466"/>
      <c r="CX273" s="466"/>
      <c r="CY273" s="466"/>
      <c r="CZ273" s="466"/>
      <c r="DA273" s="466"/>
      <c r="DB273" s="466"/>
      <c r="DC273" s="466"/>
      <c r="DD273" s="466"/>
      <c r="DE273" s="466"/>
      <c r="DF273" s="466"/>
      <c r="DG273" s="466"/>
      <c r="FE273" s="527"/>
      <c r="FF273" s="466"/>
      <c r="FG273" s="466"/>
      <c r="FH273" s="466"/>
      <c r="FI273" s="466"/>
      <c r="FJ273" s="466"/>
      <c r="FK273" s="466"/>
      <c r="FL273" s="466"/>
      <c r="FM273" s="466"/>
      <c r="FN273" s="466"/>
      <c r="FO273" s="466"/>
      <c r="FP273" s="466"/>
      <c r="FQ273" s="466"/>
      <c r="FR273" s="466"/>
      <c r="FS273" s="466"/>
      <c r="FT273" s="466"/>
      <c r="FU273" s="466"/>
      <c r="FV273" s="466"/>
      <c r="FW273" s="466"/>
      <c r="FX273" s="466"/>
      <c r="FY273" s="466"/>
      <c r="FZ273" s="527"/>
      <c r="GA273" s="527"/>
      <c r="GB273" s="527"/>
      <c r="GC273" s="527"/>
      <c r="GD273" s="527"/>
      <c r="GE273" s="527"/>
      <c r="GF273" s="527"/>
      <c r="GG273" s="527"/>
      <c r="GH273" s="527"/>
      <c r="GI273" s="527"/>
      <c r="GJ273" s="527"/>
      <c r="GK273" s="527"/>
      <c r="GL273" s="527"/>
      <c r="GM273" s="527"/>
      <c r="GN273" s="527"/>
      <c r="GV273" s="527"/>
      <c r="GW273" s="527"/>
      <c r="GX273" s="527"/>
      <c r="GY273" s="527"/>
      <c r="GZ273" s="527"/>
      <c r="HA273" s="527"/>
      <c r="HB273" s="527"/>
      <c r="HC273" s="527"/>
      <c r="HD273" s="527"/>
      <c r="HE273" s="844"/>
      <c r="HF273" s="844"/>
      <c r="HG273" s="844"/>
      <c r="HH273" s="844"/>
      <c r="HI273" s="844"/>
      <c r="HJ273" s="844"/>
      <c r="HK273" s="844"/>
      <c r="HL273" s="844"/>
      <c r="HM273" s="844"/>
      <c r="HN273" s="844"/>
      <c r="HP273" s="466"/>
      <c r="HQ273" s="466"/>
      <c r="HR273" s="466"/>
      <c r="HS273" s="415"/>
      <c r="HT273" s="2292"/>
    </row>
    <row r="274" spans="3:228">
      <c r="C274" s="466"/>
      <c r="D274" s="466"/>
      <c r="E274" s="466"/>
      <c r="F274" s="466"/>
      <c r="G274" s="466"/>
      <c r="H274" s="466"/>
      <c r="I274" s="466"/>
      <c r="J274" s="466"/>
      <c r="K274" s="466"/>
      <c r="L274" s="466"/>
      <c r="M274" s="466"/>
      <c r="N274" s="466"/>
      <c r="O274" s="466"/>
      <c r="P274" s="510"/>
      <c r="Q274" s="510"/>
      <c r="R274" s="510"/>
      <c r="S274" s="510"/>
      <c r="T274" s="510"/>
      <c r="U274" s="510"/>
      <c r="V274" s="510"/>
      <c r="W274" s="510"/>
      <c r="X274" s="510"/>
      <c r="Y274" s="510"/>
      <c r="Z274" s="510"/>
      <c r="AA274" s="510"/>
      <c r="AB274" s="510"/>
      <c r="AC274" s="510"/>
      <c r="AD274" s="510"/>
      <c r="AE274" s="510"/>
      <c r="AF274" s="510"/>
      <c r="AG274" s="510"/>
      <c r="AH274" s="510"/>
      <c r="AI274" s="510"/>
      <c r="AJ274" s="510"/>
      <c r="AK274" s="510"/>
      <c r="AL274" s="510"/>
      <c r="AM274" s="510"/>
      <c r="AN274" s="510"/>
      <c r="AO274" s="510"/>
      <c r="AP274" s="510"/>
      <c r="AQ274" s="510"/>
      <c r="AR274" s="510"/>
      <c r="AS274" s="510"/>
      <c r="AT274" s="510"/>
      <c r="AU274" s="510"/>
      <c r="AV274" s="510"/>
      <c r="AW274" s="510"/>
      <c r="AX274" s="510"/>
      <c r="AY274" s="510"/>
      <c r="AZ274" s="466"/>
      <c r="BA274" s="466"/>
      <c r="BB274" s="466"/>
      <c r="BC274" s="466"/>
      <c r="BD274" s="466"/>
      <c r="BE274" s="466"/>
      <c r="BF274" s="466"/>
      <c r="BG274" s="466"/>
      <c r="BH274" s="466"/>
      <c r="BI274" s="466"/>
      <c r="BJ274" s="466"/>
      <c r="BK274" s="466"/>
      <c r="BL274" s="466"/>
      <c r="BM274" s="466"/>
      <c r="BN274" s="466"/>
      <c r="BO274" s="466"/>
      <c r="BP274" s="466"/>
      <c r="BQ274" s="466"/>
      <c r="BR274" s="466"/>
      <c r="BS274" s="466"/>
      <c r="BT274" s="466"/>
      <c r="BU274" s="466"/>
      <c r="BV274" s="466"/>
      <c r="BW274" s="466"/>
      <c r="BX274" s="466"/>
      <c r="BY274" s="466"/>
      <c r="BZ274" s="466"/>
      <c r="CA274" s="466"/>
      <c r="CB274" s="466"/>
      <c r="CC274" s="466"/>
      <c r="CD274" s="466"/>
      <c r="CE274" s="466"/>
      <c r="CF274" s="466"/>
      <c r="CG274" s="466"/>
      <c r="CH274" s="466"/>
      <c r="CI274" s="466"/>
      <c r="CJ274" s="466"/>
      <c r="CK274" s="466"/>
      <c r="CL274" s="466"/>
      <c r="CM274" s="466"/>
      <c r="CN274" s="466"/>
      <c r="CO274" s="466"/>
      <c r="CP274" s="466"/>
      <c r="CQ274" s="466"/>
      <c r="CR274" s="466"/>
      <c r="CS274" s="466"/>
      <c r="CT274" s="466"/>
      <c r="CU274" s="466"/>
      <c r="CV274" s="466"/>
      <c r="CW274" s="466"/>
      <c r="CX274" s="466"/>
      <c r="CY274" s="466"/>
      <c r="CZ274" s="466"/>
      <c r="DA274" s="466"/>
      <c r="DB274" s="466"/>
      <c r="DC274" s="466"/>
      <c r="DD274" s="466"/>
      <c r="DE274" s="466"/>
      <c r="DF274" s="466"/>
      <c r="DG274" s="466"/>
      <c r="FE274" s="527"/>
      <c r="FF274" s="466"/>
      <c r="FG274" s="466"/>
      <c r="FH274" s="466"/>
      <c r="FI274" s="466"/>
      <c r="FJ274" s="466"/>
      <c r="FK274" s="466"/>
      <c r="FL274" s="466"/>
      <c r="FM274" s="466"/>
      <c r="FN274" s="466"/>
      <c r="FO274" s="466"/>
      <c r="FP274" s="466"/>
      <c r="FQ274" s="466"/>
      <c r="FR274" s="466"/>
      <c r="FS274" s="466"/>
      <c r="FT274" s="466"/>
      <c r="FU274" s="466"/>
      <c r="FV274" s="466"/>
      <c r="FW274" s="466"/>
      <c r="FX274" s="466"/>
      <c r="FY274" s="466"/>
      <c r="FZ274" s="527"/>
      <c r="GA274" s="527"/>
      <c r="GB274" s="527"/>
      <c r="GC274" s="527"/>
      <c r="GD274" s="527"/>
      <c r="GE274" s="527"/>
      <c r="GF274" s="527"/>
      <c r="GG274" s="527"/>
      <c r="GH274" s="527"/>
      <c r="GI274" s="527"/>
      <c r="GJ274" s="527"/>
      <c r="GK274" s="527"/>
      <c r="GL274" s="527"/>
      <c r="GM274" s="527"/>
      <c r="GN274" s="527"/>
      <c r="GV274" s="527"/>
      <c r="GW274" s="527"/>
      <c r="GX274" s="527"/>
      <c r="GY274" s="527"/>
      <c r="GZ274" s="527"/>
      <c r="HA274" s="527"/>
      <c r="HB274" s="527"/>
      <c r="HC274" s="527"/>
      <c r="HD274" s="527"/>
      <c r="HE274" s="844"/>
      <c r="HF274" s="844"/>
      <c r="HG274" s="844"/>
      <c r="HH274" s="844"/>
      <c r="HI274" s="844"/>
      <c r="HJ274" s="844"/>
      <c r="HK274" s="844"/>
      <c r="HL274" s="844"/>
      <c r="HM274" s="844"/>
      <c r="HN274" s="844"/>
      <c r="HP274" s="466"/>
      <c r="HQ274" s="466"/>
      <c r="HR274" s="466"/>
      <c r="HS274" s="415"/>
      <c r="HT274" s="2292"/>
    </row>
    <row r="275" spans="3:228">
      <c r="C275" s="466"/>
      <c r="D275" s="466"/>
      <c r="E275" s="466"/>
      <c r="F275" s="466"/>
      <c r="G275" s="466"/>
      <c r="H275" s="466"/>
      <c r="I275" s="466"/>
      <c r="J275" s="466"/>
      <c r="K275" s="466"/>
      <c r="L275" s="466"/>
      <c r="M275" s="466"/>
      <c r="N275" s="466"/>
      <c r="O275" s="466"/>
      <c r="P275" s="510"/>
      <c r="Q275" s="510"/>
      <c r="R275" s="510"/>
      <c r="S275" s="510"/>
      <c r="T275" s="510"/>
      <c r="U275" s="510"/>
      <c r="V275" s="510"/>
      <c r="W275" s="510"/>
      <c r="X275" s="510"/>
      <c r="Y275" s="510"/>
      <c r="Z275" s="510"/>
      <c r="AA275" s="510"/>
      <c r="AB275" s="510"/>
      <c r="AC275" s="510"/>
      <c r="AD275" s="510"/>
      <c r="AE275" s="510"/>
      <c r="AF275" s="510"/>
      <c r="AG275" s="510"/>
      <c r="AH275" s="510"/>
      <c r="AI275" s="510"/>
      <c r="AJ275" s="510"/>
      <c r="AK275" s="510"/>
      <c r="AL275" s="510"/>
      <c r="AM275" s="510"/>
      <c r="AN275" s="510"/>
      <c r="AO275" s="510"/>
      <c r="AP275" s="510"/>
      <c r="AQ275" s="510"/>
      <c r="AR275" s="510"/>
      <c r="AS275" s="510"/>
      <c r="AT275" s="510"/>
      <c r="AU275" s="510"/>
      <c r="AV275" s="510"/>
      <c r="AW275" s="510"/>
      <c r="AX275" s="510"/>
      <c r="AY275" s="510"/>
      <c r="AZ275" s="466"/>
      <c r="BA275" s="466"/>
      <c r="BB275" s="466"/>
      <c r="BC275" s="466"/>
      <c r="BD275" s="466"/>
      <c r="BE275" s="466"/>
      <c r="BF275" s="466"/>
      <c r="BG275" s="466"/>
      <c r="BH275" s="466"/>
      <c r="BI275" s="466"/>
      <c r="BJ275" s="466"/>
      <c r="BK275" s="466"/>
      <c r="BL275" s="466"/>
      <c r="BM275" s="466"/>
      <c r="BN275" s="466"/>
      <c r="BO275" s="466"/>
      <c r="BP275" s="466"/>
      <c r="BQ275" s="466"/>
      <c r="BR275" s="466"/>
      <c r="BS275" s="466"/>
      <c r="BT275" s="466"/>
      <c r="BU275" s="466"/>
      <c r="BV275" s="466"/>
      <c r="BW275" s="466"/>
      <c r="BX275" s="466"/>
      <c r="BY275" s="466"/>
      <c r="BZ275" s="466"/>
      <c r="CA275" s="466"/>
      <c r="CB275" s="466"/>
      <c r="CC275" s="466"/>
      <c r="CD275" s="466"/>
      <c r="CE275" s="466"/>
      <c r="CF275" s="466"/>
      <c r="CG275" s="466"/>
      <c r="CH275" s="466"/>
      <c r="CI275" s="466"/>
      <c r="CJ275" s="466"/>
      <c r="CK275" s="466"/>
      <c r="CL275" s="466"/>
      <c r="CM275" s="466"/>
      <c r="CN275" s="466"/>
      <c r="CO275" s="466"/>
      <c r="CP275" s="466"/>
      <c r="CQ275" s="466"/>
      <c r="CR275" s="466"/>
      <c r="CS275" s="466"/>
      <c r="CT275" s="466"/>
      <c r="CU275" s="466"/>
      <c r="CV275" s="466"/>
      <c r="CW275" s="466"/>
      <c r="CX275" s="466"/>
      <c r="CY275" s="466"/>
      <c r="CZ275" s="466"/>
      <c r="DA275" s="466"/>
      <c r="DB275" s="466"/>
      <c r="DC275" s="466"/>
      <c r="DD275" s="466"/>
      <c r="DE275" s="466"/>
      <c r="DF275" s="466"/>
      <c r="DG275" s="466"/>
      <c r="FE275" s="527"/>
      <c r="FF275" s="466"/>
      <c r="FG275" s="466"/>
      <c r="FH275" s="466"/>
      <c r="FI275" s="466"/>
      <c r="FJ275" s="466"/>
      <c r="FK275" s="466"/>
      <c r="FL275" s="466"/>
      <c r="FM275" s="466"/>
      <c r="FN275" s="466"/>
      <c r="FO275" s="466"/>
      <c r="FP275" s="466"/>
      <c r="FQ275" s="466"/>
      <c r="FR275" s="466"/>
      <c r="FS275" s="466"/>
      <c r="FT275" s="466"/>
      <c r="FU275" s="466"/>
      <c r="FV275" s="466"/>
      <c r="FW275" s="466"/>
      <c r="FX275" s="466"/>
      <c r="FY275" s="466"/>
      <c r="FZ275" s="527"/>
      <c r="GA275" s="527"/>
      <c r="GB275" s="527"/>
      <c r="GC275" s="527"/>
      <c r="GD275" s="527"/>
      <c r="GE275" s="527"/>
      <c r="GF275" s="527"/>
      <c r="GG275" s="527"/>
      <c r="GH275" s="527"/>
      <c r="GI275" s="527"/>
      <c r="GJ275" s="527"/>
      <c r="GK275" s="527"/>
      <c r="GL275" s="527"/>
      <c r="GM275" s="527"/>
      <c r="GN275" s="527"/>
      <c r="GV275" s="527"/>
      <c r="GW275" s="527"/>
      <c r="GX275" s="527"/>
      <c r="GY275" s="527"/>
      <c r="GZ275" s="527"/>
      <c r="HA275" s="527"/>
      <c r="HB275" s="527"/>
      <c r="HC275" s="527"/>
      <c r="HD275" s="527"/>
      <c r="HE275" s="844"/>
      <c r="HF275" s="844"/>
      <c r="HG275" s="844"/>
      <c r="HH275" s="844"/>
      <c r="HI275" s="844"/>
      <c r="HJ275" s="844"/>
      <c r="HK275" s="844"/>
      <c r="HL275" s="844"/>
      <c r="HM275" s="844"/>
      <c r="HN275" s="844"/>
      <c r="HP275" s="466"/>
      <c r="HQ275" s="466"/>
      <c r="HR275" s="466"/>
      <c r="HS275" s="415"/>
      <c r="HT275" s="2292"/>
    </row>
    <row r="276" spans="3:228">
      <c r="C276" s="466"/>
      <c r="D276" s="466"/>
      <c r="E276" s="466"/>
      <c r="F276" s="466"/>
      <c r="G276" s="466"/>
      <c r="H276" s="466"/>
      <c r="I276" s="466"/>
      <c r="J276" s="466"/>
      <c r="K276" s="466"/>
      <c r="L276" s="466"/>
      <c r="M276" s="466"/>
      <c r="N276" s="466"/>
      <c r="O276" s="466"/>
      <c r="P276" s="510"/>
      <c r="Q276" s="510"/>
      <c r="R276" s="510"/>
      <c r="S276" s="510"/>
      <c r="T276" s="510"/>
      <c r="U276" s="510"/>
      <c r="V276" s="510"/>
      <c r="W276" s="510"/>
      <c r="X276" s="510"/>
      <c r="Y276" s="510"/>
      <c r="Z276" s="510"/>
      <c r="AA276" s="510"/>
      <c r="AB276" s="510"/>
      <c r="AC276" s="510"/>
      <c r="AD276" s="510"/>
      <c r="AE276" s="510"/>
      <c r="AF276" s="510"/>
      <c r="AG276" s="510"/>
      <c r="AH276" s="510"/>
      <c r="AI276" s="510"/>
      <c r="AJ276" s="510"/>
      <c r="AK276" s="510"/>
      <c r="AL276" s="510"/>
      <c r="AM276" s="510"/>
      <c r="AN276" s="510"/>
      <c r="AO276" s="510"/>
      <c r="AP276" s="510"/>
      <c r="AQ276" s="510"/>
      <c r="AR276" s="510"/>
      <c r="AS276" s="510"/>
      <c r="AT276" s="510"/>
      <c r="AU276" s="510"/>
      <c r="AV276" s="510"/>
      <c r="AW276" s="510"/>
      <c r="AX276" s="510"/>
      <c r="AY276" s="510"/>
      <c r="AZ276" s="466"/>
      <c r="BA276" s="466"/>
      <c r="BB276" s="466"/>
      <c r="BC276" s="466"/>
      <c r="BD276" s="466"/>
      <c r="BE276" s="466"/>
      <c r="BF276" s="466"/>
      <c r="BG276" s="466"/>
      <c r="BH276" s="466"/>
      <c r="BI276" s="466"/>
      <c r="BJ276" s="466"/>
      <c r="BK276" s="466"/>
      <c r="BL276" s="466"/>
      <c r="BM276" s="466"/>
      <c r="BN276" s="466"/>
      <c r="BO276" s="466"/>
      <c r="BP276" s="466"/>
      <c r="BQ276" s="466"/>
      <c r="BR276" s="466"/>
      <c r="BS276" s="466"/>
      <c r="BT276" s="466"/>
      <c r="BU276" s="466"/>
      <c r="BV276" s="466"/>
      <c r="BW276" s="466"/>
      <c r="BX276" s="466"/>
      <c r="BY276" s="466"/>
      <c r="BZ276" s="466"/>
      <c r="CA276" s="466"/>
      <c r="CB276" s="466"/>
      <c r="CC276" s="466"/>
      <c r="CD276" s="466"/>
      <c r="CE276" s="466"/>
      <c r="CF276" s="466"/>
      <c r="CG276" s="466"/>
      <c r="CH276" s="466"/>
      <c r="CI276" s="466"/>
      <c r="CJ276" s="466"/>
      <c r="CK276" s="466"/>
      <c r="CL276" s="466"/>
      <c r="CM276" s="466"/>
      <c r="CN276" s="466"/>
      <c r="CO276" s="466"/>
      <c r="CP276" s="466"/>
      <c r="CQ276" s="466"/>
      <c r="CR276" s="466"/>
      <c r="CS276" s="466"/>
      <c r="CT276" s="466"/>
      <c r="CU276" s="466"/>
      <c r="CV276" s="466"/>
      <c r="CW276" s="466"/>
      <c r="CX276" s="466"/>
      <c r="CY276" s="466"/>
      <c r="CZ276" s="466"/>
      <c r="DA276" s="466"/>
      <c r="DB276" s="466"/>
      <c r="DC276" s="466"/>
      <c r="DD276" s="466"/>
      <c r="DE276" s="466"/>
      <c r="DF276" s="466"/>
      <c r="DG276" s="466"/>
      <c r="FE276" s="527"/>
      <c r="FF276" s="466"/>
      <c r="FG276" s="466"/>
      <c r="FH276" s="466"/>
      <c r="FI276" s="466"/>
      <c r="FJ276" s="466"/>
      <c r="FK276" s="466"/>
      <c r="FL276" s="466"/>
      <c r="FM276" s="466"/>
      <c r="FN276" s="466"/>
      <c r="FO276" s="466"/>
      <c r="FP276" s="466"/>
      <c r="FQ276" s="466"/>
      <c r="FR276" s="466"/>
      <c r="FS276" s="466"/>
      <c r="FT276" s="466"/>
      <c r="FU276" s="466"/>
      <c r="FV276" s="466"/>
      <c r="FW276" s="466"/>
      <c r="FX276" s="466"/>
      <c r="FY276" s="466"/>
      <c r="FZ276" s="527"/>
      <c r="GA276" s="527"/>
      <c r="GB276" s="527"/>
      <c r="GC276" s="527"/>
      <c r="GD276" s="527"/>
      <c r="GE276" s="527"/>
      <c r="GF276" s="527"/>
      <c r="GG276" s="527"/>
      <c r="GH276" s="527"/>
      <c r="GI276" s="527"/>
      <c r="GJ276" s="527"/>
      <c r="GK276" s="527"/>
      <c r="GL276" s="527"/>
      <c r="GM276" s="527"/>
      <c r="GN276" s="527"/>
      <c r="GV276" s="527"/>
      <c r="GW276" s="527"/>
      <c r="GX276" s="527"/>
      <c r="GY276" s="527"/>
      <c r="GZ276" s="527"/>
      <c r="HA276" s="527"/>
      <c r="HB276" s="527"/>
      <c r="HC276" s="527"/>
      <c r="HD276" s="527"/>
      <c r="HE276" s="844"/>
      <c r="HF276" s="844"/>
      <c r="HG276" s="844"/>
      <c r="HH276" s="844"/>
      <c r="HI276" s="844"/>
      <c r="HJ276" s="844"/>
      <c r="HK276" s="844"/>
      <c r="HL276" s="844"/>
      <c r="HM276" s="844"/>
      <c r="HN276" s="844"/>
      <c r="HP276" s="466"/>
      <c r="HQ276" s="466"/>
      <c r="HR276" s="466"/>
      <c r="HS276" s="415"/>
      <c r="HT276" s="2292"/>
    </row>
    <row r="277" spans="3:228">
      <c r="C277" s="466"/>
      <c r="D277" s="466"/>
      <c r="E277" s="466"/>
      <c r="F277" s="466"/>
      <c r="G277" s="466"/>
      <c r="H277" s="466"/>
      <c r="I277" s="466"/>
      <c r="J277" s="466"/>
      <c r="K277" s="466"/>
      <c r="L277" s="466"/>
      <c r="M277" s="466"/>
      <c r="N277" s="466"/>
      <c r="O277" s="466"/>
      <c r="P277" s="510"/>
      <c r="Q277" s="510"/>
      <c r="R277" s="510"/>
      <c r="S277" s="510"/>
      <c r="T277" s="510"/>
      <c r="U277" s="510"/>
      <c r="V277" s="510"/>
      <c r="W277" s="510"/>
      <c r="X277" s="510"/>
      <c r="Y277" s="510"/>
      <c r="Z277" s="510"/>
      <c r="AA277" s="510"/>
      <c r="AB277" s="510"/>
      <c r="AC277" s="510"/>
      <c r="AD277" s="510"/>
      <c r="AE277" s="510"/>
      <c r="AF277" s="510"/>
      <c r="AG277" s="510"/>
      <c r="AH277" s="510"/>
      <c r="AI277" s="510"/>
      <c r="AJ277" s="510"/>
      <c r="AK277" s="510"/>
      <c r="AL277" s="510"/>
      <c r="AM277" s="510"/>
      <c r="AN277" s="510"/>
      <c r="AO277" s="510"/>
      <c r="AP277" s="510"/>
      <c r="AQ277" s="510"/>
      <c r="AR277" s="510"/>
      <c r="AS277" s="510"/>
      <c r="AT277" s="510"/>
      <c r="AU277" s="510"/>
      <c r="AV277" s="510"/>
      <c r="AW277" s="510"/>
      <c r="AX277" s="510"/>
      <c r="AY277" s="510"/>
      <c r="AZ277" s="466"/>
      <c r="BA277" s="466"/>
      <c r="BB277" s="466"/>
      <c r="BC277" s="466"/>
      <c r="BD277" s="466"/>
      <c r="BE277" s="466"/>
      <c r="BF277" s="466"/>
      <c r="BG277" s="466"/>
      <c r="BH277" s="466"/>
      <c r="BI277" s="466"/>
      <c r="BJ277" s="466"/>
      <c r="BK277" s="466"/>
      <c r="BL277" s="466"/>
      <c r="BM277" s="466"/>
      <c r="BN277" s="466"/>
      <c r="BO277" s="466"/>
      <c r="BP277" s="466"/>
      <c r="BQ277" s="466"/>
      <c r="BR277" s="466"/>
      <c r="BS277" s="466"/>
      <c r="BT277" s="466"/>
      <c r="BU277" s="466"/>
      <c r="BV277" s="466"/>
      <c r="BW277" s="466"/>
      <c r="BX277" s="466"/>
      <c r="BY277" s="466"/>
      <c r="BZ277" s="466"/>
      <c r="CA277" s="466"/>
      <c r="CB277" s="466"/>
      <c r="CC277" s="466"/>
      <c r="CD277" s="466"/>
      <c r="CE277" s="466"/>
      <c r="CF277" s="466"/>
      <c r="CG277" s="466"/>
      <c r="CH277" s="466"/>
      <c r="CI277" s="466"/>
      <c r="CJ277" s="466"/>
      <c r="CK277" s="466"/>
      <c r="CL277" s="466"/>
      <c r="CM277" s="466"/>
      <c r="CN277" s="466"/>
      <c r="CO277" s="466"/>
      <c r="CP277" s="466"/>
      <c r="CQ277" s="466"/>
      <c r="CR277" s="466"/>
      <c r="CS277" s="466"/>
      <c r="CT277" s="466"/>
      <c r="CU277" s="466"/>
      <c r="CV277" s="466"/>
      <c r="CW277" s="466"/>
      <c r="CX277" s="466"/>
      <c r="CY277" s="466"/>
      <c r="CZ277" s="466"/>
      <c r="DA277" s="466"/>
      <c r="DB277" s="466"/>
      <c r="DC277" s="466"/>
      <c r="DD277" s="466"/>
      <c r="DE277" s="466"/>
      <c r="DF277" s="466"/>
      <c r="DG277" s="466"/>
      <c r="FE277" s="527"/>
      <c r="FF277" s="466"/>
      <c r="FG277" s="466"/>
      <c r="FH277" s="466"/>
      <c r="FI277" s="466"/>
      <c r="FJ277" s="466"/>
      <c r="FK277" s="466"/>
      <c r="FL277" s="466"/>
      <c r="FM277" s="466"/>
      <c r="FN277" s="466"/>
      <c r="FO277" s="466"/>
      <c r="FP277" s="466"/>
      <c r="FQ277" s="466"/>
      <c r="FR277" s="466"/>
      <c r="FS277" s="466"/>
      <c r="FT277" s="466"/>
      <c r="FU277" s="466"/>
      <c r="FV277" s="466"/>
      <c r="FW277" s="466"/>
      <c r="FX277" s="466"/>
      <c r="FY277" s="466"/>
      <c r="FZ277" s="527"/>
      <c r="GA277" s="527"/>
      <c r="GB277" s="527"/>
      <c r="GC277" s="527"/>
      <c r="GD277" s="527"/>
      <c r="GE277" s="527"/>
      <c r="GF277" s="527"/>
      <c r="GG277" s="527"/>
      <c r="GH277" s="527"/>
      <c r="GI277" s="527"/>
      <c r="GJ277" s="527"/>
      <c r="GK277" s="527"/>
      <c r="GL277" s="527"/>
      <c r="GM277" s="527"/>
      <c r="GN277" s="527"/>
      <c r="GV277" s="527"/>
      <c r="GW277" s="527"/>
      <c r="GX277" s="527"/>
      <c r="GY277" s="527"/>
      <c r="GZ277" s="527"/>
      <c r="HA277" s="527"/>
      <c r="HB277" s="527"/>
      <c r="HC277" s="527"/>
      <c r="HD277" s="527"/>
      <c r="HE277" s="844"/>
      <c r="HF277" s="844"/>
      <c r="HG277" s="844"/>
      <c r="HH277" s="844"/>
      <c r="HI277" s="844"/>
      <c r="HJ277" s="844"/>
      <c r="HK277" s="844"/>
      <c r="HL277" s="844"/>
      <c r="HM277" s="844"/>
      <c r="HN277" s="844"/>
      <c r="HP277" s="466"/>
      <c r="HQ277" s="466"/>
      <c r="HR277" s="466"/>
      <c r="HS277" s="415"/>
      <c r="HT277" s="2292"/>
    </row>
    <row r="278" spans="3:228">
      <c r="C278" s="466"/>
      <c r="D278" s="466"/>
      <c r="E278" s="466"/>
      <c r="F278" s="466"/>
      <c r="G278" s="466"/>
      <c r="H278" s="466"/>
      <c r="I278" s="466"/>
      <c r="J278" s="466"/>
      <c r="K278" s="466"/>
      <c r="L278" s="466"/>
      <c r="M278" s="466"/>
      <c r="N278" s="466"/>
      <c r="O278" s="466"/>
      <c r="P278" s="510"/>
      <c r="Q278" s="510"/>
      <c r="R278" s="510"/>
      <c r="S278" s="510"/>
      <c r="T278" s="510"/>
      <c r="U278" s="510"/>
      <c r="V278" s="510"/>
      <c r="W278" s="510"/>
      <c r="X278" s="510"/>
      <c r="Y278" s="510"/>
      <c r="Z278" s="510"/>
      <c r="AA278" s="510"/>
      <c r="AB278" s="510"/>
      <c r="AC278" s="510"/>
      <c r="AD278" s="510"/>
      <c r="AE278" s="510"/>
      <c r="AF278" s="510"/>
      <c r="AG278" s="510"/>
      <c r="AH278" s="510"/>
      <c r="AI278" s="510"/>
      <c r="AJ278" s="510"/>
      <c r="AK278" s="510"/>
      <c r="AL278" s="510"/>
      <c r="AM278" s="510"/>
      <c r="AN278" s="510"/>
      <c r="AO278" s="510"/>
      <c r="AP278" s="510"/>
      <c r="AQ278" s="510"/>
      <c r="AR278" s="510"/>
      <c r="AS278" s="510"/>
      <c r="AT278" s="510"/>
      <c r="AU278" s="510"/>
      <c r="AV278" s="510"/>
      <c r="AW278" s="510"/>
      <c r="AX278" s="510"/>
      <c r="AY278" s="510"/>
      <c r="AZ278" s="466"/>
      <c r="BA278" s="466"/>
      <c r="BB278" s="466"/>
      <c r="BC278" s="466"/>
      <c r="BD278" s="466"/>
      <c r="BE278" s="466"/>
      <c r="BF278" s="466"/>
      <c r="BG278" s="466"/>
      <c r="BH278" s="466"/>
      <c r="BI278" s="466"/>
      <c r="BJ278" s="466"/>
      <c r="BK278" s="466"/>
      <c r="BL278" s="466"/>
      <c r="BM278" s="466"/>
      <c r="BN278" s="466"/>
      <c r="BO278" s="466"/>
      <c r="BP278" s="466"/>
      <c r="BQ278" s="466"/>
      <c r="BR278" s="466"/>
      <c r="BS278" s="466"/>
      <c r="BT278" s="466"/>
      <c r="BU278" s="466"/>
      <c r="BV278" s="466"/>
      <c r="BW278" s="466"/>
      <c r="BX278" s="466"/>
      <c r="BY278" s="466"/>
      <c r="BZ278" s="466"/>
      <c r="CA278" s="466"/>
      <c r="CB278" s="466"/>
      <c r="CC278" s="466"/>
      <c r="CD278" s="466"/>
      <c r="CE278" s="466"/>
      <c r="CF278" s="466"/>
      <c r="CG278" s="466"/>
      <c r="CH278" s="466"/>
      <c r="CI278" s="466"/>
      <c r="CJ278" s="466"/>
      <c r="CK278" s="466"/>
      <c r="CL278" s="466"/>
      <c r="CM278" s="466"/>
      <c r="CN278" s="466"/>
      <c r="CO278" s="466"/>
      <c r="CP278" s="466"/>
      <c r="CQ278" s="466"/>
      <c r="CR278" s="466"/>
      <c r="CS278" s="466"/>
      <c r="CT278" s="466"/>
      <c r="CU278" s="466"/>
      <c r="CV278" s="466"/>
      <c r="CW278" s="466"/>
      <c r="CX278" s="466"/>
      <c r="CY278" s="466"/>
      <c r="CZ278" s="466"/>
      <c r="DA278" s="466"/>
      <c r="DB278" s="466"/>
      <c r="DC278" s="466"/>
      <c r="DD278" s="466"/>
      <c r="DE278" s="466"/>
      <c r="DF278" s="466"/>
      <c r="DG278" s="466"/>
      <c r="FE278" s="527"/>
      <c r="FF278" s="466"/>
      <c r="FG278" s="466"/>
      <c r="FH278" s="466"/>
      <c r="FI278" s="466"/>
      <c r="FJ278" s="466"/>
      <c r="FK278" s="466"/>
      <c r="FL278" s="466"/>
      <c r="FM278" s="466"/>
      <c r="FN278" s="466"/>
      <c r="FO278" s="466"/>
      <c r="FP278" s="466"/>
      <c r="FQ278" s="466"/>
      <c r="FR278" s="466"/>
      <c r="FS278" s="466"/>
      <c r="FT278" s="466"/>
      <c r="FU278" s="466"/>
      <c r="FV278" s="466"/>
      <c r="FW278" s="466"/>
      <c r="FX278" s="466"/>
      <c r="FY278" s="466"/>
      <c r="FZ278" s="527"/>
      <c r="GA278" s="527"/>
      <c r="GB278" s="527"/>
      <c r="GC278" s="527"/>
      <c r="GD278" s="527"/>
      <c r="GE278" s="527"/>
      <c r="GF278" s="527"/>
      <c r="GG278" s="527"/>
      <c r="GH278" s="527"/>
      <c r="GI278" s="527"/>
      <c r="GJ278" s="527"/>
      <c r="GK278" s="527"/>
      <c r="GL278" s="527"/>
      <c r="GM278" s="527"/>
      <c r="GN278" s="527"/>
      <c r="GV278" s="527"/>
      <c r="GW278" s="527"/>
      <c r="GX278" s="527"/>
      <c r="GY278" s="527"/>
      <c r="GZ278" s="527"/>
      <c r="HA278" s="527"/>
      <c r="HB278" s="527"/>
      <c r="HC278" s="527"/>
      <c r="HD278" s="527"/>
      <c r="HE278" s="844"/>
      <c r="HF278" s="844"/>
      <c r="HG278" s="844"/>
      <c r="HH278" s="844"/>
      <c r="HI278" s="844"/>
      <c r="HJ278" s="844"/>
      <c r="HK278" s="844"/>
      <c r="HL278" s="844"/>
      <c r="HM278" s="844"/>
      <c r="HN278" s="844"/>
      <c r="HP278" s="466"/>
      <c r="HQ278" s="466"/>
      <c r="HR278" s="466"/>
      <c r="HS278" s="415"/>
      <c r="HT278" s="2292"/>
    </row>
    <row r="279" spans="3:228">
      <c r="C279" s="466"/>
      <c r="D279" s="466"/>
      <c r="E279" s="466"/>
      <c r="F279" s="466"/>
      <c r="G279" s="466"/>
      <c r="H279" s="466"/>
      <c r="I279" s="466"/>
      <c r="J279" s="466"/>
      <c r="K279" s="466"/>
      <c r="L279" s="466"/>
      <c r="M279" s="466"/>
      <c r="N279" s="466"/>
      <c r="O279" s="466"/>
      <c r="P279" s="510"/>
      <c r="Q279" s="510"/>
      <c r="R279" s="510"/>
      <c r="S279" s="510"/>
      <c r="T279" s="510"/>
      <c r="U279" s="510"/>
      <c r="V279" s="510"/>
      <c r="W279" s="510"/>
      <c r="X279" s="510"/>
      <c r="Y279" s="510"/>
      <c r="Z279" s="510"/>
      <c r="AA279" s="510"/>
      <c r="AB279" s="510"/>
      <c r="AC279" s="510"/>
      <c r="AD279" s="510"/>
      <c r="AE279" s="510"/>
      <c r="AF279" s="510"/>
      <c r="AG279" s="510"/>
      <c r="AH279" s="510"/>
      <c r="AI279" s="510"/>
      <c r="AJ279" s="510"/>
      <c r="AK279" s="510"/>
      <c r="AL279" s="510"/>
      <c r="AM279" s="510"/>
      <c r="AN279" s="510"/>
      <c r="AO279" s="510"/>
      <c r="AP279" s="510"/>
      <c r="AQ279" s="510"/>
      <c r="AR279" s="510"/>
      <c r="AS279" s="510"/>
      <c r="AT279" s="510"/>
      <c r="AU279" s="510"/>
      <c r="AV279" s="510"/>
      <c r="AW279" s="510"/>
      <c r="AX279" s="510"/>
      <c r="AY279" s="510"/>
      <c r="AZ279" s="466"/>
      <c r="BA279" s="466"/>
      <c r="BB279" s="466"/>
      <c r="BC279" s="466"/>
      <c r="BD279" s="466"/>
      <c r="BE279" s="466"/>
      <c r="BF279" s="466"/>
      <c r="BG279" s="466"/>
      <c r="BH279" s="466"/>
      <c r="BI279" s="466"/>
      <c r="BJ279" s="466"/>
      <c r="BK279" s="466"/>
      <c r="BL279" s="466"/>
      <c r="BM279" s="466"/>
      <c r="BN279" s="466"/>
      <c r="BO279" s="466"/>
      <c r="BP279" s="466"/>
      <c r="BQ279" s="466"/>
      <c r="BR279" s="466"/>
      <c r="BS279" s="466"/>
      <c r="BT279" s="466"/>
      <c r="BU279" s="466"/>
      <c r="BV279" s="466"/>
      <c r="BW279" s="466"/>
      <c r="BX279" s="466"/>
      <c r="BY279" s="466"/>
      <c r="BZ279" s="466"/>
      <c r="CA279" s="466"/>
      <c r="CB279" s="466"/>
      <c r="CC279" s="466"/>
      <c r="CD279" s="466"/>
      <c r="CE279" s="466"/>
      <c r="CF279" s="466"/>
      <c r="CG279" s="466"/>
      <c r="CH279" s="466"/>
      <c r="CI279" s="466"/>
      <c r="CJ279" s="466"/>
      <c r="CK279" s="466"/>
      <c r="CL279" s="466"/>
      <c r="CM279" s="466"/>
      <c r="CN279" s="466"/>
      <c r="CO279" s="466"/>
      <c r="CP279" s="466"/>
      <c r="CQ279" s="466"/>
      <c r="CR279" s="466"/>
      <c r="CS279" s="466"/>
      <c r="CT279" s="466"/>
      <c r="CU279" s="466"/>
      <c r="CV279" s="466"/>
      <c r="CW279" s="466"/>
      <c r="CX279" s="466"/>
      <c r="CY279" s="466"/>
      <c r="CZ279" s="466"/>
      <c r="DA279" s="466"/>
      <c r="DB279" s="466"/>
      <c r="DC279" s="466"/>
      <c r="DD279" s="466"/>
      <c r="DE279" s="466"/>
      <c r="DF279" s="466"/>
      <c r="DG279" s="466"/>
      <c r="FE279" s="527"/>
      <c r="FF279" s="466"/>
      <c r="FG279" s="466"/>
      <c r="FH279" s="466"/>
      <c r="FI279" s="466"/>
      <c r="FJ279" s="466"/>
      <c r="FK279" s="466"/>
      <c r="FL279" s="466"/>
      <c r="FM279" s="466"/>
      <c r="FN279" s="466"/>
      <c r="FO279" s="466"/>
      <c r="FP279" s="466"/>
      <c r="FQ279" s="466"/>
      <c r="FR279" s="466"/>
      <c r="FS279" s="466"/>
      <c r="FT279" s="466"/>
      <c r="FU279" s="466"/>
      <c r="FV279" s="466"/>
      <c r="FW279" s="466"/>
      <c r="FX279" s="466"/>
      <c r="FY279" s="466"/>
      <c r="FZ279" s="527"/>
      <c r="GA279" s="527"/>
      <c r="GB279" s="527"/>
      <c r="GC279" s="527"/>
      <c r="GD279" s="527"/>
      <c r="GE279" s="527"/>
      <c r="GF279" s="527"/>
      <c r="GG279" s="527"/>
      <c r="GH279" s="527"/>
      <c r="GI279" s="527"/>
      <c r="GJ279" s="527"/>
      <c r="GK279" s="527"/>
      <c r="GL279" s="527"/>
      <c r="GM279" s="527"/>
      <c r="GN279" s="527"/>
      <c r="GV279" s="527"/>
      <c r="GW279" s="527"/>
      <c r="GX279" s="527"/>
      <c r="GY279" s="527"/>
      <c r="GZ279" s="527"/>
      <c r="HA279" s="527"/>
      <c r="HB279" s="527"/>
      <c r="HC279" s="527"/>
      <c r="HD279" s="527"/>
      <c r="HE279" s="844"/>
      <c r="HF279" s="844"/>
      <c r="HG279" s="844"/>
      <c r="HH279" s="844"/>
      <c r="HI279" s="844"/>
      <c r="HJ279" s="844"/>
      <c r="HK279" s="844"/>
      <c r="HL279" s="844"/>
      <c r="HM279" s="844"/>
      <c r="HN279" s="844"/>
      <c r="HP279" s="466"/>
      <c r="HQ279" s="466"/>
      <c r="HR279" s="466"/>
      <c r="HS279" s="415"/>
      <c r="HT279" s="2292"/>
    </row>
    <row r="280" spans="3:228">
      <c r="C280" s="466"/>
      <c r="D280" s="466"/>
      <c r="E280" s="466"/>
      <c r="F280" s="466"/>
      <c r="G280" s="466"/>
      <c r="H280" s="466"/>
      <c r="I280" s="466"/>
      <c r="J280" s="466"/>
      <c r="K280" s="466"/>
      <c r="L280" s="466"/>
      <c r="M280" s="466"/>
      <c r="N280" s="466"/>
      <c r="O280" s="466"/>
      <c r="P280" s="510"/>
      <c r="Q280" s="510"/>
      <c r="R280" s="510"/>
      <c r="S280" s="510"/>
      <c r="T280" s="510"/>
      <c r="U280" s="510"/>
      <c r="V280" s="510"/>
      <c r="W280" s="510"/>
      <c r="X280" s="510"/>
      <c r="Y280" s="510"/>
      <c r="Z280" s="510"/>
      <c r="AA280" s="510"/>
      <c r="AB280" s="510"/>
      <c r="AC280" s="510"/>
      <c r="AD280" s="510"/>
      <c r="AE280" s="510"/>
      <c r="AF280" s="510"/>
      <c r="AG280" s="510"/>
      <c r="AH280" s="510"/>
      <c r="AI280" s="510"/>
      <c r="AJ280" s="510"/>
      <c r="AK280" s="510"/>
      <c r="AL280" s="510"/>
      <c r="AM280" s="510"/>
      <c r="AN280" s="510"/>
      <c r="AO280" s="510"/>
      <c r="AP280" s="510"/>
      <c r="AQ280" s="510"/>
      <c r="AR280" s="510"/>
      <c r="AS280" s="510"/>
      <c r="AT280" s="510"/>
      <c r="AU280" s="510"/>
      <c r="AV280" s="510"/>
      <c r="AW280" s="510"/>
      <c r="AX280" s="510"/>
      <c r="AY280" s="510"/>
      <c r="AZ280" s="466"/>
      <c r="BA280" s="466"/>
      <c r="BB280" s="466"/>
      <c r="BC280" s="466"/>
      <c r="BD280" s="466"/>
      <c r="BE280" s="466"/>
      <c r="BF280" s="466"/>
      <c r="BG280" s="466"/>
      <c r="BH280" s="466"/>
      <c r="BI280" s="466"/>
      <c r="BJ280" s="466"/>
      <c r="BK280" s="466"/>
      <c r="BL280" s="466"/>
      <c r="BM280" s="466"/>
      <c r="BN280" s="466"/>
      <c r="BO280" s="466"/>
      <c r="BP280" s="466"/>
      <c r="BQ280" s="466"/>
      <c r="BR280" s="466"/>
      <c r="BS280" s="466"/>
      <c r="BT280" s="466"/>
      <c r="BU280" s="466"/>
      <c r="BV280" s="466"/>
      <c r="BW280" s="466"/>
      <c r="BX280" s="466"/>
      <c r="BY280" s="466"/>
      <c r="BZ280" s="466"/>
      <c r="CA280" s="466"/>
      <c r="CB280" s="466"/>
      <c r="CC280" s="466"/>
      <c r="CD280" s="466"/>
      <c r="CE280" s="466"/>
      <c r="CF280" s="466"/>
      <c r="CG280" s="466"/>
      <c r="CH280" s="466"/>
      <c r="CI280" s="466"/>
      <c r="CJ280" s="466"/>
      <c r="CK280" s="466"/>
      <c r="CL280" s="466"/>
      <c r="CM280" s="466"/>
      <c r="CN280" s="466"/>
      <c r="CO280" s="466"/>
      <c r="CP280" s="466"/>
      <c r="CQ280" s="466"/>
      <c r="CR280" s="466"/>
      <c r="CS280" s="466"/>
      <c r="CT280" s="466"/>
      <c r="CU280" s="466"/>
      <c r="CV280" s="466"/>
      <c r="CW280" s="466"/>
      <c r="CX280" s="466"/>
      <c r="CY280" s="466"/>
      <c r="CZ280" s="466"/>
      <c r="DA280" s="466"/>
      <c r="DB280" s="466"/>
      <c r="DC280" s="466"/>
      <c r="DD280" s="466"/>
      <c r="DE280" s="466"/>
      <c r="DF280" s="466"/>
      <c r="DG280" s="466"/>
      <c r="FE280" s="527"/>
      <c r="FF280" s="466"/>
      <c r="FG280" s="466"/>
      <c r="FH280" s="466"/>
      <c r="FI280" s="466"/>
      <c r="FJ280" s="466"/>
      <c r="FK280" s="466"/>
      <c r="FL280" s="466"/>
      <c r="FM280" s="466"/>
      <c r="FN280" s="466"/>
      <c r="FO280" s="466"/>
      <c r="FP280" s="466"/>
      <c r="FQ280" s="466"/>
      <c r="FR280" s="466"/>
      <c r="FS280" s="466"/>
      <c r="FT280" s="466"/>
      <c r="FU280" s="466"/>
      <c r="FV280" s="466"/>
      <c r="FW280" s="466"/>
      <c r="FX280" s="466"/>
      <c r="FY280" s="466"/>
      <c r="FZ280" s="527"/>
      <c r="GA280" s="527"/>
      <c r="GB280" s="527"/>
      <c r="GC280" s="527"/>
      <c r="GD280" s="527"/>
      <c r="GE280" s="527"/>
      <c r="GF280" s="527"/>
      <c r="GG280" s="527"/>
      <c r="GH280" s="527"/>
      <c r="GI280" s="527"/>
      <c r="GJ280" s="527"/>
      <c r="GK280" s="527"/>
      <c r="GL280" s="527"/>
      <c r="GM280" s="527"/>
      <c r="GN280" s="527"/>
      <c r="GV280" s="527"/>
      <c r="GW280" s="527"/>
      <c r="GX280" s="527"/>
      <c r="GY280" s="527"/>
      <c r="GZ280" s="527"/>
      <c r="HA280" s="527"/>
      <c r="HB280" s="527"/>
      <c r="HC280" s="527"/>
      <c r="HD280" s="527"/>
      <c r="HE280" s="844"/>
      <c r="HF280" s="844"/>
      <c r="HG280" s="844"/>
      <c r="HH280" s="844"/>
      <c r="HI280" s="844"/>
      <c r="HJ280" s="844"/>
      <c r="HK280" s="844"/>
      <c r="HL280" s="844"/>
      <c r="HM280" s="844"/>
      <c r="HN280" s="844"/>
      <c r="HP280" s="466"/>
      <c r="HQ280" s="466"/>
      <c r="HR280" s="466"/>
      <c r="HS280" s="415"/>
      <c r="HT280" s="2292"/>
    </row>
    <row r="281" spans="3:228">
      <c r="C281" s="466"/>
      <c r="D281" s="466"/>
      <c r="E281" s="466"/>
      <c r="F281" s="466"/>
      <c r="G281" s="466"/>
      <c r="H281" s="466"/>
      <c r="I281" s="466"/>
      <c r="J281" s="466"/>
      <c r="K281" s="466"/>
      <c r="L281" s="466"/>
      <c r="M281" s="466"/>
      <c r="N281" s="466"/>
      <c r="O281" s="466"/>
      <c r="P281" s="510"/>
      <c r="Q281" s="510"/>
      <c r="R281" s="510"/>
      <c r="S281" s="510"/>
      <c r="T281" s="510"/>
      <c r="U281" s="510"/>
      <c r="V281" s="510"/>
      <c r="W281" s="510"/>
      <c r="X281" s="510"/>
      <c r="Y281" s="510"/>
      <c r="Z281" s="510"/>
      <c r="AA281" s="510"/>
      <c r="AB281" s="510"/>
      <c r="AC281" s="510"/>
      <c r="AD281" s="510"/>
      <c r="AE281" s="510"/>
      <c r="AF281" s="510"/>
      <c r="AG281" s="510"/>
      <c r="AH281" s="510"/>
      <c r="AI281" s="510"/>
      <c r="AJ281" s="510"/>
      <c r="AK281" s="510"/>
      <c r="AL281" s="510"/>
      <c r="AM281" s="510"/>
      <c r="AN281" s="510"/>
      <c r="AO281" s="510"/>
      <c r="AP281" s="510"/>
      <c r="AQ281" s="510"/>
      <c r="AR281" s="510"/>
      <c r="AS281" s="510"/>
      <c r="AT281" s="510"/>
      <c r="AU281" s="510"/>
      <c r="AV281" s="510"/>
      <c r="AW281" s="510"/>
      <c r="AX281" s="510"/>
      <c r="AY281" s="510"/>
      <c r="AZ281" s="466"/>
      <c r="BA281" s="466"/>
      <c r="BB281" s="466"/>
      <c r="BC281" s="466"/>
      <c r="BD281" s="466"/>
      <c r="BE281" s="466"/>
      <c r="BF281" s="466"/>
      <c r="BG281" s="466"/>
      <c r="BH281" s="466"/>
      <c r="BI281" s="466"/>
      <c r="BJ281" s="466"/>
      <c r="BK281" s="466"/>
      <c r="BL281" s="466"/>
      <c r="BM281" s="466"/>
      <c r="BN281" s="466"/>
      <c r="BO281" s="466"/>
      <c r="BP281" s="466"/>
      <c r="BQ281" s="466"/>
      <c r="BR281" s="466"/>
      <c r="BS281" s="466"/>
      <c r="BT281" s="466"/>
      <c r="BU281" s="466"/>
      <c r="BV281" s="466"/>
      <c r="BW281" s="466"/>
      <c r="BX281" s="466"/>
      <c r="BY281" s="466"/>
      <c r="BZ281" s="466"/>
      <c r="CA281" s="466"/>
      <c r="CB281" s="466"/>
      <c r="CC281" s="466"/>
      <c r="CD281" s="466"/>
      <c r="CE281" s="466"/>
      <c r="CF281" s="466"/>
      <c r="CG281" s="466"/>
      <c r="CH281" s="466"/>
      <c r="CI281" s="466"/>
      <c r="CJ281" s="466"/>
      <c r="CK281" s="466"/>
      <c r="CL281" s="466"/>
      <c r="CM281" s="466"/>
      <c r="CN281" s="466"/>
      <c r="CO281" s="466"/>
      <c r="CP281" s="466"/>
      <c r="CQ281" s="466"/>
      <c r="CR281" s="466"/>
      <c r="CS281" s="466"/>
      <c r="CT281" s="466"/>
      <c r="CU281" s="466"/>
      <c r="CV281" s="466"/>
      <c r="CW281" s="466"/>
      <c r="CX281" s="466"/>
      <c r="CY281" s="466"/>
      <c r="CZ281" s="466"/>
      <c r="DA281" s="466"/>
      <c r="DB281" s="466"/>
      <c r="DC281" s="466"/>
      <c r="DD281" s="466"/>
      <c r="DE281" s="466"/>
      <c r="DF281" s="466"/>
      <c r="DG281" s="466"/>
      <c r="FE281" s="527"/>
      <c r="FF281" s="466"/>
      <c r="FG281" s="466"/>
      <c r="FH281" s="466"/>
      <c r="FI281" s="466"/>
      <c r="FJ281" s="466"/>
      <c r="FK281" s="466"/>
      <c r="FL281" s="466"/>
      <c r="FM281" s="466"/>
      <c r="FN281" s="466"/>
      <c r="FO281" s="466"/>
      <c r="FP281" s="466"/>
      <c r="FQ281" s="466"/>
      <c r="FR281" s="466"/>
      <c r="FS281" s="466"/>
      <c r="FT281" s="466"/>
      <c r="FU281" s="466"/>
      <c r="FV281" s="466"/>
      <c r="FW281" s="466"/>
      <c r="FX281" s="466"/>
      <c r="FY281" s="466"/>
      <c r="FZ281" s="527"/>
      <c r="GA281" s="527"/>
      <c r="GB281" s="527"/>
      <c r="GC281" s="527"/>
      <c r="GD281" s="527"/>
      <c r="GE281" s="527"/>
      <c r="GF281" s="527"/>
      <c r="GG281" s="527"/>
      <c r="GH281" s="527"/>
      <c r="GI281" s="527"/>
      <c r="GJ281" s="527"/>
      <c r="GK281" s="527"/>
      <c r="GL281" s="527"/>
      <c r="GM281" s="527"/>
      <c r="GN281" s="527"/>
      <c r="GV281" s="527"/>
      <c r="GW281" s="527"/>
      <c r="GX281" s="527"/>
      <c r="GY281" s="527"/>
      <c r="GZ281" s="527"/>
      <c r="HA281" s="527"/>
      <c r="HB281" s="527"/>
      <c r="HC281" s="527"/>
      <c r="HD281" s="527"/>
      <c r="HE281" s="844"/>
      <c r="HF281" s="844"/>
      <c r="HG281" s="844"/>
      <c r="HH281" s="844"/>
      <c r="HI281" s="844"/>
      <c r="HJ281" s="844"/>
      <c r="HK281" s="844"/>
      <c r="HL281" s="844"/>
      <c r="HM281" s="844"/>
      <c r="HN281" s="844"/>
      <c r="HP281" s="466"/>
      <c r="HQ281" s="466"/>
      <c r="HR281" s="466"/>
      <c r="HS281" s="415"/>
      <c r="HT281" s="2292"/>
    </row>
    <row r="282" spans="3:228">
      <c r="C282" s="466"/>
      <c r="D282" s="466"/>
      <c r="E282" s="466"/>
      <c r="F282" s="466"/>
      <c r="G282" s="466"/>
      <c r="H282" s="466"/>
      <c r="I282" s="466"/>
      <c r="J282" s="466"/>
      <c r="K282" s="466"/>
      <c r="L282" s="466"/>
      <c r="M282" s="466"/>
      <c r="N282" s="466"/>
      <c r="O282" s="466"/>
      <c r="P282" s="510"/>
      <c r="Q282" s="510"/>
      <c r="R282" s="510"/>
      <c r="S282" s="510"/>
      <c r="T282" s="510"/>
      <c r="U282" s="510"/>
      <c r="V282" s="510"/>
      <c r="W282" s="510"/>
      <c r="X282" s="510"/>
      <c r="Y282" s="510"/>
      <c r="Z282" s="510"/>
      <c r="AA282" s="510"/>
      <c r="AB282" s="510"/>
      <c r="AC282" s="510"/>
      <c r="AD282" s="510"/>
      <c r="AE282" s="510"/>
      <c r="AF282" s="510"/>
      <c r="AG282" s="510"/>
      <c r="AH282" s="510"/>
      <c r="AI282" s="510"/>
      <c r="AJ282" s="510"/>
      <c r="AK282" s="510"/>
      <c r="AL282" s="510"/>
      <c r="AM282" s="510"/>
      <c r="AN282" s="510"/>
      <c r="AO282" s="510"/>
      <c r="AP282" s="510"/>
      <c r="AQ282" s="510"/>
      <c r="AR282" s="510"/>
      <c r="AS282" s="510"/>
      <c r="AT282" s="510"/>
      <c r="AU282" s="510"/>
      <c r="AV282" s="510"/>
      <c r="AW282" s="510"/>
      <c r="AX282" s="510"/>
      <c r="AY282" s="510"/>
      <c r="AZ282" s="466"/>
      <c r="BA282" s="466"/>
      <c r="BB282" s="466"/>
      <c r="BC282" s="466"/>
      <c r="BD282" s="466"/>
      <c r="BE282" s="466"/>
      <c r="BF282" s="466"/>
      <c r="BG282" s="466"/>
      <c r="BH282" s="466"/>
      <c r="BI282" s="466"/>
      <c r="BJ282" s="466"/>
      <c r="BK282" s="466"/>
      <c r="BL282" s="466"/>
      <c r="BM282" s="466"/>
      <c r="BN282" s="466"/>
      <c r="BO282" s="466"/>
      <c r="BP282" s="466"/>
      <c r="BQ282" s="466"/>
      <c r="BR282" s="466"/>
      <c r="BS282" s="466"/>
      <c r="BT282" s="466"/>
      <c r="BU282" s="466"/>
      <c r="BV282" s="466"/>
      <c r="BW282" s="466"/>
      <c r="BX282" s="466"/>
      <c r="BY282" s="466"/>
      <c r="BZ282" s="466"/>
      <c r="CA282" s="466"/>
      <c r="CB282" s="466"/>
      <c r="CC282" s="466"/>
      <c r="CD282" s="466"/>
      <c r="CE282" s="466"/>
      <c r="CF282" s="466"/>
      <c r="CG282" s="466"/>
      <c r="CH282" s="466"/>
      <c r="CI282" s="466"/>
      <c r="CJ282" s="466"/>
      <c r="CK282" s="466"/>
      <c r="CL282" s="466"/>
      <c r="CM282" s="466"/>
      <c r="CN282" s="466"/>
      <c r="CO282" s="466"/>
      <c r="CP282" s="466"/>
      <c r="CQ282" s="466"/>
      <c r="CR282" s="466"/>
      <c r="CS282" s="466"/>
      <c r="CT282" s="466"/>
      <c r="CU282" s="466"/>
      <c r="CV282" s="466"/>
      <c r="CW282" s="466"/>
      <c r="CX282" s="466"/>
      <c r="CY282" s="466"/>
      <c r="CZ282" s="466"/>
      <c r="DA282" s="466"/>
      <c r="DB282" s="466"/>
      <c r="DC282" s="466"/>
      <c r="DD282" s="466"/>
      <c r="DE282" s="466"/>
      <c r="DF282" s="466"/>
      <c r="DG282" s="466"/>
      <c r="FE282" s="527"/>
      <c r="FF282" s="466"/>
      <c r="FG282" s="466"/>
      <c r="FH282" s="466"/>
      <c r="FI282" s="466"/>
      <c r="FJ282" s="466"/>
      <c r="FK282" s="466"/>
      <c r="FL282" s="466"/>
      <c r="FM282" s="466"/>
      <c r="FN282" s="466"/>
      <c r="FO282" s="466"/>
      <c r="FP282" s="466"/>
      <c r="FQ282" s="466"/>
      <c r="FR282" s="466"/>
      <c r="FS282" s="466"/>
      <c r="FT282" s="466"/>
      <c r="FU282" s="466"/>
      <c r="FV282" s="466"/>
      <c r="FW282" s="466"/>
      <c r="FX282" s="466"/>
      <c r="FY282" s="466"/>
      <c r="FZ282" s="527"/>
      <c r="GA282" s="527"/>
      <c r="GB282" s="527"/>
      <c r="GC282" s="527"/>
      <c r="GD282" s="527"/>
      <c r="GE282" s="527"/>
      <c r="GF282" s="527"/>
      <c r="GG282" s="527"/>
      <c r="GH282" s="527"/>
      <c r="GI282" s="527"/>
      <c r="GJ282" s="527"/>
      <c r="GK282" s="527"/>
      <c r="GL282" s="527"/>
      <c r="GM282" s="527"/>
      <c r="GN282" s="527"/>
      <c r="GV282" s="527"/>
      <c r="GW282" s="527"/>
      <c r="GX282" s="527"/>
      <c r="GY282" s="527"/>
      <c r="GZ282" s="527"/>
      <c r="HA282" s="527"/>
      <c r="HB282" s="527"/>
      <c r="HC282" s="527"/>
      <c r="HD282" s="527"/>
      <c r="HE282" s="844"/>
      <c r="HF282" s="844"/>
      <c r="HG282" s="844"/>
      <c r="HH282" s="844"/>
      <c r="HI282" s="844"/>
      <c r="HJ282" s="844"/>
      <c r="HK282" s="844"/>
      <c r="HL282" s="844"/>
      <c r="HM282" s="844"/>
      <c r="HN282" s="844"/>
      <c r="HP282" s="466"/>
      <c r="HQ282" s="466"/>
      <c r="HR282" s="466"/>
      <c r="HS282" s="415"/>
      <c r="HT282" s="2292"/>
    </row>
    <row r="283" spans="3:228">
      <c r="C283" s="466"/>
      <c r="D283" s="466"/>
      <c r="E283" s="466"/>
      <c r="F283" s="466"/>
      <c r="G283" s="466"/>
      <c r="H283" s="466"/>
      <c r="I283" s="466"/>
      <c r="J283" s="466"/>
      <c r="K283" s="466"/>
      <c r="L283" s="466"/>
      <c r="M283" s="466"/>
      <c r="N283" s="466"/>
      <c r="O283" s="466"/>
      <c r="P283" s="510"/>
      <c r="Q283" s="510"/>
      <c r="R283" s="510"/>
      <c r="S283" s="510"/>
      <c r="T283" s="510"/>
      <c r="U283" s="510"/>
      <c r="V283" s="510"/>
      <c r="W283" s="510"/>
      <c r="X283" s="510"/>
      <c r="Y283" s="510"/>
      <c r="Z283" s="510"/>
      <c r="AA283" s="510"/>
      <c r="AB283" s="510"/>
      <c r="AC283" s="510"/>
      <c r="AD283" s="510"/>
      <c r="AE283" s="510"/>
      <c r="AF283" s="510"/>
      <c r="AG283" s="510"/>
      <c r="AH283" s="510"/>
      <c r="AI283" s="510"/>
      <c r="AJ283" s="510"/>
      <c r="AK283" s="510"/>
      <c r="AL283" s="510"/>
      <c r="AM283" s="510"/>
      <c r="AN283" s="510"/>
      <c r="AO283" s="510"/>
      <c r="AP283" s="510"/>
      <c r="AQ283" s="510"/>
      <c r="AR283" s="510"/>
      <c r="AS283" s="510"/>
      <c r="AT283" s="510"/>
      <c r="AU283" s="510"/>
      <c r="AV283" s="510"/>
      <c r="AW283" s="510"/>
      <c r="AX283" s="510"/>
      <c r="AY283" s="510"/>
      <c r="AZ283" s="466"/>
      <c r="BA283" s="466"/>
      <c r="BB283" s="466"/>
      <c r="BC283" s="466"/>
      <c r="BD283" s="466"/>
      <c r="BE283" s="466"/>
      <c r="BF283" s="466"/>
      <c r="BG283" s="466"/>
      <c r="BH283" s="466"/>
      <c r="BI283" s="466"/>
      <c r="BJ283" s="466"/>
      <c r="BK283" s="466"/>
      <c r="BL283" s="466"/>
      <c r="BM283" s="466"/>
      <c r="BN283" s="466"/>
      <c r="BO283" s="466"/>
      <c r="BP283" s="466"/>
      <c r="BQ283" s="466"/>
      <c r="BR283" s="466"/>
      <c r="BS283" s="466"/>
      <c r="BT283" s="466"/>
      <c r="BU283" s="466"/>
      <c r="BV283" s="466"/>
      <c r="BW283" s="466"/>
      <c r="BX283" s="466"/>
      <c r="BY283" s="466"/>
      <c r="BZ283" s="466"/>
      <c r="CA283" s="466"/>
      <c r="CB283" s="466"/>
      <c r="CC283" s="466"/>
      <c r="CD283" s="466"/>
      <c r="CE283" s="466"/>
      <c r="CF283" s="466"/>
      <c r="CG283" s="466"/>
      <c r="CH283" s="466"/>
      <c r="CI283" s="466"/>
      <c r="CJ283" s="466"/>
      <c r="CK283" s="466"/>
      <c r="CL283" s="466"/>
      <c r="CM283" s="466"/>
      <c r="CN283" s="466"/>
      <c r="CO283" s="466"/>
      <c r="CP283" s="466"/>
      <c r="CQ283" s="466"/>
      <c r="CR283" s="466"/>
      <c r="CS283" s="466"/>
      <c r="CT283" s="466"/>
      <c r="CU283" s="466"/>
      <c r="CV283" s="466"/>
      <c r="CW283" s="466"/>
      <c r="CX283" s="466"/>
      <c r="CY283" s="466"/>
      <c r="CZ283" s="466"/>
      <c r="DA283" s="466"/>
      <c r="DB283" s="466"/>
      <c r="DC283" s="466"/>
      <c r="DD283" s="466"/>
      <c r="DE283" s="466"/>
      <c r="DF283" s="466"/>
      <c r="DG283" s="466"/>
      <c r="FE283" s="527"/>
      <c r="FF283" s="466"/>
      <c r="FG283" s="466"/>
      <c r="FH283" s="466"/>
      <c r="FI283" s="466"/>
      <c r="FJ283" s="466"/>
      <c r="FK283" s="466"/>
      <c r="FL283" s="466"/>
      <c r="FM283" s="466"/>
      <c r="FN283" s="466"/>
      <c r="FO283" s="466"/>
      <c r="FP283" s="466"/>
      <c r="FQ283" s="466"/>
      <c r="FR283" s="466"/>
      <c r="FS283" s="466"/>
      <c r="FT283" s="466"/>
      <c r="FU283" s="466"/>
      <c r="FV283" s="466"/>
      <c r="FW283" s="466"/>
      <c r="FX283" s="466"/>
      <c r="FY283" s="466"/>
      <c r="FZ283" s="527"/>
      <c r="GA283" s="527"/>
      <c r="GB283" s="527"/>
      <c r="GC283" s="527"/>
      <c r="GD283" s="527"/>
      <c r="GE283" s="527"/>
      <c r="GF283" s="527"/>
      <c r="GG283" s="527"/>
      <c r="GH283" s="527"/>
      <c r="GI283" s="527"/>
      <c r="GJ283" s="527"/>
      <c r="GK283" s="527"/>
      <c r="GL283" s="527"/>
      <c r="GM283" s="527"/>
      <c r="GN283" s="527"/>
      <c r="GV283" s="527"/>
      <c r="GW283" s="527"/>
      <c r="GX283" s="527"/>
      <c r="GY283" s="527"/>
      <c r="GZ283" s="527"/>
      <c r="HA283" s="527"/>
      <c r="HB283" s="527"/>
      <c r="HC283" s="527"/>
      <c r="HD283" s="527"/>
      <c r="HE283" s="844"/>
      <c r="HF283" s="844"/>
      <c r="HG283" s="844"/>
      <c r="HH283" s="844"/>
      <c r="HI283" s="844"/>
      <c r="HJ283" s="844"/>
      <c r="HK283" s="844"/>
      <c r="HL283" s="844"/>
      <c r="HM283" s="844"/>
      <c r="HN283" s="844"/>
      <c r="HP283" s="466"/>
      <c r="HQ283" s="466"/>
      <c r="HR283" s="466"/>
      <c r="HS283" s="415"/>
      <c r="HT283" s="2292"/>
    </row>
    <row r="284" spans="3:228">
      <c r="C284" s="466"/>
      <c r="D284" s="466"/>
      <c r="E284" s="466"/>
      <c r="F284" s="466"/>
      <c r="G284" s="466"/>
      <c r="H284" s="466"/>
      <c r="I284" s="466"/>
      <c r="J284" s="466"/>
      <c r="K284" s="466"/>
      <c r="L284" s="466"/>
      <c r="M284" s="466"/>
      <c r="N284" s="466"/>
      <c r="O284" s="466"/>
      <c r="P284" s="510"/>
      <c r="Q284" s="510"/>
      <c r="R284" s="510"/>
      <c r="S284" s="510"/>
      <c r="T284" s="510"/>
      <c r="U284" s="510"/>
      <c r="V284" s="510"/>
      <c r="W284" s="510"/>
      <c r="X284" s="510"/>
      <c r="Y284" s="510"/>
      <c r="Z284" s="510"/>
      <c r="AA284" s="510"/>
      <c r="AB284" s="510"/>
      <c r="AC284" s="510"/>
      <c r="AD284" s="510"/>
      <c r="AE284" s="510"/>
      <c r="AF284" s="510"/>
      <c r="AG284" s="510"/>
      <c r="AH284" s="510"/>
      <c r="AI284" s="510"/>
      <c r="AJ284" s="510"/>
      <c r="AK284" s="510"/>
      <c r="AL284" s="510"/>
      <c r="AM284" s="510"/>
      <c r="AN284" s="510"/>
      <c r="AO284" s="510"/>
      <c r="AP284" s="510"/>
      <c r="AQ284" s="510"/>
      <c r="AR284" s="510"/>
      <c r="AS284" s="510"/>
      <c r="AT284" s="510"/>
      <c r="AU284" s="510"/>
      <c r="AV284" s="510"/>
      <c r="AW284" s="510"/>
      <c r="AX284" s="510"/>
      <c r="AY284" s="510"/>
      <c r="AZ284" s="466"/>
      <c r="BA284" s="466"/>
      <c r="BB284" s="466"/>
      <c r="BC284" s="466"/>
      <c r="BD284" s="466"/>
      <c r="BE284" s="466"/>
      <c r="BF284" s="466"/>
      <c r="BG284" s="466"/>
      <c r="BH284" s="466"/>
      <c r="BI284" s="466"/>
      <c r="BJ284" s="466"/>
      <c r="BK284" s="466"/>
      <c r="BL284" s="466"/>
      <c r="BM284" s="466"/>
      <c r="BN284" s="466"/>
      <c r="BO284" s="466"/>
      <c r="BP284" s="466"/>
      <c r="BQ284" s="466"/>
      <c r="BR284" s="466"/>
      <c r="BS284" s="466"/>
      <c r="BT284" s="466"/>
      <c r="BU284" s="466"/>
      <c r="BV284" s="466"/>
      <c r="BW284" s="466"/>
      <c r="BX284" s="466"/>
      <c r="BY284" s="466"/>
      <c r="BZ284" s="466"/>
      <c r="CA284" s="466"/>
      <c r="CB284" s="466"/>
      <c r="CC284" s="466"/>
      <c r="CD284" s="466"/>
      <c r="CE284" s="466"/>
      <c r="CF284" s="466"/>
      <c r="CG284" s="466"/>
      <c r="CH284" s="466"/>
      <c r="CI284" s="466"/>
      <c r="CJ284" s="466"/>
      <c r="CK284" s="466"/>
      <c r="CL284" s="466"/>
      <c r="CM284" s="466"/>
      <c r="CN284" s="466"/>
      <c r="CO284" s="466"/>
      <c r="CP284" s="466"/>
      <c r="CQ284" s="466"/>
      <c r="CR284" s="466"/>
      <c r="CS284" s="466"/>
      <c r="CT284" s="466"/>
      <c r="CU284" s="466"/>
      <c r="CV284" s="466"/>
      <c r="CW284" s="466"/>
      <c r="CX284" s="466"/>
      <c r="CY284" s="466"/>
      <c r="CZ284" s="466"/>
      <c r="DA284" s="466"/>
      <c r="DB284" s="466"/>
      <c r="DC284" s="466"/>
      <c r="DD284" s="466"/>
      <c r="DE284" s="466"/>
      <c r="DF284" s="466"/>
      <c r="DG284" s="466"/>
      <c r="FE284" s="527"/>
      <c r="FF284" s="466"/>
      <c r="FG284" s="466"/>
      <c r="FH284" s="466"/>
      <c r="FI284" s="466"/>
      <c r="FJ284" s="466"/>
      <c r="FK284" s="466"/>
      <c r="FL284" s="466"/>
      <c r="FM284" s="466"/>
      <c r="FN284" s="466"/>
      <c r="FO284" s="466"/>
      <c r="FP284" s="466"/>
      <c r="FQ284" s="466"/>
      <c r="FR284" s="466"/>
      <c r="FS284" s="466"/>
      <c r="FT284" s="466"/>
      <c r="FU284" s="466"/>
      <c r="FV284" s="466"/>
      <c r="FW284" s="466"/>
      <c r="FX284" s="466"/>
      <c r="FY284" s="466"/>
      <c r="FZ284" s="527"/>
      <c r="GA284" s="527"/>
      <c r="GB284" s="527"/>
      <c r="GC284" s="527"/>
      <c r="GD284" s="527"/>
      <c r="GE284" s="527"/>
      <c r="GF284" s="527"/>
      <c r="GG284" s="527"/>
      <c r="GH284" s="527"/>
      <c r="GI284" s="527"/>
      <c r="GJ284" s="527"/>
      <c r="GK284" s="527"/>
      <c r="GL284" s="527"/>
      <c r="GM284" s="527"/>
      <c r="GN284" s="527"/>
      <c r="GV284" s="527"/>
      <c r="GW284" s="527"/>
      <c r="GX284" s="527"/>
      <c r="GY284" s="527"/>
      <c r="GZ284" s="527"/>
      <c r="HA284" s="527"/>
      <c r="HB284" s="527"/>
      <c r="HC284" s="527"/>
      <c r="HD284" s="527"/>
      <c r="HE284" s="844"/>
      <c r="HF284" s="844"/>
      <c r="HG284" s="844"/>
      <c r="HH284" s="844"/>
      <c r="HI284" s="844"/>
      <c r="HJ284" s="844"/>
      <c r="HK284" s="844"/>
      <c r="HL284" s="844"/>
      <c r="HM284" s="844"/>
      <c r="HN284" s="844"/>
      <c r="HP284" s="466"/>
      <c r="HQ284" s="466"/>
      <c r="HR284" s="466"/>
      <c r="HS284" s="415"/>
      <c r="HT284" s="2292"/>
    </row>
    <row r="285" spans="3:228">
      <c r="C285" s="466"/>
      <c r="D285" s="466"/>
      <c r="E285" s="466"/>
      <c r="F285" s="466"/>
      <c r="G285" s="466"/>
      <c r="H285" s="466"/>
      <c r="I285" s="466"/>
      <c r="J285" s="466"/>
      <c r="K285" s="466"/>
      <c r="L285" s="466"/>
      <c r="M285" s="466"/>
      <c r="N285" s="466"/>
      <c r="O285" s="466"/>
      <c r="P285" s="510"/>
      <c r="Q285" s="510"/>
      <c r="R285" s="510"/>
      <c r="S285" s="510"/>
      <c r="T285" s="510"/>
      <c r="U285" s="510"/>
      <c r="V285" s="510"/>
      <c r="W285" s="510"/>
      <c r="X285" s="510"/>
      <c r="Y285" s="510"/>
      <c r="Z285" s="510"/>
      <c r="AA285" s="510"/>
      <c r="AB285" s="510"/>
      <c r="AC285" s="510"/>
      <c r="AD285" s="510"/>
      <c r="AE285" s="510"/>
      <c r="AF285" s="510"/>
      <c r="AG285" s="510"/>
      <c r="AH285" s="510"/>
      <c r="AI285" s="510"/>
      <c r="AJ285" s="510"/>
      <c r="AK285" s="510"/>
      <c r="AL285" s="510"/>
      <c r="AM285" s="510"/>
      <c r="AN285" s="510"/>
      <c r="AO285" s="510"/>
      <c r="AP285" s="510"/>
      <c r="AQ285" s="510"/>
      <c r="AR285" s="510"/>
      <c r="AS285" s="510"/>
      <c r="AT285" s="510"/>
      <c r="AU285" s="510"/>
      <c r="AV285" s="510"/>
      <c r="AW285" s="510"/>
      <c r="AX285" s="510"/>
      <c r="AY285" s="510"/>
      <c r="AZ285" s="466"/>
      <c r="BA285" s="466"/>
      <c r="BB285" s="466"/>
      <c r="BC285" s="466"/>
      <c r="BD285" s="466"/>
      <c r="BE285" s="466"/>
      <c r="BF285" s="466"/>
      <c r="BG285" s="466"/>
      <c r="BH285" s="466"/>
      <c r="BI285" s="466"/>
      <c r="BJ285" s="466"/>
      <c r="BK285" s="466"/>
      <c r="BL285" s="466"/>
      <c r="BM285" s="466"/>
      <c r="BN285" s="466"/>
      <c r="BO285" s="466"/>
      <c r="BP285" s="466"/>
      <c r="BQ285" s="466"/>
      <c r="BR285" s="466"/>
      <c r="BS285" s="466"/>
      <c r="BT285" s="466"/>
      <c r="BU285" s="466"/>
      <c r="BV285" s="466"/>
      <c r="BW285" s="466"/>
      <c r="BX285" s="466"/>
      <c r="BY285" s="466"/>
      <c r="BZ285" s="466"/>
      <c r="CA285" s="466"/>
      <c r="CB285" s="466"/>
      <c r="CC285" s="466"/>
      <c r="CD285" s="466"/>
      <c r="CE285" s="466"/>
      <c r="CF285" s="466"/>
      <c r="CG285" s="466"/>
      <c r="CH285" s="466"/>
      <c r="CI285" s="466"/>
      <c r="CJ285" s="466"/>
      <c r="CK285" s="466"/>
      <c r="CL285" s="466"/>
      <c r="CM285" s="466"/>
      <c r="CN285" s="466"/>
      <c r="CO285" s="466"/>
      <c r="CP285" s="466"/>
      <c r="CQ285" s="466"/>
      <c r="CR285" s="466"/>
      <c r="CS285" s="466"/>
      <c r="CT285" s="466"/>
      <c r="CU285" s="466"/>
      <c r="CV285" s="466"/>
      <c r="CW285" s="466"/>
      <c r="CX285" s="466"/>
      <c r="CY285" s="466"/>
      <c r="CZ285" s="466"/>
      <c r="DA285" s="466"/>
      <c r="DB285" s="466"/>
      <c r="DC285" s="466"/>
      <c r="DD285" s="466"/>
      <c r="DE285" s="466"/>
      <c r="DF285" s="466"/>
      <c r="DG285" s="466"/>
      <c r="FE285" s="527"/>
      <c r="FF285" s="466"/>
      <c r="FG285" s="466"/>
      <c r="FH285" s="466"/>
      <c r="FI285" s="466"/>
      <c r="FJ285" s="466"/>
      <c r="FK285" s="466"/>
      <c r="FL285" s="466"/>
      <c r="FM285" s="466"/>
      <c r="FN285" s="466"/>
      <c r="FO285" s="466"/>
      <c r="FP285" s="466"/>
      <c r="FQ285" s="466"/>
      <c r="FR285" s="466"/>
      <c r="FS285" s="466"/>
      <c r="FT285" s="466"/>
      <c r="FU285" s="466"/>
      <c r="FV285" s="466"/>
      <c r="FW285" s="466"/>
      <c r="FX285" s="466"/>
      <c r="FY285" s="466"/>
      <c r="FZ285" s="527"/>
      <c r="GA285" s="527"/>
      <c r="GB285" s="527"/>
      <c r="GC285" s="527"/>
      <c r="GD285" s="527"/>
      <c r="GE285" s="527"/>
      <c r="GF285" s="527"/>
      <c r="GG285" s="527"/>
      <c r="GH285" s="527"/>
      <c r="GI285" s="527"/>
      <c r="GJ285" s="527"/>
      <c r="GK285" s="527"/>
      <c r="GL285" s="527"/>
      <c r="GM285" s="527"/>
      <c r="GN285" s="527"/>
      <c r="GV285" s="527"/>
      <c r="GW285" s="527"/>
      <c r="GX285" s="527"/>
      <c r="GY285" s="527"/>
      <c r="GZ285" s="527"/>
      <c r="HA285" s="527"/>
      <c r="HB285" s="527"/>
      <c r="HC285" s="527"/>
      <c r="HD285" s="527"/>
      <c r="HE285" s="844"/>
      <c r="HF285" s="844"/>
      <c r="HG285" s="844"/>
      <c r="HH285" s="844"/>
      <c r="HI285" s="844"/>
      <c r="HJ285" s="844"/>
      <c r="HK285" s="844"/>
      <c r="HL285" s="844"/>
      <c r="HM285" s="844"/>
      <c r="HN285" s="844"/>
      <c r="HP285" s="466"/>
      <c r="HQ285" s="466"/>
      <c r="HR285" s="466"/>
      <c r="HS285" s="415"/>
      <c r="HT285" s="2292"/>
    </row>
    <row r="286" spans="3:228">
      <c r="C286" s="466"/>
      <c r="D286" s="466"/>
      <c r="E286" s="466"/>
      <c r="F286" s="466"/>
      <c r="G286" s="466"/>
      <c r="H286" s="466"/>
      <c r="I286" s="466"/>
      <c r="J286" s="466"/>
      <c r="K286" s="466"/>
      <c r="L286" s="466"/>
      <c r="M286" s="466"/>
      <c r="N286" s="466"/>
      <c r="O286" s="466"/>
      <c r="P286" s="510"/>
      <c r="Q286" s="510"/>
      <c r="R286" s="510"/>
      <c r="S286" s="510"/>
      <c r="T286" s="510"/>
      <c r="U286" s="510"/>
      <c r="V286" s="510"/>
      <c r="W286" s="510"/>
      <c r="X286" s="510"/>
      <c r="Y286" s="510"/>
      <c r="Z286" s="510"/>
      <c r="AA286" s="510"/>
      <c r="AB286" s="510"/>
      <c r="AC286" s="510"/>
      <c r="AD286" s="510"/>
      <c r="AE286" s="510"/>
      <c r="AF286" s="510"/>
      <c r="AG286" s="510"/>
      <c r="AH286" s="510"/>
      <c r="AI286" s="510"/>
      <c r="AJ286" s="510"/>
      <c r="AK286" s="510"/>
      <c r="AL286" s="510"/>
      <c r="AM286" s="510"/>
      <c r="AN286" s="510"/>
      <c r="AO286" s="510"/>
      <c r="AP286" s="510"/>
      <c r="AQ286" s="510"/>
      <c r="AR286" s="510"/>
      <c r="AS286" s="510"/>
      <c r="AT286" s="510"/>
      <c r="AU286" s="510"/>
      <c r="AV286" s="510"/>
      <c r="AW286" s="510"/>
      <c r="AX286" s="510"/>
      <c r="AY286" s="510"/>
      <c r="AZ286" s="466"/>
      <c r="BA286" s="466"/>
      <c r="BB286" s="466"/>
      <c r="BC286" s="466"/>
      <c r="BD286" s="466"/>
      <c r="BE286" s="466"/>
      <c r="BF286" s="466"/>
      <c r="BG286" s="466"/>
      <c r="BH286" s="466"/>
      <c r="BI286" s="466"/>
      <c r="BJ286" s="466"/>
      <c r="BK286" s="466"/>
      <c r="BL286" s="466"/>
      <c r="BM286" s="466"/>
      <c r="BN286" s="466"/>
      <c r="BO286" s="466"/>
      <c r="BP286" s="466"/>
      <c r="BQ286" s="466"/>
      <c r="BR286" s="466"/>
      <c r="BS286" s="466"/>
      <c r="BT286" s="466"/>
      <c r="BU286" s="466"/>
      <c r="BV286" s="466"/>
      <c r="BW286" s="466"/>
      <c r="BX286" s="466"/>
      <c r="BY286" s="466"/>
      <c r="BZ286" s="466"/>
      <c r="CA286" s="466"/>
      <c r="CB286" s="466"/>
      <c r="CC286" s="466"/>
      <c r="CD286" s="466"/>
      <c r="CE286" s="466"/>
      <c r="CF286" s="466"/>
      <c r="CG286" s="466"/>
      <c r="CH286" s="466"/>
      <c r="CI286" s="466"/>
      <c r="CJ286" s="466"/>
      <c r="CK286" s="466"/>
      <c r="CL286" s="466"/>
      <c r="CM286" s="466"/>
      <c r="CN286" s="466"/>
      <c r="CO286" s="466"/>
      <c r="CP286" s="466"/>
      <c r="CQ286" s="466"/>
      <c r="CR286" s="466"/>
      <c r="CS286" s="466"/>
      <c r="CT286" s="466"/>
      <c r="CU286" s="466"/>
      <c r="CV286" s="466"/>
      <c r="CW286" s="466"/>
      <c r="CX286" s="466"/>
      <c r="CY286" s="466"/>
      <c r="CZ286" s="466"/>
      <c r="DA286" s="466"/>
      <c r="DB286" s="466"/>
      <c r="DC286" s="466"/>
      <c r="DD286" s="466"/>
      <c r="DE286" s="466"/>
      <c r="DF286" s="466"/>
      <c r="DG286" s="466"/>
      <c r="FE286" s="527"/>
      <c r="FF286" s="466"/>
      <c r="FG286" s="466"/>
      <c r="FH286" s="466"/>
      <c r="FI286" s="466"/>
      <c r="FJ286" s="466"/>
      <c r="FK286" s="466"/>
      <c r="FL286" s="466"/>
      <c r="FM286" s="466"/>
      <c r="FN286" s="466"/>
      <c r="FO286" s="466"/>
      <c r="FP286" s="466"/>
      <c r="FQ286" s="466"/>
      <c r="FR286" s="466"/>
      <c r="FS286" s="466"/>
      <c r="FT286" s="466"/>
      <c r="FU286" s="466"/>
      <c r="FV286" s="466"/>
      <c r="FW286" s="466"/>
      <c r="FX286" s="466"/>
      <c r="FY286" s="466"/>
      <c r="FZ286" s="527"/>
      <c r="GA286" s="527"/>
      <c r="GB286" s="527"/>
      <c r="GC286" s="527"/>
      <c r="GD286" s="527"/>
      <c r="GE286" s="527"/>
      <c r="GF286" s="527"/>
      <c r="GG286" s="527"/>
      <c r="GH286" s="527"/>
      <c r="GI286" s="527"/>
      <c r="GJ286" s="527"/>
      <c r="GK286" s="527"/>
      <c r="GL286" s="527"/>
      <c r="GM286" s="527"/>
      <c r="GN286" s="527"/>
      <c r="GV286" s="527"/>
      <c r="GW286" s="527"/>
      <c r="GX286" s="527"/>
      <c r="GY286" s="527"/>
      <c r="GZ286" s="527"/>
      <c r="HA286" s="527"/>
      <c r="HB286" s="527"/>
      <c r="HC286" s="527"/>
      <c r="HD286" s="527"/>
      <c r="HE286" s="844"/>
      <c r="HF286" s="844"/>
      <c r="HG286" s="844"/>
      <c r="HH286" s="844"/>
      <c r="HI286" s="844"/>
      <c r="HJ286" s="844"/>
      <c r="HK286" s="844"/>
      <c r="HL286" s="844"/>
      <c r="HM286" s="844"/>
      <c r="HN286" s="844"/>
      <c r="HP286" s="466"/>
      <c r="HQ286" s="466"/>
      <c r="HR286" s="466"/>
      <c r="HS286" s="415"/>
      <c r="HT286" s="2292"/>
    </row>
    <row r="287" spans="3:228">
      <c r="C287" s="466"/>
      <c r="D287" s="466"/>
      <c r="E287" s="466"/>
      <c r="F287" s="466"/>
      <c r="G287" s="466"/>
      <c r="H287" s="466"/>
      <c r="I287" s="466"/>
      <c r="J287" s="466"/>
      <c r="K287" s="466"/>
      <c r="L287" s="466"/>
      <c r="M287" s="466"/>
      <c r="N287" s="466"/>
      <c r="O287" s="466"/>
      <c r="P287" s="510"/>
      <c r="Q287" s="510"/>
      <c r="R287" s="510"/>
      <c r="S287" s="510"/>
      <c r="T287" s="510"/>
      <c r="U287" s="510"/>
      <c r="V287" s="510"/>
      <c r="W287" s="510"/>
      <c r="X287" s="510"/>
      <c r="Y287" s="510"/>
      <c r="Z287" s="510"/>
      <c r="AA287" s="510"/>
      <c r="AB287" s="510"/>
      <c r="AC287" s="510"/>
      <c r="AD287" s="510"/>
      <c r="AE287" s="510"/>
      <c r="AF287" s="510"/>
      <c r="AG287" s="510"/>
      <c r="AH287" s="510"/>
      <c r="AI287" s="510"/>
      <c r="AJ287" s="510"/>
      <c r="AK287" s="510"/>
      <c r="AL287" s="510"/>
      <c r="AM287" s="510"/>
      <c r="AN287" s="510"/>
      <c r="AO287" s="510"/>
      <c r="AP287" s="510"/>
      <c r="AQ287" s="510"/>
      <c r="AR287" s="510"/>
      <c r="AS287" s="510"/>
      <c r="AT287" s="510"/>
      <c r="AU287" s="510"/>
      <c r="AV287" s="510"/>
      <c r="AW287" s="510"/>
      <c r="AX287" s="510"/>
      <c r="AY287" s="510"/>
      <c r="AZ287" s="466"/>
      <c r="BA287" s="466"/>
      <c r="BB287" s="466"/>
      <c r="BC287" s="466"/>
      <c r="BD287" s="466"/>
      <c r="BE287" s="466"/>
      <c r="BF287" s="466"/>
      <c r="BG287" s="466"/>
      <c r="BH287" s="466"/>
      <c r="BI287" s="466"/>
      <c r="BJ287" s="466"/>
      <c r="BK287" s="466"/>
      <c r="BL287" s="466"/>
      <c r="BM287" s="466"/>
      <c r="BN287" s="466"/>
      <c r="BO287" s="466"/>
      <c r="BP287" s="466"/>
      <c r="BQ287" s="466"/>
      <c r="BR287" s="466"/>
      <c r="BS287" s="466"/>
      <c r="BT287" s="466"/>
      <c r="BU287" s="466"/>
      <c r="BV287" s="466"/>
      <c r="BW287" s="466"/>
      <c r="BX287" s="466"/>
      <c r="BY287" s="466"/>
      <c r="BZ287" s="466"/>
      <c r="CA287" s="466"/>
      <c r="CB287" s="466"/>
      <c r="CC287" s="466"/>
      <c r="CD287" s="466"/>
      <c r="CE287" s="466"/>
      <c r="CF287" s="466"/>
      <c r="CG287" s="466"/>
      <c r="CH287" s="466"/>
      <c r="CI287" s="466"/>
      <c r="CJ287" s="466"/>
      <c r="CK287" s="466"/>
      <c r="CL287" s="466"/>
      <c r="CM287" s="466"/>
      <c r="CN287" s="466"/>
      <c r="CO287" s="466"/>
      <c r="CP287" s="466"/>
      <c r="CQ287" s="466"/>
      <c r="CR287" s="466"/>
      <c r="CS287" s="466"/>
      <c r="CT287" s="466"/>
      <c r="CU287" s="466"/>
      <c r="CV287" s="466"/>
      <c r="CW287" s="466"/>
      <c r="CX287" s="466"/>
      <c r="CY287" s="466"/>
      <c r="CZ287" s="466"/>
      <c r="DA287" s="466"/>
      <c r="DB287" s="466"/>
      <c r="DC287" s="466"/>
      <c r="DD287" s="466"/>
      <c r="DE287" s="466"/>
      <c r="DF287" s="466"/>
      <c r="DG287" s="466"/>
      <c r="FE287" s="527"/>
      <c r="FF287" s="466"/>
      <c r="FG287" s="466"/>
      <c r="FH287" s="466"/>
      <c r="FI287" s="466"/>
      <c r="FJ287" s="466"/>
      <c r="FK287" s="466"/>
      <c r="FL287" s="466"/>
      <c r="FM287" s="466"/>
      <c r="FN287" s="466"/>
      <c r="FO287" s="466"/>
      <c r="FP287" s="466"/>
      <c r="FQ287" s="466"/>
      <c r="FR287" s="466"/>
      <c r="FS287" s="466"/>
      <c r="FT287" s="466"/>
      <c r="FU287" s="466"/>
      <c r="FV287" s="466"/>
      <c r="FW287" s="466"/>
      <c r="FX287" s="466"/>
      <c r="FY287" s="466"/>
      <c r="FZ287" s="527"/>
      <c r="GA287" s="527"/>
      <c r="GB287" s="527"/>
      <c r="GC287" s="527"/>
      <c r="GD287" s="527"/>
      <c r="GE287" s="527"/>
      <c r="GF287" s="527"/>
      <c r="GG287" s="527"/>
      <c r="GH287" s="527"/>
      <c r="GI287" s="527"/>
      <c r="GJ287" s="527"/>
      <c r="GK287" s="527"/>
      <c r="GL287" s="527"/>
      <c r="GM287" s="527"/>
      <c r="GN287" s="527"/>
      <c r="GV287" s="527"/>
      <c r="GW287" s="527"/>
      <c r="GX287" s="527"/>
      <c r="GY287" s="527"/>
      <c r="GZ287" s="527"/>
      <c r="HA287" s="527"/>
      <c r="HB287" s="527"/>
      <c r="HC287" s="527"/>
      <c r="HD287" s="527"/>
      <c r="HE287" s="844"/>
      <c r="HF287" s="844"/>
      <c r="HG287" s="844"/>
      <c r="HH287" s="844"/>
      <c r="HI287" s="844"/>
      <c r="HJ287" s="844"/>
      <c r="HK287" s="844"/>
      <c r="HL287" s="844"/>
      <c r="HM287" s="844"/>
      <c r="HN287" s="844"/>
      <c r="HP287" s="466"/>
      <c r="HQ287" s="466"/>
      <c r="HR287" s="466"/>
      <c r="HS287" s="415"/>
      <c r="HT287" s="2292"/>
    </row>
    <row r="288" spans="3:228">
      <c r="C288" s="466"/>
      <c r="D288" s="466"/>
      <c r="E288" s="466"/>
      <c r="F288" s="466"/>
      <c r="G288" s="466"/>
      <c r="H288" s="466"/>
      <c r="I288" s="466"/>
      <c r="J288" s="466"/>
      <c r="K288" s="466"/>
      <c r="L288" s="466"/>
      <c r="M288" s="466"/>
      <c r="N288" s="466"/>
      <c r="O288" s="466"/>
      <c r="P288" s="510"/>
      <c r="Q288" s="510"/>
      <c r="R288" s="510"/>
      <c r="S288" s="510"/>
      <c r="T288" s="510"/>
      <c r="U288" s="510"/>
      <c r="V288" s="510"/>
      <c r="W288" s="510"/>
      <c r="X288" s="510"/>
      <c r="Y288" s="510"/>
      <c r="Z288" s="510"/>
      <c r="AA288" s="510"/>
      <c r="AB288" s="510"/>
      <c r="AC288" s="510"/>
      <c r="AD288" s="510"/>
      <c r="AE288" s="510"/>
      <c r="AF288" s="510"/>
      <c r="AG288" s="510"/>
      <c r="AH288" s="510"/>
      <c r="AI288" s="510"/>
      <c r="AJ288" s="510"/>
      <c r="AK288" s="510"/>
      <c r="AL288" s="510"/>
      <c r="AM288" s="510"/>
      <c r="AN288" s="510"/>
      <c r="AO288" s="510"/>
      <c r="AP288" s="510"/>
      <c r="AQ288" s="510"/>
      <c r="AR288" s="510"/>
      <c r="AS288" s="510"/>
      <c r="AT288" s="510"/>
      <c r="AU288" s="510"/>
      <c r="AV288" s="510"/>
      <c r="AW288" s="510"/>
      <c r="AX288" s="510"/>
      <c r="AY288" s="510"/>
      <c r="AZ288" s="466"/>
      <c r="BA288" s="466"/>
      <c r="BB288" s="466"/>
      <c r="BC288" s="466"/>
      <c r="BD288" s="466"/>
      <c r="BE288" s="466"/>
      <c r="BF288" s="466"/>
      <c r="BG288" s="466"/>
      <c r="BH288" s="466"/>
      <c r="BI288" s="466"/>
      <c r="BJ288" s="466"/>
      <c r="BK288" s="466"/>
      <c r="BL288" s="466"/>
      <c r="BM288" s="466"/>
      <c r="BN288" s="466"/>
      <c r="BO288" s="466"/>
      <c r="BP288" s="466"/>
      <c r="BQ288" s="466"/>
      <c r="BR288" s="466"/>
      <c r="BS288" s="466"/>
      <c r="BT288" s="466"/>
      <c r="BU288" s="466"/>
      <c r="BV288" s="466"/>
      <c r="BW288" s="466"/>
      <c r="BX288" s="466"/>
      <c r="BY288" s="466"/>
      <c r="BZ288" s="466"/>
      <c r="CA288" s="466"/>
      <c r="CB288" s="466"/>
      <c r="CC288" s="466"/>
      <c r="CD288" s="466"/>
      <c r="CE288" s="466"/>
      <c r="CF288" s="466"/>
      <c r="CG288" s="466"/>
      <c r="CH288" s="466"/>
      <c r="CI288" s="466"/>
      <c r="CJ288" s="466"/>
      <c r="CK288" s="466"/>
      <c r="CL288" s="466"/>
      <c r="CM288" s="466"/>
      <c r="CN288" s="466"/>
      <c r="CO288" s="466"/>
      <c r="CP288" s="466"/>
      <c r="CQ288" s="466"/>
      <c r="CR288" s="466"/>
      <c r="CS288" s="466"/>
      <c r="CT288" s="466"/>
      <c r="CU288" s="466"/>
      <c r="CV288" s="466"/>
      <c r="CW288" s="466"/>
      <c r="CX288" s="466"/>
      <c r="CY288" s="466"/>
      <c r="CZ288" s="466"/>
      <c r="DA288" s="466"/>
      <c r="DB288" s="466"/>
      <c r="DC288" s="466"/>
      <c r="DD288" s="466"/>
      <c r="DE288" s="466"/>
      <c r="DF288" s="466"/>
      <c r="DG288" s="466"/>
      <c r="FE288" s="527"/>
      <c r="FF288" s="466"/>
      <c r="FG288" s="466"/>
      <c r="FH288" s="466"/>
      <c r="FI288" s="466"/>
      <c r="FJ288" s="466"/>
      <c r="FK288" s="466"/>
      <c r="FL288" s="466"/>
      <c r="FM288" s="466"/>
      <c r="FN288" s="466"/>
      <c r="FO288" s="466"/>
      <c r="FP288" s="466"/>
      <c r="FQ288" s="466"/>
      <c r="FR288" s="466"/>
      <c r="FS288" s="466"/>
      <c r="FT288" s="466"/>
      <c r="FU288" s="466"/>
      <c r="FV288" s="466"/>
      <c r="FW288" s="466"/>
      <c r="FX288" s="466"/>
      <c r="FY288" s="466"/>
      <c r="FZ288" s="527"/>
      <c r="GA288" s="527"/>
      <c r="GB288" s="527"/>
      <c r="GC288" s="527"/>
      <c r="GD288" s="527"/>
      <c r="GE288" s="527"/>
      <c r="GF288" s="527"/>
      <c r="GG288" s="527"/>
      <c r="GH288" s="527"/>
      <c r="GI288" s="527"/>
      <c r="GJ288" s="527"/>
      <c r="GK288" s="527"/>
      <c r="GL288" s="527"/>
      <c r="GM288" s="527"/>
      <c r="GN288" s="527"/>
      <c r="GV288" s="527"/>
      <c r="GW288" s="527"/>
      <c r="GX288" s="527"/>
      <c r="GY288" s="527"/>
      <c r="GZ288" s="527"/>
      <c r="HA288" s="527"/>
      <c r="HB288" s="527"/>
      <c r="HC288" s="527"/>
      <c r="HD288" s="527"/>
      <c r="HE288" s="844"/>
      <c r="HF288" s="844"/>
      <c r="HG288" s="844"/>
      <c r="HH288" s="844"/>
      <c r="HI288" s="844"/>
      <c r="HJ288" s="844"/>
      <c r="HK288" s="844"/>
      <c r="HL288" s="844"/>
      <c r="HM288" s="844"/>
      <c r="HN288" s="844"/>
      <c r="HP288" s="466"/>
      <c r="HQ288" s="466"/>
      <c r="HR288" s="466"/>
      <c r="HS288" s="415"/>
      <c r="HT288" s="2292"/>
    </row>
    <row r="289" spans="3:228">
      <c r="C289" s="466"/>
      <c r="D289" s="466"/>
      <c r="E289" s="466"/>
      <c r="F289" s="466"/>
      <c r="G289" s="466"/>
      <c r="H289" s="466"/>
      <c r="I289" s="466"/>
      <c r="J289" s="466"/>
      <c r="K289" s="466"/>
      <c r="L289" s="466"/>
      <c r="M289" s="466"/>
      <c r="N289" s="466"/>
      <c r="O289" s="466"/>
      <c r="P289" s="510"/>
      <c r="Q289" s="510"/>
      <c r="R289" s="510"/>
      <c r="S289" s="510"/>
      <c r="T289" s="510"/>
      <c r="U289" s="510"/>
      <c r="V289" s="510"/>
      <c r="W289" s="510"/>
      <c r="X289" s="510"/>
      <c r="Y289" s="510"/>
      <c r="Z289" s="510"/>
      <c r="AA289" s="510"/>
      <c r="AB289" s="510"/>
      <c r="AC289" s="510"/>
      <c r="AD289" s="510"/>
      <c r="AE289" s="510"/>
      <c r="AF289" s="510"/>
      <c r="AG289" s="510"/>
      <c r="AH289" s="510"/>
      <c r="AI289" s="510"/>
      <c r="AJ289" s="510"/>
      <c r="AK289" s="510"/>
      <c r="AL289" s="510"/>
      <c r="AM289" s="510"/>
      <c r="AN289" s="510"/>
      <c r="AO289" s="510"/>
      <c r="AP289" s="510"/>
      <c r="AQ289" s="510"/>
      <c r="AR289" s="510"/>
      <c r="AS289" s="510"/>
      <c r="AT289" s="510"/>
      <c r="AU289" s="510"/>
      <c r="AV289" s="510"/>
      <c r="AW289" s="510"/>
      <c r="AX289" s="510"/>
      <c r="AY289" s="510"/>
      <c r="AZ289" s="466"/>
      <c r="BA289" s="466"/>
      <c r="BB289" s="466"/>
      <c r="BC289" s="466"/>
      <c r="BD289" s="466"/>
      <c r="BE289" s="466"/>
      <c r="BF289" s="466"/>
      <c r="BG289" s="466"/>
      <c r="BH289" s="466"/>
      <c r="BI289" s="466"/>
      <c r="BJ289" s="466"/>
      <c r="BK289" s="466"/>
      <c r="BL289" s="466"/>
      <c r="BM289" s="466"/>
      <c r="BN289" s="466"/>
      <c r="BO289" s="466"/>
      <c r="BP289" s="466"/>
      <c r="BQ289" s="466"/>
      <c r="BR289" s="466"/>
      <c r="BS289" s="466"/>
      <c r="BT289" s="466"/>
      <c r="BU289" s="466"/>
      <c r="BV289" s="466"/>
      <c r="BW289" s="466"/>
      <c r="BX289" s="466"/>
      <c r="BY289" s="466"/>
      <c r="BZ289" s="466"/>
      <c r="CA289" s="466"/>
      <c r="CB289" s="466"/>
      <c r="CC289" s="466"/>
      <c r="CD289" s="466"/>
      <c r="CE289" s="466"/>
      <c r="CF289" s="466"/>
      <c r="CG289" s="466"/>
      <c r="CH289" s="466"/>
      <c r="CI289" s="466"/>
      <c r="CJ289" s="466"/>
      <c r="CK289" s="466"/>
      <c r="CL289" s="466"/>
      <c r="CM289" s="466"/>
      <c r="CN289" s="466"/>
      <c r="CO289" s="466"/>
      <c r="CP289" s="466"/>
      <c r="CQ289" s="466"/>
      <c r="CR289" s="466"/>
      <c r="CS289" s="466"/>
      <c r="CT289" s="466"/>
      <c r="CU289" s="466"/>
      <c r="CV289" s="466"/>
      <c r="CW289" s="466"/>
      <c r="CX289" s="466"/>
      <c r="CY289" s="466"/>
      <c r="CZ289" s="466"/>
      <c r="DA289" s="466"/>
      <c r="DB289" s="466"/>
      <c r="DC289" s="466"/>
      <c r="DD289" s="466"/>
      <c r="DE289" s="466"/>
      <c r="DF289" s="466"/>
      <c r="DG289" s="466"/>
      <c r="FE289" s="527"/>
      <c r="FF289" s="466"/>
      <c r="FG289" s="466"/>
      <c r="FH289" s="466"/>
      <c r="FI289" s="466"/>
      <c r="FJ289" s="466"/>
      <c r="FK289" s="466"/>
      <c r="FL289" s="466"/>
      <c r="FM289" s="466"/>
      <c r="FN289" s="466"/>
      <c r="FO289" s="466"/>
      <c r="FP289" s="466"/>
      <c r="FQ289" s="466"/>
      <c r="FR289" s="466"/>
      <c r="FS289" s="466"/>
      <c r="FT289" s="466"/>
      <c r="FU289" s="466"/>
      <c r="FV289" s="466"/>
      <c r="FW289" s="466"/>
      <c r="FX289" s="466"/>
      <c r="FY289" s="466"/>
      <c r="FZ289" s="527"/>
      <c r="GA289" s="527"/>
      <c r="GB289" s="527"/>
      <c r="GC289" s="527"/>
      <c r="GD289" s="527"/>
      <c r="GE289" s="527"/>
      <c r="GF289" s="527"/>
      <c r="GG289" s="527"/>
      <c r="GH289" s="527"/>
      <c r="GI289" s="527"/>
      <c r="GJ289" s="527"/>
      <c r="GK289" s="527"/>
      <c r="GL289" s="527"/>
      <c r="GM289" s="527"/>
      <c r="GN289" s="527"/>
      <c r="GV289" s="527"/>
      <c r="GW289" s="527"/>
      <c r="GX289" s="527"/>
      <c r="GY289" s="527"/>
      <c r="GZ289" s="527"/>
      <c r="HA289" s="527"/>
      <c r="HB289" s="527"/>
      <c r="HC289" s="527"/>
      <c r="HD289" s="527"/>
      <c r="HE289" s="844"/>
      <c r="HF289" s="844"/>
      <c r="HG289" s="844"/>
      <c r="HH289" s="844"/>
      <c r="HI289" s="844"/>
      <c r="HJ289" s="844"/>
      <c r="HK289" s="844"/>
      <c r="HL289" s="844"/>
      <c r="HM289" s="844"/>
      <c r="HN289" s="844"/>
      <c r="HP289" s="466"/>
      <c r="HQ289" s="466"/>
      <c r="HR289" s="466"/>
      <c r="HS289" s="415"/>
      <c r="HT289" s="2292"/>
    </row>
    <row r="290" spans="3:228">
      <c r="C290" s="466"/>
      <c r="D290" s="466"/>
      <c r="E290" s="466"/>
      <c r="F290" s="466"/>
      <c r="G290" s="466"/>
      <c r="H290" s="466"/>
      <c r="I290" s="466"/>
      <c r="J290" s="466"/>
      <c r="K290" s="466"/>
      <c r="L290" s="466"/>
      <c r="M290" s="466"/>
      <c r="N290" s="466"/>
      <c r="O290" s="466"/>
      <c r="P290" s="510"/>
      <c r="Q290" s="510"/>
      <c r="R290" s="510"/>
      <c r="S290" s="510"/>
      <c r="T290" s="510"/>
      <c r="U290" s="510"/>
      <c r="V290" s="510"/>
      <c r="W290" s="510"/>
      <c r="X290" s="510"/>
      <c r="Y290" s="510"/>
      <c r="Z290" s="510"/>
      <c r="AA290" s="510"/>
      <c r="AB290" s="510"/>
      <c r="AC290" s="510"/>
      <c r="AD290" s="510"/>
      <c r="AE290" s="510"/>
      <c r="AF290" s="510"/>
      <c r="AG290" s="510"/>
      <c r="AH290" s="510"/>
      <c r="AI290" s="510"/>
      <c r="AJ290" s="510"/>
      <c r="AK290" s="510"/>
      <c r="AL290" s="510"/>
      <c r="AM290" s="510"/>
      <c r="AN290" s="510"/>
      <c r="AO290" s="510"/>
      <c r="AP290" s="510"/>
      <c r="AQ290" s="510"/>
      <c r="AR290" s="510"/>
      <c r="AS290" s="510"/>
      <c r="AT290" s="510"/>
      <c r="AU290" s="510"/>
      <c r="AV290" s="510"/>
      <c r="AW290" s="510"/>
      <c r="AX290" s="510"/>
      <c r="AY290" s="510"/>
      <c r="AZ290" s="466"/>
      <c r="BA290" s="466"/>
      <c r="BB290" s="466"/>
      <c r="BC290" s="466"/>
      <c r="BD290" s="466"/>
      <c r="BE290" s="466"/>
      <c r="BF290" s="466"/>
      <c r="BG290" s="466"/>
      <c r="BH290" s="466"/>
      <c r="BI290" s="466"/>
      <c r="BJ290" s="466"/>
      <c r="BK290" s="466"/>
      <c r="BL290" s="466"/>
      <c r="BM290" s="466"/>
      <c r="BN290" s="466"/>
      <c r="BO290" s="466"/>
      <c r="BP290" s="466"/>
      <c r="BQ290" s="466"/>
      <c r="BR290" s="466"/>
      <c r="BS290" s="466"/>
      <c r="BT290" s="466"/>
      <c r="BU290" s="466"/>
      <c r="BV290" s="466"/>
      <c r="BW290" s="466"/>
      <c r="BX290" s="466"/>
      <c r="BY290" s="466"/>
      <c r="BZ290" s="466"/>
      <c r="CA290" s="466"/>
      <c r="CB290" s="466"/>
      <c r="CC290" s="466"/>
      <c r="CD290" s="466"/>
      <c r="CE290" s="466"/>
      <c r="CF290" s="466"/>
      <c r="CG290" s="466"/>
      <c r="CH290" s="466"/>
      <c r="CI290" s="466"/>
      <c r="CJ290" s="466"/>
      <c r="CK290" s="466"/>
      <c r="CL290" s="466"/>
      <c r="CM290" s="466"/>
      <c r="CN290" s="466"/>
      <c r="CO290" s="466"/>
      <c r="CP290" s="466"/>
      <c r="CQ290" s="466"/>
      <c r="CR290" s="466"/>
      <c r="CS290" s="466"/>
      <c r="CT290" s="466"/>
      <c r="CU290" s="466"/>
      <c r="CV290" s="466"/>
      <c r="CW290" s="466"/>
      <c r="CX290" s="466"/>
      <c r="CY290" s="466"/>
      <c r="CZ290" s="466"/>
      <c r="DA290" s="466"/>
      <c r="DB290" s="466"/>
      <c r="DC290" s="466"/>
      <c r="DD290" s="466"/>
      <c r="DE290" s="466"/>
      <c r="DF290" s="466"/>
      <c r="DG290" s="466"/>
      <c r="FE290" s="527"/>
      <c r="FF290" s="466"/>
      <c r="FG290" s="466"/>
      <c r="FH290" s="466"/>
      <c r="FI290" s="466"/>
      <c r="FJ290" s="466"/>
      <c r="FK290" s="466"/>
      <c r="FL290" s="466"/>
      <c r="FM290" s="466"/>
      <c r="FN290" s="466"/>
      <c r="FO290" s="466"/>
      <c r="FP290" s="466"/>
      <c r="FQ290" s="466"/>
      <c r="FR290" s="466"/>
      <c r="FS290" s="466"/>
      <c r="FT290" s="466"/>
      <c r="FU290" s="466"/>
      <c r="FV290" s="466"/>
      <c r="FW290" s="466"/>
      <c r="FX290" s="466"/>
      <c r="FY290" s="466"/>
      <c r="FZ290" s="527"/>
      <c r="GA290" s="527"/>
      <c r="GB290" s="527"/>
      <c r="GC290" s="527"/>
      <c r="GD290" s="527"/>
      <c r="GE290" s="527"/>
      <c r="GF290" s="527"/>
      <c r="GG290" s="527"/>
      <c r="GH290" s="527"/>
      <c r="GI290" s="527"/>
      <c r="GJ290" s="527"/>
      <c r="GK290" s="527"/>
      <c r="GL290" s="527"/>
      <c r="GM290" s="527"/>
      <c r="GN290" s="527"/>
      <c r="GV290" s="527"/>
      <c r="GW290" s="527"/>
      <c r="GX290" s="527"/>
      <c r="GY290" s="527"/>
      <c r="GZ290" s="527"/>
      <c r="HA290" s="527"/>
      <c r="HB290" s="527"/>
      <c r="HC290" s="527"/>
      <c r="HD290" s="527"/>
      <c r="HE290" s="844"/>
      <c r="HF290" s="844"/>
      <c r="HG290" s="844"/>
      <c r="HH290" s="844"/>
      <c r="HI290" s="844"/>
      <c r="HJ290" s="844"/>
      <c r="HK290" s="844"/>
      <c r="HL290" s="844"/>
      <c r="HM290" s="844"/>
      <c r="HN290" s="844"/>
      <c r="HP290" s="466"/>
      <c r="HQ290" s="466"/>
      <c r="HR290" s="466"/>
      <c r="HS290" s="415"/>
      <c r="HT290" s="2292"/>
    </row>
    <row r="291" spans="3:228">
      <c r="C291" s="466"/>
      <c r="D291" s="466"/>
      <c r="E291" s="466"/>
      <c r="F291" s="466"/>
      <c r="G291" s="466"/>
      <c r="H291" s="466"/>
      <c r="I291" s="466"/>
      <c r="J291" s="466"/>
      <c r="K291" s="466"/>
      <c r="L291" s="466"/>
      <c r="M291" s="466"/>
      <c r="N291" s="466"/>
      <c r="O291" s="466"/>
      <c r="P291" s="510"/>
      <c r="Q291" s="510"/>
      <c r="R291" s="510"/>
      <c r="S291" s="510"/>
      <c r="T291" s="510"/>
      <c r="U291" s="510"/>
      <c r="V291" s="510"/>
      <c r="W291" s="510"/>
      <c r="X291" s="510"/>
      <c r="Y291" s="510"/>
      <c r="Z291" s="510"/>
      <c r="AA291" s="510"/>
      <c r="AB291" s="510"/>
      <c r="AC291" s="510"/>
      <c r="AD291" s="510"/>
      <c r="AE291" s="510"/>
      <c r="AF291" s="510"/>
      <c r="AG291" s="510"/>
      <c r="AH291" s="510"/>
      <c r="AI291" s="510"/>
      <c r="AJ291" s="510"/>
      <c r="AK291" s="510"/>
      <c r="AL291" s="510"/>
      <c r="AM291" s="510"/>
      <c r="AN291" s="510"/>
      <c r="AO291" s="510"/>
      <c r="AP291" s="510"/>
      <c r="AQ291" s="510"/>
      <c r="AR291" s="510"/>
      <c r="AS291" s="510"/>
      <c r="AT291" s="510"/>
      <c r="AU291" s="510"/>
      <c r="AV291" s="510"/>
      <c r="AW291" s="510"/>
      <c r="AX291" s="510"/>
      <c r="AY291" s="510"/>
      <c r="AZ291" s="466"/>
      <c r="BA291" s="466"/>
      <c r="BB291" s="466"/>
      <c r="BC291" s="466"/>
      <c r="BD291" s="466"/>
      <c r="BE291" s="466"/>
      <c r="BF291" s="466"/>
      <c r="BG291" s="466"/>
      <c r="BH291" s="466"/>
      <c r="BI291" s="466"/>
      <c r="BJ291" s="466"/>
      <c r="BK291" s="466"/>
      <c r="BL291" s="466"/>
      <c r="BM291" s="466"/>
      <c r="BN291" s="466"/>
      <c r="BO291" s="466"/>
      <c r="BP291" s="466"/>
      <c r="BQ291" s="466"/>
      <c r="BR291" s="466"/>
      <c r="BS291" s="466"/>
      <c r="BT291" s="466"/>
      <c r="BU291" s="466"/>
      <c r="BV291" s="466"/>
      <c r="BW291" s="466"/>
      <c r="BX291" s="466"/>
      <c r="BY291" s="466"/>
      <c r="BZ291" s="466"/>
      <c r="CA291" s="466"/>
      <c r="CB291" s="466"/>
      <c r="CC291" s="466"/>
      <c r="CD291" s="466"/>
      <c r="CE291" s="466"/>
      <c r="CF291" s="466"/>
      <c r="CG291" s="466"/>
      <c r="CH291" s="466"/>
      <c r="CI291" s="466"/>
      <c r="CJ291" s="466"/>
      <c r="CK291" s="466"/>
      <c r="CL291" s="466"/>
      <c r="CM291" s="466"/>
      <c r="CN291" s="466"/>
      <c r="CO291" s="466"/>
      <c r="CP291" s="466"/>
      <c r="CQ291" s="466"/>
      <c r="CR291" s="466"/>
      <c r="CS291" s="466"/>
      <c r="CT291" s="466"/>
      <c r="CU291" s="466"/>
      <c r="CV291" s="466"/>
      <c r="CW291" s="466"/>
      <c r="CX291" s="466"/>
      <c r="CY291" s="466"/>
      <c r="CZ291" s="466"/>
      <c r="DA291" s="466"/>
      <c r="DB291" s="466"/>
      <c r="DC291" s="466"/>
      <c r="DD291" s="466"/>
      <c r="DE291" s="466"/>
      <c r="DF291" s="466"/>
      <c r="DG291" s="466"/>
      <c r="FE291" s="527"/>
      <c r="FF291" s="466"/>
      <c r="FG291" s="466"/>
      <c r="FH291" s="466"/>
      <c r="FI291" s="466"/>
      <c r="FJ291" s="466"/>
      <c r="FK291" s="466"/>
      <c r="FL291" s="466"/>
      <c r="FM291" s="466"/>
      <c r="FN291" s="466"/>
      <c r="FO291" s="466"/>
      <c r="FP291" s="466"/>
      <c r="FQ291" s="466"/>
      <c r="FR291" s="466"/>
      <c r="FS291" s="466"/>
      <c r="FT291" s="466"/>
      <c r="FU291" s="466"/>
      <c r="FV291" s="466"/>
      <c r="FW291" s="466"/>
      <c r="FX291" s="466"/>
      <c r="FY291" s="466"/>
      <c r="FZ291" s="527"/>
      <c r="GA291" s="527"/>
      <c r="GB291" s="527"/>
      <c r="GC291" s="527"/>
      <c r="GD291" s="527"/>
      <c r="GE291" s="527"/>
      <c r="GF291" s="527"/>
      <c r="GG291" s="527"/>
      <c r="GH291" s="527"/>
      <c r="GI291" s="527"/>
      <c r="GJ291" s="527"/>
      <c r="GK291" s="527"/>
      <c r="GL291" s="527"/>
      <c r="GM291" s="527"/>
      <c r="GN291" s="527"/>
      <c r="GV291" s="527"/>
      <c r="GW291" s="527"/>
      <c r="GX291" s="527"/>
      <c r="GY291" s="527"/>
      <c r="GZ291" s="527"/>
      <c r="HA291" s="527"/>
      <c r="HB291" s="527"/>
      <c r="HC291" s="527"/>
      <c r="HD291" s="527"/>
      <c r="HE291" s="844"/>
      <c r="HF291" s="844"/>
      <c r="HG291" s="844"/>
      <c r="HH291" s="844"/>
      <c r="HI291" s="844"/>
      <c r="HJ291" s="844"/>
      <c r="HK291" s="844"/>
      <c r="HL291" s="844"/>
      <c r="HM291" s="844"/>
      <c r="HN291" s="844"/>
      <c r="HP291" s="466"/>
      <c r="HQ291" s="466"/>
      <c r="HR291" s="466"/>
      <c r="HS291" s="415"/>
      <c r="HT291" s="2292"/>
    </row>
    <row r="292" spans="3:228">
      <c r="C292" s="466"/>
      <c r="D292" s="466"/>
      <c r="E292" s="466"/>
      <c r="F292" s="466"/>
      <c r="G292" s="466"/>
      <c r="H292" s="466"/>
      <c r="I292" s="466"/>
      <c r="J292" s="466"/>
      <c r="K292" s="466"/>
      <c r="L292" s="466"/>
      <c r="M292" s="466"/>
      <c r="N292" s="466"/>
      <c r="O292" s="466"/>
      <c r="P292" s="510"/>
      <c r="Q292" s="510"/>
      <c r="R292" s="510"/>
      <c r="S292" s="510"/>
      <c r="T292" s="510"/>
      <c r="U292" s="510"/>
      <c r="V292" s="510"/>
      <c r="W292" s="510"/>
      <c r="X292" s="510"/>
      <c r="Y292" s="510"/>
      <c r="Z292" s="510"/>
      <c r="AA292" s="510"/>
      <c r="AB292" s="510"/>
      <c r="AC292" s="510"/>
      <c r="AD292" s="510"/>
      <c r="AE292" s="510"/>
      <c r="AF292" s="510"/>
      <c r="AG292" s="510"/>
      <c r="AH292" s="510"/>
      <c r="AI292" s="510"/>
      <c r="AJ292" s="510"/>
      <c r="AK292" s="510"/>
      <c r="AL292" s="510"/>
      <c r="AM292" s="510"/>
      <c r="AN292" s="510"/>
      <c r="AO292" s="510"/>
      <c r="AP292" s="510"/>
      <c r="AQ292" s="510"/>
      <c r="AR292" s="510"/>
      <c r="AS292" s="510"/>
      <c r="AT292" s="510"/>
      <c r="AU292" s="510"/>
      <c r="AV292" s="510"/>
      <c r="AW292" s="510"/>
      <c r="AX292" s="510"/>
      <c r="AY292" s="510"/>
      <c r="AZ292" s="466"/>
      <c r="BA292" s="466"/>
      <c r="BB292" s="466"/>
      <c r="BC292" s="466"/>
      <c r="BD292" s="466"/>
      <c r="BE292" s="466"/>
      <c r="BF292" s="466"/>
      <c r="BG292" s="466"/>
      <c r="BH292" s="466"/>
      <c r="BI292" s="466"/>
      <c r="BJ292" s="466"/>
      <c r="BK292" s="466"/>
      <c r="BL292" s="466"/>
      <c r="BM292" s="466"/>
      <c r="BN292" s="466"/>
      <c r="BO292" s="466"/>
      <c r="BP292" s="466"/>
      <c r="BQ292" s="466"/>
      <c r="BR292" s="466"/>
      <c r="BS292" s="466"/>
      <c r="BT292" s="466"/>
      <c r="BU292" s="466"/>
      <c r="BV292" s="466"/>
      <c r="BW292" s="466"/>
      <c r="BX292" s="466"/>
      <c r="BY292" s="466"/>
      <c r="BZ292" s="466"/>
      <c r="CA292" s="466"/>
      <c r="CB292" s="466"/>
      <c r="CC292" s="466"/>
      <c r="CD292" s="466"/>
      <c r="CE292" s="466"/>
      <c r="CF292" s="466"/>
      <c r="CG292" s="466"/>
      <c r="CH292" s="466"/>
      <c r="CI292" s="466"/>
      <c r="CJ292" s="466"/>
      <c r="CK292" s="466"/>
      <c r="CL292" s="466"/>
      <c r="CM292" s="466"/>
      <c r="CN292" s="466"/>
      <c r="CO292" s="466"/>
      <c r="CP292" s="466"/>
      <c r="CQ292" s="466"/>
      <c r="CR292" s="466"/>
      <c r="CS292" s="466"/>
      <c r="CT292" s="466"/>
      <c r="CU292" s="466"/>
      <c r="CV292" s="466"/>
      <c r="CW292" s="466"/>
      <c r="CX292" s="466"/>
      <c r="CY292" s="466"/>
      <c r="CZ292" s="466"/>
      <c r="DA292" s="466"/>
      <c r="DB292" s="466"/>
      <c r="DC292" s="466"/>
      <c r="DD292" s="466"/>
      <c r="DE292" s="466"/>
      <c r="DF292" s="466"/>
      <c r="DG292" s="466"/>
      <c r="FE292" s="527"/>
      <c r="FF292" s="466"/>
      <c r="FG292" s="466"/>
      <c r="FH292" s="466"/>
      <c r="FI292" s="466"/>
      <c r="FJ292" s="466"/>
      <c r="FK292" s="466"/>
      <c r="FL292" s="466"/>
      <c r="FM292" s="466"/>
      <c r="FN292" s="466"/>
      <c r="FO292" s="466"/>
      <c r="FP292" s="466"/>
      <c r="FQ292" s="466"/>
      <c r="FR292" s="466"/>
      <c r="FS292" s="466"/>
      <c r="FT292" s="466"/>
      <c r="FU292" s="466"/>
      <c r="FV292" s="466"/>
      <c r="FW292" s="466"/>
      <c r="FX292" s="466"/>
      <c r="FY292" s="466"/>
      <c r="FZ292" s="527"/>
      <c r="GA292" s="527"/>
      <c r="GB292" s="527"/>
      <c r="GC292" s="527"/>
      <c r="GD292" s="527"/>
      <c r="GE292" s="527"/>
      <c r="GF292" s="527"/>
      <c r="GG292" s="527"/>
      <c r="GH292" s="527"/>
      <c r="GI292" s="527"/>
      <c r="GJ292" s="527"/>
      <c r="GK292" s="527"/>
      <c r="GL292" s="527"/>
      <c r="GM292" s="527"/>
      <c r="GN292" s="527"/>
      <c r="GV292" s="527"/>
      <c r="GW292" s="527"/>
      <c r="GX292" s="527"/>
      <c r="GY292" s="527"/>
      <c r="GZ292" s="527"/>
      <c r="HA292" s="527"/>
      <c r="HB292" s="527"/>
      <c r="HC292" s="527"/>
      <c r="HD292" s="527"/>
      <c r="HE292" s="844"/>
      <c r="HF292" s="844"/>
      <c r="HG292" s="844"/>
      <c r="HH292" s="844"/>
      <c r="HI292" s="844"/>
      <c r="HJ292" s="844"/>
      <c r="HK292" s="844"/>
      <c r="HL292" s="844"/>
      <c r="HM292" s="844"/>
      <c r="HN292" s="844"/>
      <c r="HP292" s="466"/>
      <c r="HQ292" s="466"/>
      <c r="HR292" s="466"/>
      <c r="HS292" s="415"/>
      <c r="HT292" s="2292"/>
    </row>
    <row r="293" spans="3:228">
      <c r="C293" s="466"/>
      <c r="D293" s="466"/>
      <c r="E293" s="466"/>
      <c r="F293" s="466"/>
      <c r="G293" s="466"/>
      <c r="H293" s="466"/>
      <c r="I293" s="466"/>
      <c r="J293" s="466"/>
      <c r="K293" s="466"/>
      <c r="L293" s="466"/>
      <c r="M293" s="466"/>
      <c r="N293" s="466"/>
      <c r="O293" s="466"/>
      <c r="P293" s="510"/>
      <c r="Q293" s="510"/>
      <c r="R293" s="510"/>
      <c r="S293" s="510"/>
      <c r="T293" s="510"/>
      <c r="U293" s="510"/>
      <c r="V293" s="510"/>
      <c r="W293" s="510"/>
      <c r="X293" s="510"/>
      <c r="Y293" s="510"/>
      <c r="Z293" s="510"/>
      <c r="AA293" s="510"/>
      <c r="AB293" s="510"/>
      <c r="AC293" s="510"/>
      <c r="AD293" s="510"/>
      <c r="AE293" s="510"/>
      <c r="AF293" s="510"/>
      <c r="AG293" s="510"/>
      <c r="AH293" s="510"/>
      <c r="AI293" s="510"/>
      <c r="AJ293" s="510"/>
      <c r="AK293" s="510"/>
      <c r="AL293" s="510"/>
      <c r="AM293" s="510"/>
      <c r="AN293" s="510"/>
      <c r="AO293" s="510"/>
      <c r="AP293" s="510"/>
      <c r="AQ293" s="510"/>
      <c r="AR293" s="510"/>
      <c r="AS293" s="510"/>
      <c r="AT293" s="510"/>
      <c r="AU293" s="510"/>
      <c r="AV293" s="510"/>
      <c r="AW293" s="510"/>
      <c r="AX293" s="510"/>
      <c r="AY293" s="510"/>
      <c r="AZ293" s="466"/>
      <c r="BA293" s="466"/>
      <c r="BB293" s="466"/>
      <c r="BC293" s="466"/>
      <c r="BD293" s="466"/>
      <c r="BE293" s="466"/>
      <c r="BF293" s="466"/>
      <c r="BG293" s="466"/>
      <c r="BH293" s="466"/>
      <c r="BI293" s="466"/>
      <c r="BJ293" s="466"/>
      <c r="BK293" s="466"/>
      <c r="BL293" s="466"/>
      <c r="BM293" s="466"/>
      <c r="BN293" s="466"/>
      <c r="BO293" s="466"/>
      <c r="BP293" s="466"/>
      <c r="BQ293" s="466"/>
      <c r="BR293" s="466"/>
      <c r="BS293" s="466"/>
      <c r="BT293" s="466"/>
      <c r="BU293" s="466"/>
      <c r="BV293" s="466"/>
      <c r="BW293" s="466"/>
      <c r="BX293" s="466"/>
      <c r="BY293" s="466"/>
      <c r="BZ293" s="466"/>
      <c r="CA293" s="466"/>
      <c r="CB293" s="466"/>
      <c r="CC293" s="466"/>
      <c r="CD293" s="466"/>
      <c r="CE293" s="466"/>
      <c r="CF293" s="466"/>
      <c r="CG293" s="466"/>
      <c r="CH293" s="466"/>
      <c r="CI293" s="466"/>
      <c r="CJ293" s="466"/>
      <c r="CK293" s="466"/>
      <c r="CL293" s="466"/>
      <c r="CM293" s="466"/>
      <c r="CN293" s="466"/>
      <c r="CO293" s="466"/>
      <c r="CP293" s="466"/>
      <c r="CQ293" s="466"/>
      <c r="CR293" s="466"/>
      <c r="CS293" s="466"/>
      <c r="CT293" s="466"/>
      <c r="CU293" s="466"/>
      <c r="CV293" s="466"/>
      <c r="CW293" s="466"/>
      <c r="CX293" s="466"/>
      <c r="CY293" s="466"/>
      <c r="CZ293" s="466"/>
      <c r="DA293" s="466"/>
      <c r="DB293" s="466"/>
      <c r="DC293" s="466"/>
      <c r="DD293" s="466"/>
      <c r="DE293" s="466"/>
      <c r="DF293" s="466"/>
      <c r="DG293" s="466"/>
      <c r="FE293" s="527"/>
      <c r="FF293" s="466"/>
      <c r="FG293" s="466"/>
      <c r="FH293" s="466"/>
      <c r="FI293" s="466"/>
      <c r="FJ293" s="466"/>
      <c r="FK293" s="466"/>
      <c r="FL293" s="466"/>
      <c r="FM293" s="466"/>
      <c r="FN293" s="466"/>
      <c r="FO293" s="466"/>
      <c r="FP293" s="466"/>
      <c r="FQ293" s="466"/>
      <c r="FR293" s="466"/>
      <c r="FS293" s="466"/>
      <c r="FT293" s="466"/>
      <c r="FU293" s="466"/>
      <c r="FV293" s="466"/>
      <c r="FW293" s="466"/>
      <c r="FX293" s="466"/>
      <c r="FY293" s="466"/>
      <c r="FZ293" s="527"/>
      <c r="GA293" s="527"/>
      <c r="GB293" s="527"/>
      <c r="GC293" s="527"/>
      <c r="GD293" s="527"/>
      <c r="GE293" s="527"/>
      <c r="GF293" s="527"/>
      <c r="GG293" s="527"/>
      <c r="GH293" s="527"/>
      <c r="GI293" s="527"/>
      <c r="GJ293" s="527"/>
      <c r="GK293" s="527"/>
      <c r="GL293" s="527"/>
      <c r="GM293" s="527"/>
      <c r="GN293" s="527"/>
      <c r="GV293" s="527"/>
      <c r="GW293" s="527"/>
      <c r="GX293" s="527"/>
      <c r="GY293" s="527"/>
      <c r="GZ293" s="527"/>
      <c r="HA293" s="527"/>
      <c r="HB293" s="527"/>
      <c r="HC293" s="527"/>
      <c r="HD293" s="527"/>
      <c r="HE293" s="844"/>
      <c r="HF293" s="844"/>
      <c r="HG293" s="844"/>
      <c r="HH293" s="844"/>
      <c r="HI293" s="844"/>
      <c r="HJ293" s="844"/>
      <c r="HK293" s="844"/>
      <c r="HL293" s="844"/>
      <c r="HM293" s="844"/>
      <c r="HN293" s="844"/>
      <c r="HP293" s="466"/>
      <c r="HQ293" s="466"/>
      <c r="HR293" s="466"/>
      <c r="HS293" s="415"/>
      <c r="HT293" s="2292"/>
    </row>
    <row r="294" spans="3:228">
      <c r="C294" s="466"/>
      <c r="D294" s="466"/>
      <c r="E294" s="466"/>
      <c r="F294" s="466"/>
      <c r="G294" s="466"/>
      <c r="H294" s="466"/>
      <c r="I294" s="466"/>
      <c r="J294" s="466"/>
      <c r="K294" s="466"/>
      <c r="L294" s="466"/>
      <c r="M294" s="466"/>
      <c r="N294" s="466"/>
      <c r="O294" s="466"/>
      <c r="P294" s="510"/>
      <c r="Q294" s="510"/>
      <c r="R294" s="510"/>
      <c r="S294" s="510"/>
      <c r="T294" s="510"/>
      <c r="U294" s="510"/>
      <c r="V294" s="510"/>
      <c r="W294" s="510"/>
      <c r="X294" s="510"/>
      <c r="Y294" s="510"/>
      <c r="Z294" s="510"/>
      <c r="AA294" s="510"/>
      <c r="AB294" s="510"/>
      <c r="AC294" s="510"/>
      <c r="AD294" s="510"/>
      <c r="AE294" s="510"/>
      <c r="AF294" s="510"/>
      <c r="AG294" s="510"/>
      <c r="AH294" s="510"/>
      <c r="AI294" s="510"/>
      <c r="AJ294" s="510"/>
      <c r="AK294" s="510"/>
      <c r="AL294" s="510"/>
      <c r="AM294" s="510"/>
      <c r="AN294" s="510"/>
      <c r="AO294" s="510"/>
      <c r="AP294" s="510"/>
      <c r="AQ294" s="510"/>
      <c r="AR294" s="510"/>
      <c r="AS294" s="510"/>
      <c r="AT294" s="510"/>
      <c r="AU294" s="510"/>
      <c r="AV294" s="510"/>
      <c r="AW294" s="510"/>
      <c r="AX294" s="510"/>
      <c r="AY294" s="510"/>
      <c r="AZ294" s="466"/>
      <c r="BA294" s="466"/>
      <c r="BB294" s="466"/>
      <c r="BC294" s="466"/>
      <c r="BD294" s="466"/>
      <c r="BE294" s="466"/>
      <c r="BF294" s="466"/>
      <c r="BG294" s="466"/>
      <c r="BH294" s="466"/>
      <c r="BI294" s="466"/>
      <c r="BJ294" s="466"/>
      <c r="BK294" s="466"/>
      <c r="BL294" s="466"/>
      <c r="BM294" s="466"/>
      <c r="BN294" s="466"/>
      <c r="BO294" s="466"/>
      <c r="BP294" s="466"/>
      <c r="BQ294" s="466"/>
      <c r="BR294" s="466"/>
      <c r="BS294" s="466"/>
      <c r="BT294" s="466"/>
      <c r="BU294" s="466"/>
      <c r="BV294" s="466"/>
      <c r="BW294" s="466"/>
      <c r="BX294" s="466"/>
      <c r="BY294" s="466"/>
      <c r="BZ294" s="466"/>
      <c r="CA294" s="466"/>
      <c r="CB294" s="466"/>
      <c r="CC294" s="466"/>
      <c r="CD294" s="466"/>
      <c r="CE294" s="466"/>
      <c r="CF294" s="466"/>
      <c r="CG294" s="466"/>
      <c r="CH294" s="466"/>
      <c r="CI294" s="466"/>
      <c r="CJ294" s="466"/>
      <c r="CK294" s="466"/>
      <c r="CL294" s="466"/>
      <c r="CM294" s="466"/>
      <c r="CN294" s="466"/>
      <c r="CO294" s="466"/>
      <c r="CP294" s="466"/>
      <c r="CQ294" s="466"/>
      <c r="CR294" s="466"/>
      <c r="CS294" s="466"/>
      <c r="CT294" s="466"/>
      <c r="CU294" s="466"/>
      <c r="CV294" s="466"/>
      <c r="CW294" s="466"/>
      <c r="CX294" s="466"/>
      <c r="CY294" s="466"/>
      <c r="CZ294" s="466"/>
      <c r="DA294" s="466"/>
      <c r="DB294" s="466"/>
      <c r="DC294" s="466"/>
      <c r="DD294" s="466"/>
      <c r="DE294" s="466"/>
      <c r="DF294" s="466"/>
      <c r="DG294" s="466"/>
      <c r="FE294" s="527"/>
      <c r="FF294" s="466"/>
      <c r="FG294" s="466"/>
      <c r="FH294" s="466"/>
      <c r="FI294" s="466"/>
      <c r="FJ294" s="466"/>
      <c r="FK294" s="466"/>
      <c r="FL294" s="466"/>
      <c r="FM294" s="466"/>
      <c r="FN294" s="466"/>
      <c r="FO294" s="466"/>
      <c r="FP294" s="466"/>
      <c r="FQ294" s="466"/>
      <c r="FR294" s="466"/>
      <c r="FS294" s="466"/>
      <c r="FT294" s="466"/>
      <c r="FU294" s="466"/>
      <c r="FV294" s="466"/>
      <c r="FW294" s="466"/>
      <c r="FX294" s="466"/>
      <c r="FY294" s="466"/>
      <c r="FZ294" s="527"/>
      <c r="GA294" s="527"/>
      <c r="GB294" s="527"/>
      <c r="GC294" s="527"/>
      <c r="GD294" s="527"/>
      <c r="GE294" s="527"/>
      <c r="GF294" s="527"/>
      <c r="GG294" s="527"/>
      <c r="GH294" s="527"/>
      <c r="GI294" s="527"/>
      <c r="GJ294" s="527"/>
      <c r="GK294" s="527"/>
      <c r="GL294" s="527"/>
      <c r="GM294" s="527"/>
      <c r="GN294" s="527"/>
      <c r="GV294" s="527"/>
      <c r="GW294" s="527"/>
      <c r="GX294" s="527"/>
      <c r="GY294" s="527"/>
      <c r="GZ294" s="527"/>
      <c r="HA294" s="527"/>
      <c r="HB294" s="527"/>
      <c r="HC294" s="527"/>
      <c r="HD294" s="527"/>
      <c r="HE294" s="844"/>
      <c r="HF294" s="844"/>
      <c r="HG294" s="844"/>
      <c r="HH294" s="844"/>
      <c r="HI294" s="844"/>
      <c r="HJ294" s="844"/>
      <c r="HK294" s="844"/>
      <c r="HL294" s="844"/>
      <c r="HM294" s="844"/>
      <c r="HN294" s="844"/>
      <c r="HP294" s="466"/>
      <c r="HQ294" s="466"/>
      <c r="HR294" s="466"/>
      <c r="HS294" s="415"/>
      <c r="HT294" s="2292"/>
    </row>
    <row r="295" spans="3:228">
      <c r="C295" s="466"/>
      <c r="D295" s="466"/>
      <c r="E295" s="466"/>
      <c r="F295" s="466"/>
      <c r="G295" s="466"/>
      <c r="H295" s="466"/>
      <c r="I295" s="466"/>
      <c r="J295" s="466"/>
      <c r="K295" s="466"/>
      <c r="L295" s="466"/>
      <c r="M295" s="466"/>
      <c r="N295" s="466"/>
      <c r="O295" s="466"/>
      <c r="P295" s="510"/>
      <c r="Q295" s="510"/>
      <c r="R295" s="510"/>
      <c r="S295" s="510"/>
      <c r="T295" s="510"/>
      <c r="U295" s="510"/>
      <c r="V295" s="510"/>
      <c r="W295" s="510"/>
      <c r="X295" s="510"/>
      <c r="Y295" s="510"/>
      <c r="Z295" s="510"/>
      <c r="AA295" s="510"/>
      <c r="AB295" s="510"/>
      <c r="AC295" s="510"/>
      <c r="AD295" s="510"/>
      <c r="AE295" s="510"/>
      <c r="AF295" s="510"/>
      <c r="AG295" s="510"/>
      <c r="AH295" s="510"/>
      <c r="AI295" s="510"/>
      <c r="AJ295" s="510"/>
      <c r="AK295" s="510"/>
      <c r="AL295" s="510"/>
      <c r="AM295" s="510"/>
      <c r="AN295" s="510"/>
      <c r="AO295" s="510"/>
      <c r="AP295" s="510"/>
      <c r="AQ295" s="510"/>
      <c r="AR295" s="510"/>
      <c r="AS295" s="510"/>
      <c r="AT295" s="510"/>
      <c r="AU295" s="510"/>
      <c r="AV295" s="510"/>
      <c r="AW295" s="510"/>
      <c r="AX295" s="510"/>
      <c r="AY295" s="510"/>
      <c r="AZ295" s="466"/>
      <c r="BA295" s="466"/>
      <c r="BB295" s="466"/>
      <c r="BC295" s="466"/>
      <c r="BD295" s="466"/>
      <c r="BE295" s="466"/>
      <c r="BF295" s="466"/>
      <c r="BG295" s="466"/>
      <c r="BH295" s="466"/>
      <c r="BI295" s="466"/>
      <c r="BJ295" s="466"/>
      <c r="BK295" s="466"/>
      <c r="BL295" s="466"/>
      <c r="BM295" s="466"/>
      <c r="BN295" s="466"/>
      <c r="BO295" s="466"/>
      <c r="BP295" s="466"/>
      <c r="BQ295" s="466"/>
      <c r="BR295" s="466"/>
      <c r="BS295" s="466"/>
      <c r="BT295" s="466"/>
      <c r="BU295" s="466"/>
      <c r="BV295" s="466"/>
      <c r="BW295" s="466"/>
      <c r="BX295" s="466"/>
      <c r="BY295" s="466"/>
      <c r="BZ295" s="466"/>
      <c r="CA295" s="466"/>
      <c r="CB295" s="466"/>
      <c r="CC295" s="466"/>
      <c r="CD295" s="466"/>
      <c r="CE295" s="466"/>
      <c r="CF295" s="466"/>
      <c r="CG295" s="466"/>
      <c r="CH295" s="466"/>
      <c r="CI295" s="466"/>
      <c r="CJ295" s="466"/>
      <c r="CK295" s="466"/>
      <c r="CL295" s="466"/>
      <c r="CM295" s="466"/>
      <c r="CN295" s="466"/>
      <c r="CO295" s="466"/>
      <c r="CP295" s="466"/>
      <c r="CQ295" s="466"/>
      <c r="CR295" s="466"/>
      <c r="CS295" s="466"/>
      <c r="CT295" s="466"/>
      <c r="CU295" s="466"/>
      <c r="CV295" s="466"/>
      <c r="CW295" s="466"/>
      <c r="CX295" s="466"/>
      <c r="CY295" s="466"/>
      <c r="CZ295" s="466"/>
      <c r="DA295" s="466"/>
      <c r="DB295" s="466"/>
      <c r="DC295" s="466"/>
      <c r="DD295" s="466"/>
      <c r="DE295" s="466"/>
      <c r="DF295" s="466"/>
      <c r="DG295" s="466"/>
      <c r="FE295" s="527"/>
      <c r="FF295" s="466"/>
      <c r="FG295" s="466"/>
      <c r="FH295" s="466"/>
      <c r="FI295" s="466"/>
      <c r="FJ295" s="466"/>
      <c r="FK295" s="466"/>
      <c r="FL295" s="466"/>
      <c r="FM295" s="466"/>
      <c r="FN295" s="466"/>
      <c r="FO295" s="466"/>
      <c r="FP295" s="466"/>
      <c r="FQ295" s="466"/>
      <c r="FR295" s="466"/>
      <c r="FS295" s="466"/>
      <c r="FT295" s="466"/>
      <c r="FU295" s="466"/>
      <c r="FV295" s="466"/>
      <c r="FW295" s="466"/>
      <c r="FX295" s="466"/>
      <c r="FY295" s="466"/>
      <c r="FZ295" s="527"/>
      <c r="GA295" s="527"/>
      <c r="GB295" s="527"/>
      <c r="GC295" s="527"/>
      <c r="GD295" s="527"/>
      <c r="GE295" s="527"/>
      <c r="GF295" s="527"/>
      <c r="GG295" s="527"/>
      <c r="GH295" s="527"/>
      <c r="GI295" s="527"/>
      <c r="GJ295" s="527"/>
      <c r="GK295" s="527"/>
      <c r="GL295" s="527"/>
      <c r="GM295" s="527"/>
      <c r="GN295" s="527"/>
      <c r="GV295" s="527"/>
      <c r="GW295" s="527"/>
      <c r="GX295" s="527"/>
      <c r="GY295" s="527"/>
      <c r="GZ295" s="527"/>
      <c r="HA295" s="527"/>
      <c r="HB295" s="527"/>
      <c r="HC295" s="527"/>
      <c r="HD295" s="527"/>
      <c r="HE295" s="844"/>
      <c r="HF295" s="844"/>
      <c r="HG295" s="844"/>
      <c r="HH295" s="844"/>
      <c r="HI295" s="844"/>
      <c r="HJ295" s="844"/>
      <c r="HK295" s="844"/>
      <c r="HL295" s="844"/>
      <c r="HM295" s="844"/>
      <c r="HN295" s="844"/>
      <c r="HP295" s="466"/>
      <c r="HQ295" s="466"/>
      <c r="HR295" s="466"/>
      <c r="HS295" s="415"/>
      <c r="HT295" s="2292"/>
    </row>
    <row r="296" spans="3:228">
      <c r="C296" s="466"/>
      <c r="D296" s="466"/>
      <c r="E296" s="466"/>
      <c r="F296" s="466"/>
      <c r="G296" s="466"/>
      <c r="H296" s="466"/>
      <c r="I296" s="466"/>
      <c r="J296" s="466"/>
      <c r="K296" s="466"/>
      <c r="L296" s="466"/>
      <c r="M296" s="466"/>
      <c r="N296" s="466"/>
      <c r="O296" s="466"/>
      <c r="P296" s="510"/>
      <c r="Q296" s="510"/>
      <c r="R296" s="510"/>
      <c r="S296" s="510"/>
      <c r="T296" s="510"/>
      <c r="U296" s="510"/>
      <c r="V296" s="510"/>
      <c r="W296" s="510"/>
      <c r="X296" s="510"/>
      <c r="Y296" s="510"/>
      <c r="Z296" s="510"/>
      <c r="AA296" s="510"/>
      <c r="AB296" s="510"/>
      <c r="AC296" s="510"/>
      <c r="AD296" s="510"/>
      <c r="AE296" s="510"/>
      <c r="AF296" s="510"/>
      <c r="AG296" s="510"/>
      <c r="AH296" s="510"/>
      <c r="AI296" s="510"/>
      <c r="AJ296" s="510"/>
      <c r="AK296" s="510"/>
      <c r="AL296" s="510"/>
      <c r="AM296" s="510"/>
      <c r="AN296" s="510"/>
      <c r="AO296" s="510"/>
      <c r="AP296" s="510"/>
      <c r="AQ296" s="510"/>
      <c r="AR296" s="510"/>
      <c r="AS296" s="510"/>
      <c r="AT296" s="510"/>
      <c r="AU296" s="510"/>
      <c r="AV296" s="510"/>
      <c r="AW296" s="510"/>
      <c r="AX296" s="510"/>
      <c r="AY296" s="510"/>
      <c r="AZ296" s="466"/>
      <c r="BA296" s="466"/>
      <c r="BB296" s="466"/>
      <c r="BC296" s="466"/>
      <c r="BD296" s="466"/>
      <c r="BE296" s="466"/>
      <c r="BF296" s="466"/>
      <c r="BG296" s="466"/>
      <c r="BH296" s="466"/>
      <c r="BI296" s="466"/>
      <c r="BJ296" s="466"/>
      <c r="BK296" s="466"/>
      <c r="BL296" s="466"/>
      <c r="BM296" s="466"/>
      <c r="BN296" s="466"/>
      <c r="BO296" s="466"/>
      <c r="BP296" s="466"/>
      <c r="BQ296" s="466"/>
      <c r="BR296" s="466"/>
      <c r="BS296" s="466"/>
      <c r="BT296" s="466"/>
      <c r="BU296" s="466"/>
      <c r="BV296" s="466"/>
      <c r="BW296" s="466"/>
      <c r="BX296" s="466"/>
      <c r="BY296" s="466"/>
      <c r="BZ296" s="466"/>
      <c r="CA296" s="466"/>
      <c r="CB296" s="466"/>
      <c r="CC296" s="466"/>
      <c r="CD296" s="466"/>
      <c r="CE296" s="466"/>
      <c r="CF296" s="466"/>
      <c r="CG296" s="466"/>
      <c r="CH296" s="466"/>
      <c r="CI296" s="466"/>
      <c r="CJ296" s="466"/>
      <c r="CK296" s="466"/>
      <c r="CL296" s="466"/>
      <c r="CM296" s="466"/>
      <c r="CN296" s="466"/>
      <c r="CO296" s="466"/>
      <c r="CP296" s="466"/>
      <c r="CQ296" s="466"/>
      <c r="CR296" s="466"/>
      <c r="CS296" s="466"/>
      <c r="CT296" s="466"/>
      <c r="CU296" s="466"/>
      <c r="CV296" s="466"/>
      <c r="CW296" s="466"/>
      <c r="CX296" s="466"/>
      <c r="CY296" s="466"/>
      <c r="CZ296" s="466"/>
      <c r="DA296" s="466"/>
      <c r="DB296" s="466"/>
      <c r="DC296" s="466"/>
      <c r="DD296" s="466"/>
      <c r="DE296" s="466"/>
      <c r="DF296" s="466"/>
      <c r="DG296" s="466"/>
      <c r="FE296" s="527"/>
      <c r="FF296" s="466"/>
      <c r="FG296" s="466"/>
      <c r="FH296" s="466"/>
      <c r="FI296" s="466"/>
      <c r="FJ296" s="466"/>
      <c r="FK296" s="466"/>
      <c r="FL296" s="466"/>
      <c r="FM296" s="466"/>
      <c r="FN296" s="466"/>
      <c r="FO296" s="466"/>
      <c r="FP296" s="466"/>
      <c r="FQ296" s="466"/>
      <c r="FR296" s="466"/>
      <c r="FS296" s="466"/>
      <c r="FT296" s="466"/>
      <c r="FU296" s="466"/>
      <c r="FV296" s="466"/>
      <c r="FW296" s="466"/>
      <c r="FX296" s="466"/>
      <c r="FY296" s="466"/>
      <c r="FZ296" s="527"/>
      <c r="GA296" s="527"/>
      <c r="GB296" s="527"/>
      <c r="GC296" s="527"/>
      <c r="GD296" s="527"/>
      <c r="GE296" s="527"/>
      <c r="GF296" s="527"/>
      <c r="GG296" s="527"/>
      <c r="GH296" s="527"/>
      <c r="GI296" s="527"/>
      <c r="GJ296" s="527"/>
      <c r="GK296" s="527"/>
      <c r="GL296" s="527"/>
      <c r="GM296" s="527"/>
      <c r="GN296" s="527"/>
      <c r="GV296" s="527"/>
      <c r="GW296" s="527"/>
      <c r="GX296" s="527"/>
      <c r="GY296" s="527"/>
      <c r="GZ296" s="527"/>
      <c r="HA296" s="527"/>
      <c r="HB296" s="527"/>
      <c r="HC296" s="527"/>
      <c r="HD296" s="527"/>
      <c r="HE296" s="844"/>
      <c r="HF296" s="844"/>
      <c r="HG296" s="844"/>
      <c r="HH296" s="844"/>
      <c r="HI296" s="844"/>
      <c r="HJ296" s="844"/>
      <c r="HK296" s="844"/>
      <c r="HL296" s="844"/>
      <c r="HM296" s="844"/>
      <c r="HN296" s="844"/>
      <c r="HP296" s="466"/>
      <c r="HQ296" s="466"/>
      <c r="HR296" s="466"/>
      <c r="HS296" s="415"/>
      <c r="HT296" s="2292"/>
    </row>
    <row r="297" spans="3:228">
      <c r="C297" s="466"/>
      <c r="D297" s="466"/>
      <c r="E297" s="466"/>
      <c r="F297" s="466"/>
      <c r="G297" s="466"/>
      <c r="H297" s="466"/>
      <c r="I297" s="466"/>
      <c r="J297" s="466"/>
      <c r="K297" s="466"/>
      <c r="L297" s="466"/>
      <c r="M297" s="466"/>
      <c r="N297" s="466"/>
      <c r="O297" s="466"/>
      <c r="P297" s="510"/>
      <c r="Q297" s="510"/>
      <c r="R297" s="510"/>
      <c r="S297" s="510"/>
      <c r="T297" s="510"/>
      <c r="U297" s="510"/>
      <c r="V297" s="510"/>
      <c r="W297" s="510"/>
      <c r="X297" s="510"/>
      <c r="Y297" s="510"/>
      <c r="Z297" s="510"/>
      <c r="AA297" s="510"/>
      <c r="AB297" s="510"/>
      <c r="AC297" s="510"/>
      <c r="AD297" s="510"/>
      <c r="AE297" s="510"/>
      <c r="AF297" s="510"/>
      <c r="AG297" s="510"/>
      <c r="AH297" s="510"/>
      <c r="AI297" s="510"/>
      <c r="AJ297" s="510"/>
      <c r="AK297" s="510"/>
      <c r="AL297" s="510"/>
      <c r="AM297" s="510"/>
      <c r="AN297" s="510"/>
      <c r="AO297" s="510"/>
      <c r="AP297" s="510"/>
      <c r="AQ297" s="510"/>
      <c r="AR297" s="510"/>
      <c r="AS297" s="510"/>
      <c r="AT297" s="510"/>
      <c r="AU297" s="510"/>
      <c r="AV297" s="510"/>
      <c r="AW297" s="510"/>
      <c r="AX297" s="510"/>
      <c r="AY297" s="510"/>
      <c r="AZ297" s="466"/>
      <c r="BA297" s="466"/>
      <c r="BB297" s="466"/>
      <c r="BC297" s="466"/>
      <c r="BD297" s="466"/>
      <c r="BE297" s="466"/>
      <c r="BF297" s="466"/>
      <c r="BG297" s="466"/>
      <c r="BH297" s="466"/>
      <c r="BI297" s="466"/>
      <c r="BJ297" s="466"/>
      <c r="BK297" s="466"/>
      <c r="BL297" s="466"/>
      <c r="BM297" s="466"/>
      <c r="BN297" s="466"/>
      <c r="BO297" s="466"/>
      <c r="BP297" s="466"/>
      <c r="BQ297" s="466"/>
      <c r="BR297" s="466"/>
      <c r="BS297" s="466"/>
      <c r="BT297" s="466"/>
      <c r="BU297" s="466"/>
      <c r="BV297" s="466"/>
      <c r="BW297" s="466"/>
      <c r="BX297" s="466"/>
      <c r="BY297" s="466"/>
      <c r="BZ297" s="466"/>
      <c r="CA297" s="466"/>
      <c r="CB297" s="466"/>
      <c r="CC297" s="466"/>
      <c r="CD297" s="466"/>
      <c r="CE297" s="466"/>
      <c r="CF297" s="466"/>
      <c r="CG297" s="466"/>
      <c r="CH297" s="466"/>
      <c r="CI297" s="466"/>
      <c r="CJ297" s="466"/>
      <c r="CK297" s="466"/>
      <c r="CL297" s="466"/>
      <c r="CM297" s="466"/>
      <c r="CN297" s="466"/>
      <c r="CO297" s="466"/>
      <c r="CP297" s="466"/>
      <c r="CQ297" s="466"/>
      <c r="CR297" s="466"/>
      <c r="CS297" s="466"/>
      <c r="CT297" s="466"/>
      <c r="CU297" s="466"/>
      <c r="CV297" s="466"/>
      <c r="CW297" s="466"/>
      <c r="CX297" s="466"/>
      <c r="CY297" s="466"/>
      <c r="CZ297" s="466"/>
      <c r="DA297" s="466"/>
      <c r="DB297" s="466"/>
      <c r="DC297" s="466"/>
      <c r="DD297" s="466"/>
      <c r="DE297" s="466"/>
      <c r="DF297" s="466"/>
      <c r="DG297" s="466"/>
      <c r="FE297" s="527"/>
      <c r="FF297" s="466"/>
      <c r="FG297" s="466"/>
      <c r="FH297" s="466"/>
      <c r="FI297" s="466"/>
      <c r="FJ297" s="466"/>
      <c r="FK297" s="466"/>
      <c r="FL297" s="466"/>
      <c r="FM297" s="466"/>
      <c r="FN297" s="466"/>
      <c r="FO297" s="466"/>
      <c r="FP297" s="466"/>
      <c r="FQ297" s="466"/>
      <c r="FR297" s="466"/>
      <c r="FS297" s="466"/>
      <c r="FT297" s="466"/>
      <c r="FU297" s="466"/>
      <c r="FV297" s="466"/>
      <c r="FW297" s="466"/>
      <c r="FX297" s="466"/>
      <c r="FY297" s="466"/>
      <c r="FZ297" s="527"/>
      <c r="GA297" s="527"/>
      <c r="GB297" s="527"/>
      <c r="GC297" s="527"/>
      <c r="GD297" s="527"/>
      <c r="GE297" s="527"/>
      <c r="GF297" s="527"/>
      <c r="GG297" s="527"/>
      <c r="GH297" s="527"/>
      <c r="GI297" s="527"/>
      <c r="GJ297" s="527"/>
      <c r="GK297" s="527"/>
      <c r="GL297" s="527"/>
      <c r="GM297" s="527"/>
      <c r="GN297" s="527"/>
      <c r="GV297" s="527"/>
      <c r="GW297" s="527"/>
      <c r="GX297" s="527"/>
      <c r="GY297" s="527"/>
      <c r="GZ297" s="527"/>
      <c r="HA297" s="527"/>
      <c r="HB297" s="527"/>
      <c r="HC297" s="527"/>
      <c r="HD297" s="527"/>
      <c r="HE297" s="844"/>
      <c r="HF297" s="844"/>
      <c r="HG297" s="844"/>
      <c r="HH297" s="844"/>
      <c r="HI297" s="844"/>
      <c r="HJ297" s="844"/>
      <c r="HK297" s="844"/>
      <c r="HL297" s="844"/>
      <c r="HM297" s="844"/>
      <c r="HN297" s="844"/>
      <c r="HP297" s="466"/>
      <c r="HQ297" s="466"/>
      <c r="HR297" s="466"/>
      <c r="HS297" s="415"/>
      <c r="HT297" s="2292"/>
    </row>
    <row r="298" spans="3:228">
      <c r="C298" s="466"/>
      <c r="D298" s="466"/>
      <c r="E298" s="466"/>
      <c r="F298" s="466"/>
      <c r="G298" s="466"/>
      <c r="H298" s="466"/>
      <c r="I298" s="466"/>
      <c r="J298" s="466"/>
      <c r="K298" s="466"/>
      <c r="L298" s="466"/>
      <c r="M298" s="466"/>
      <c r="N298" s="466"/>
      <c r="O298" s="466"/>
      <c r="P298" s="510"/>
      <c r="Q298" s="510"/>
      <c r="R298" s="510"/>
      <c r="S298" s="510"/>
      <c r="T298" s="510"/>
      <c r="U298" s="510"/>
      <c r="V298" s="510"/>
      <c r="W298" s="510"/>
      <c r="X298" s="510"/>
      <c r="Y298" s="510"/>
      <c r="Z298" s="510"/>
      <c r="AA298" s="510"/>
      <c r="AB298" s="510"/>
      <c r="AC298" s="510"/>
      <c r="AD298" s="510"/>
      <c r="AE298" s="510"/>
      <c r="AF298" s="510"/>
      <c r="AG298" s="510"/>
      <c r="AH298" s="510"/>
      <c r="AI298" s="510"/>
      <c r="AJ298" s="510"/>
      <c r="AK298" s="510"/>
      <c r="AL298" s="510"/>
      <c r="AM298" s="510"/>
      <c r="AN298" s="510"/>
      <c r="AO298" s="510"/>
      <c r="AP298" s="510"/>
      <c r="AQ298" s="510"/>
      <c r="AR298" s="510"/>
      <c r="AS298" s="510"/>
      <c r="AT298" s="510"/>
      <c r="AU298" s="510"/>
      <c r="AV298" s="510"/>
      <c r="AW298" s="510"/>
      <c r="AX298" s="510"/>
      <c r="AY298" s="510"/>
      <c r="AZ298" s="466"/>
      <c r="BA298" s="466"/>
      <c r="BB298" s="466"/>
      <c r="BC298" s="466"/>
      <c r="BD298" s="466"/>
      <c r="BE298" s="466"/>
      <c r="BF298" s="466"/>
      <c r="BG298" s="466"/>
      <c r="BH298" s="466"/>
      <c r="BI298" s="466"/>
      <c r="BJ298" s="466"/>
      <c r="BK298" s="466"/>
      <c r="BL298" s="466"/>
      <c r="BM298" s="466"/>
      <c r="BN298" s="466"/>
      <c r="BO298" s="466"/>
      <c r="BP298" s="466"/>
      <c r="BQ298" s="466"/>
      <c r="BR298" s="466"/>
      <c r="BS298" s="466"/>
      <c r="BT298" s="466"/>
      <c r="BU298" s="466"/>
      <c r="BV298" s="466"/>
      <c r="BW298" s="466"/>
      <c r="BX298" s="466"/>
      <c r="BY298" s="466"/>
      <c r="BZ298" s="466"/>
      <c r="CA298" s="466"/>
      <c r="CB298" s="466"/>
      <c r="CC298" s="466"/>
      <c r="CD298" s="466"/>
      <c r="CE298" s="466"/>
      <c r="CF298" s="466"/>
      <c r="CG298" s="466"/>
      <c r="CH298" s="466"/>
      <c r="CI298" s="466"/>
      <c r="CJ298" s="466"/>
      <c r="CK298" s="466"/>
      <c r="CL298" s="466"/>
      <c r="CM298" s="466"/>
      <c r="CN298" s="466"/>
      <c r="CO298" s="466"/>
      <c r="CP298" s="466"/>
      <c r="CQ298" s="466"/>
      <c r="CR298" s="466"/>
      <c r="CS298" s="466"/>
      <c r="CT298" s="466"/>
      <c r="CU298" s="466"/>
      <c r="CV298" s="466"/>
      <c r="CW298" s="466"/>
      <c r="CX298" s="466"/>
      <c r="CY298" s="466"/>
      <c r="CZ298" s="466"/>
      <c r="DA298" s="466"/>
      <c r="DB298" s="466"/>
      <c r="DC298" s="466"/>
      <c r="DD298" s="466"/>
      <c r="DE298" s="466"/>
      <c r="DF298" s="466"/>
      <c r="DG298" s="466"/>
      <c r="FE298" s="527"/>
      <c r="FF298" s="466"/>
      <c r="FG298" s="466"/>
      <c r="FH298" s="466"/>
      <c r="FI298" s="466"/>
      <c r="FJ298" s="466"/>
      <c r="FK298" s="466"/>
      <c r="FL298" s="466"/>
      <c r="FM298" s="466"/>
      <c r="FN298" s="466"/>
      <c r="FO298" s="466"/>
      <c r="FP298" s="466"/>
      <c r="FQ298" s="466"/>
      <c r="FR298" s="466"/>
      <c r="FS298" s="466"/>
      <c r="FT298" s="466"/>
      <c r="FU298" s="466"/>
      <c r="FV298" s="466"/>
      <c r="FW298" s="466"/>
      <c r="FX298" s="466"/>
      <c r="FY298" s="466"/>
      <c r="FZ298" s="527"/>
      <c r="GA298" s="527"/>
      <c r="GB298" s="527"/>
      <c r="GC298" s="527"/>
      <c r="GD298" s="527"/>
      <c r="GE298" s="527"/>
      <c r="GF298" s="527"/>
      <c r="GG298" s="527"/>
      <c r="GH298" s="527"/>
      <c r="GI298" s="527"/>
      <c r="GJ298" s="527"/>
      <c r="GK298" s="527"/>
      <c r="GL298" s="527"/>
      <c r="GM298" s="527"/>
      <c r="GN298" s="527"/>
      <c r="GV298" s="527"/>
      <c r="GW298" s="527"/>
      <c r="GX298" s="527"/>
      <c r="GY298" s="527"/>
      <c r="GZ298" s="527"/>
      <c r="HA298" s="527"/>
      <c r="HB298" s="527"/>
      <c r="HC298" s="527"/>
      <c r="HD298" s="527"/>
      <c r="HE298" s="844"/>
      <c r="HF298" s="844"/>
      <c r="HG298" s="844"/>
      <c r="HH298" s="844"/>
      <c r="HI298" s="844"/>
      <c r="HJ298" s="844"/>
      <c r="HK298" s="844"/>
      <c r="HL298" s="844"/>
      <c r="HM298" s="844"/>
      <c r="HN298" s="844"/>
      <c r="HP298" s="466"/>
      <c r="HQ298" s="466"/>
      <c r="HR298" s="466"/>
      <c r="HS298" s="415"/>
      <c r="HT298" s="2292"/>
    </row>
    <row r="299" spans="3:228">
      <c r="C299" s="466"/>
      <c r="D299" s="466"/>
      <c r="E299" s="466"/>
      <c r="F299" s="466"/>
      <c r="G299" s="466"/>
      <c r="H299" s="466"/>
      <c r="I299" s="466"/>
      <c r="J299" s="466"/>
      <c r="K299" s="466"/>
      <c r="L299" s="466"/>
      <c r="M299" s="466"/>
      <c r="N299" s="466"/>
      <c r="O299" s="466"/>
      <c r="P299" s="510"/>
      <c r="Q299" s="510"/>
      <c r="R299" s="510"/>
      <c r="S299" s="510"/>
      <c r="T299" s="510"/>
      <c r="U299" s="510"/>
      <c r="V299" s="510"/>
      <c r="W299" s="510"/>
      <c r="X299" s="510"/>
      <c r="Y299" s="510"/>
      <c r="Z299" s="510"/>
      <c r="AA299" s="510"/>
      <c r="AB299" s="510"/>
      <c r="AC299" s="510"/>
      <c r="AD299" s="510"/>
      <c r="AE299" s="510"/>
      <c r="AF299" s="510"/>
      <c r="AG299" s="510"/>
      <c r="AH299" s="510"/>
      <c r="AI299" s="510"/>
      <c r="AJ299" s="510"/>
      <c r="AK299" s="510"/>
      <c r="AL299" s="510"/>
      <c r="AM299" s="510"/>
      <c r="AN299" s="510"/>
      <c r="AO299" s="510"/>
      <c r="AP299" s="510"/>
      <c r="AQ299" s="510"/>
      <c r="AR299" s="510"/>
      <c r="AS299" s="510"/>
      <c r="AT299" s="510"/>
      <c r="AU299" s="510"/>
      <c r="AV299" s="510"/>
      <c r="AW299" s="510"/>
      <c r="AX299" s="510"/>
      <c r="AY299" s="510"/>
      <c r="AZ299" s="466"/>
      <c r="BA299" s="466"/>
      <c r="BB299" s="466"/>
      <c r="BC299" s="466"/>
      <c r="BD299" s="466"/>
      <c r="BE299" s="466"/>
      <c r="BF299" s="466"/>
      <c r="BG299" s="466"/>
      <c r="BH299" s="466"/>
      <c r="BI299" s="466"/>
      <c r="BJ299" s="466"/>
      <c r="BK299" s="466"/>
      <c r="BL299" s="466"/>
      <c r="BM299" s="466"/>
      <c r="BN299" s="466"/>
      <c r="BO299" s="466"/>
      <c r="BP299" s="466"/>
      <c r="BQ299" s="466"/>
      <c r="BR299" s="466"/>
      <c r="BS299" s="466"/>
      <c r="BT299" s="466"/>
      <c r="BU299" s="466"/>
      <c r="BV299" s="466"/>
      <c r="BW299" s="466"/>
      <c r="BX299" s="466"/>
      <c r="BY299" s="466"/>
      <c r="BZ299" s="466"/>
      <c r="CA299" s="466"/>
      <c r="CB299" s="466"/>
      <c r="CC299" s="466"/>
      <c r="CD299" s="466"/>
      <c r="CE299" s="466"/>
      <c r="CF299" s="466"/>
      <c r="CG299" s="466"/>
      <c r="CH299" s="466"/>
      <c r="CI299" s="466"/>
      <c r="CJ299" s="466"/>
      <c r="CK299" s="466"/>
      <c r="CL299" s="466"/>
      <c r="CM299" s="466"/>
      <c r="CN299" s="466"/>
      <c r="CO299" s="466"/>
      <c r="CP299" s="466"/>
      <c r="CQ299" s="466"/>
      <c r="CR299" s="466"/>
      <c r="CS299" s="466"/>
      <c r="CT299" s="466"/>
      <c r="CU299" s="466"/>
      <c r="CV299" s="466"/>
      <c r="CW299" s="466"/>
      <c r="CX299" s="466"/>
      <c r="CY299" s="466"/>
      <c r="CZ299" s="466"/>
      <c r="DA299" s="466"/>
      <c r="DB299" s="466"/>
      <c r="DC299" s="466"/>
      <c r="DD299" s="466"/>
      <c r="DE299" s="466"/>
      <c r="DF299" s="466"/>
      <c r="DG299" s="466"/>
      <c r="FE299" s="527"/>
      <c r="FF299" s="466"/>
      <c r="FG299" s="466"/>
      <c r="FH299" s="466"/>
      <c r="FI299" s="466"/>
      <c r="FJ299" s="466"/>
      <c r="FK299" s="466"/>
      <c r="FL299" s="466"/>
      <c r="FM299" s="466"/>
      <c r="FN299" s="466"/>
      <c r="FO299" s="466"/>
      <c r="FP299" s="466"/>
      <c r="FQ299" s="466"/>
      <c r="FR299" s="466"/>
      <c r="FS299" s="466"/>
      <c r="FT299" s="466"/>
      <c r="FU299" s="466"/>
      <c r="FV299" s="466"/>
      <c r="FW299" s="466"/>
      <c r="FX299" s="466"/>
      <c r="FY299" s="466"/>
      <c r="FZ299" s="527"/>
      <c r="GA299" s="527"/>
      <c r="GB299" s="527"/>
      <c r="GC299" s="527"/>
      <c r="GD299" s="527"/>
      <c r="GE299" s="527"/>
      <c r="GF299" s="527"/>
      <c r="GG299" s="527"/>
      <c r="GH299" s="527"/>
      <c r="GI299" s="527"/>
      <c r="GJ299" s="527"/>
      <c r="GK299" s="527"/>
      <c r="GL299" s="527"/>
      <c r="GM299" s="527"/>
      <c r="GN299" s="527"/>
      <c r="GV299" s="527"/>
      <c r="GW299" s="527"/>
      <c r="GX299" s="527"/>
      <c r="GY299" s="527"/>
      <c r="GZ299" s="527"/>
      <c r="HA299" s="527"/>
      <c r="HB299" s="527"/>
      <c r="HC299" s="527"/>
      <c r="HD299" s="527"/>
      <c r="HE299" s="844"/>
      <c r="HF299" s="844"/>
      <c r="HG299" s="844"/>
      <c r="HH299" s="844"/>
      <c r="HI299" s="844"/>
      <c r="HJ299" s="844"/>
      <c r="HK299" s="844"/>
      <c r="HL299" s="844"/>
      <c r="HM299" s="844"/>
      <c r="HN299" s="844"/>
      <c r="HP299" s="466"/>
      <c r="HQ299" s="466"/>
      <c r="HR299" s="466"/>
      <c r="HS299" s="415"/>
      <c r="HT299" s="2292"/>
    </row>
    <row r="300" spans="3:228">
      <c r="C300" s="466"/>
      <c r="D300" s="466"/>
      <c r="E300" s="466"/>
      <c r="F300" s="466"/>
      <c r="G300" s="466"/>
      <c r="H300" s="466"/>
      <c r="I300" s="466"/>
      <c r="J300" s="466"/>
      <c r="K300" s="466"/>
      <c r="L300" s="466"/>
      <c r="M300" s="466"/>
      <c r="N300" s="466"/>
      <c r="O300" s="466"/>
      <c r="P300" s="510"/>
      <c r="Q300" s="510"/>
      <c r="R300" s="510"/>
      <c r="S300" s="510"/>
      <c r="T300" s="510"/>
      <c r="U300" s="510"/>
      <c r="V300" s="510"/>
      <c r="W300" s="510"/>
      <c r="X300" s="510"/>
      <c r="Y300" s="510"/>
      <c r="Z300" s="510"/>
      <c r="AA300" s="510"/>
      <c r="AB300" s="510"/>
      <c r="AC300" s="510"/>
      <c r="AD300" s="510"/>
      <c r="AE300" s="510"/>
      <c r="AF300" s="510"/>
      <c r="AG300" s="510"/>
      <c r="AH300" s="510"/>
      <c r="AI300" s="510"/>
      <c r="AJ300" s="510"/>
      <c r="AK300" s="510"/>
      <c r="AL300" s="510"/>
      <c r="AM300" s="510"/>
      <c r="AN300" s="510"/>
      <c r="AO300" s="510"/>
      <c r="AP300" s="510"/>
      <c r="AQ300" s="510"/>
      <c r="AR300" s="510"/>
      <c r="AS300" s="510"/>
      <c r="AT300" s="510"/>
      <c r="AU300" s="510"/>
      <c r="AV300" s="510"/>
      <c r="AW300" s="510"/>
      <c r="AX300" s="510"/>
      <c r="AY300" s="510"/>
      <c r="AZ300" s="466"/>
      <c r="BA300" s="466"/>
      <c r="BB300" s="466"/>
      <c r="BC300" s="466"/>
      <c r="BD300" s="466"/>
      <c r="BE300" s="466"/>
      <c r="BF300" s="466"/>
      <c r="BG300" s="466"/>
      <c r="BH300" s="466"/>
      <c r="BI300" s="466"/>
      <c r="BJ300" s="466"/>
      <c r="BK300" s="466"/>
      <c r="BL300" s="466"/>
      <c r="BM300" s="466"/>
      <c r="BN300" s="466"/>
      <c r="BO300" s="466"/>
      <c r="BP300" s="466"/>
      <c r="BQ300" s="466"/>
      <c r="BR300" s="466"/>
      <c r="BS300" s="466"/>
      <c r="BT300" s="466"/>
      <c r="BU300" s="466"/>
      <c r="BV300" s="466"/>
      <c r="BW300" s="466"/>
      <c r="BX300" s="466"/>
      <c r="BY300" s="466"/>
      <c r="BZ300" s="466"/>
      <c r="CA300" s="466"/>
      <c r="CB300" s="466"/>
      <c r="CC300" s="466"/>
      <c r="CD300" s="466"/>
      <c r="CE300" s="466"/>
      <c r="CF300" s="466"/>
      <c r="CG300" s="466"/>
      <c r="CH300" s="466"/>
      <c r="CI300" s="466"/>
      <c r="CJ300" s="466"/>
      <c r="CK300" s="466"/>
      <c r="CL300" s="466"/>
      <c r="CM300" s="466"/>
      <c r="CN300" s="466"/>
      <c r="CO300" s="466"/>
      <c r="CP300" s="466"/>
      <c r="CQ300" s="466"/>
      <c r="CR300" s="466"/>
      <c r="CS300" s="466"/>
      <c r="CT300" s="466"/>
      <c r="CU300" s="466"/>
      <c r="CV300" s="466"/>
      <c r="CW300" s="466"/>
      <c r="CX300" s="466"/>
      <c r="CY300" s="466"/>
      <c r="CZ300" s="466"/>
      <c r="DA300" s="466"/>
      <c r="DB300" s="466"/>
      <c r="DC300" s="466"/>
      <c r="DD300" s="466"/>
      <c r="DE300" s="466"/>
      <c r="DF300" s="466"/>
      <c r="DG300" s="466"/>
      <c r="FE300" s="527"/>
      <c r="FF300" s="466"/>
      <c r="FG300" s="466"/>
      <c r="FH300" s="466"/>
      <c r="FI300" s="466"/>
      <c r="FJ300" s="466"/>
      <c r="FK300" s="466"/>
      <c r="FL300" s="466"/>
      <c r="FM300" s="466"/>
      <c r="FN300" s="466"/>
      <c r="FO300" s="466"/>
      <c r="FP300" s="466"/>
      <c r="FQ300" s="466"/>
      <c r="FR300" s="466"/>
      <c r="FS300" s="466"/>
      <c r="FT300" s="466"/>
      <c r="FU300" s="466"/>
      <c r="FV300" s="466"/>
      <c r="FW300" s="466"/>
      <c r="FX300" s="466"/>
      <c r="FY300" s="466"/>
      <c r="FZ300" s="527"/>
      <c r="GA300" s="527"/>
      <c r="GB300" s="527"/>
      <c r="GC300" s="527"/>
      <c r="GD300" s="527"/>
      <c r="GE300" s="527"/>
      <c r="GF300" s="527"/>
      <c r="GG300" s="527"/>
      <c r="GH300" s="527"/>
      <c r="GI300" s="527"/>
      <c r="GJ300" s="527"/>
      <c r="GK300" s="527"/>
      <c r="GL300" s="527"/>
      <c r="GM300" s="527"/>
      <c r="GN300" s="527"/>
      <c r="GV300" s="527"/>
      <c r="GW300" s="527"/>
      <c r="GX300" s="527"/>
      <c r="GY300" s="527"/>
      <c r="GZ300" s="527"/>
      <c r="HA300" s="527"/>
      <c r="HB300" s="527"/>
      <c r="HC300" s="527"/>
      <c r="HD300" s="527"/>
      <c r="HE300" s="844"/>
      <c r="HF300" s="844"/>
      <c r="HG300" s="844"/>
      <c r="HH300" s="844"/>
      <c r="HI300" s="844"/>
      <c r="HJ300" s="844"/>
      <c r="HK300" s="844"/>
      <c r="HL300" s="844"/>
      <c r="HM300" s="844"/>
      <c r="HN300" s="844"/>
      <c r="HP300" s="466"/>
      <c r="HQ300" s="466"/>
      <c r="HR300" s="466"/>
      <c r="HS300" s="415"/>
      <c r="HT300" s="2292"/>
    </row>
    <row r="301" spans="3:228">
      <c r="C301" s="466"/>
      <c r="D301" s="466"/>
      <c r="E301" s="466"/>
      <c r="F301" s="466"/>
      <c r="G301" s="466"/>
      <c r="H301" s="466"/>
      <c r="I301" s="466"/>
      <c r="J301" s="466"/>
      <c r="K301" s="466"/>
      <c r="L301" s="466"/>
      <c r="M301" s="466"/>
      <c r="N301" s="466"/>
      <c r="O301" s="466"/>
      <c r="P301" s="510"/>
      <c r="Q301" s="510"/>
      <c r="R301" s="510"/>
      <c r="S301" s="510"/>
      <c r="T301" s="510"/>
      <c r="U301" s="510"/>
      <c r="V301" s="510"/>
      <c r="W301" s="510"/>
      <c r="X301" s="510"/>
      <c r="Y301" s="510"/>
      <c r="Z301" s="510"/>
      <c r="AA301" s="510"/>
      <c r="AB301" s="510"/>
      <c r="AC301" s="510"/>
      <c r="AD301" s="510"/>
      <c r="AE301" s="510"/>
      <c r="AF301" s="510"/>
      <c r="AG301" s="510"/>
      <c r="AH301" s="510"/>
      <c r="AI301" s="510"/>
      <c r="AJ301" s="510"/>
      <c r="AK301" s="510"/>
      <c r="AL301" s="510"/>
      <c r="AM301" s="510"/>
      <c r="AN301" s="510"/>
      <c r="AO301" s="510"/>
      <c r="AP301" s="510"/>
      <c r="AQ301" s="510"/>
      <c r="AR301" s="510"/>
      <c r="AS301" s="510"/>
      <c r="AT301" s="510"/>
      <c r="AU301" s="510"/>
      <c r="AV301" s="510"/>
      <c r="AW301" s="510"/>
      <c r="AX301" s="510"/>
      <c r="AY301" s="510"/>
      <c r="AZ301" s="466"/>
      <c r="BA301" s="466"/>
      <c r="BB301" s="466"/>
      <c r="BC301" s="466"/>
      <c r="BD301" s="466"/>
      <c r="BE301" s="466"/>
      <c r="BF301" s="466"/>
      <c r="BG301" s="466"/>
      <c r="BH301" s="466"/>
      <c r="BI301" s="466"/>
      <c r="BJ301" s="466"/>
      <c r="BK301" s="466"/>
      <c r="BL301" s="466"/>
      <c r="BM301" s="466"/>
      <c r="BN301" s="466"/>
      <c r="BO301" s="466"/>
      <c r="BP301" s="466"/>
      <c r="BQ301" s="466"/>
      <c r="BR301" s="466"/>
      <c r="BS301" s="466"/>
      <c r="BT301" s="466"/>
      <c r="BU301" s="466"/>
      <c r="BV301" s="466"/>
      <c r="BW301" s="466"/>
      <c r="BX301" s="466"/>
      <c r="BY301" s="466"/>
      <c r="BZ301" s="466"/>
      <c r="CA301" s="466"/>
      <c r="CB301" s="466"/>
      <c r="CC301" s="466"/>
      <c r="CD301" s="466"/>
      <c r="CE301" s="466"/>
      <c r="CF301" s="466"/>
      <c r="CG301" s="466"/>
      <c r="CH301" s="466"/>
      <c r="CI301" s="466"/>
      <c r="CJ301" s="466"/>
      <c r="CK301" s="466"/>
      <c r="CL301" s="466"/>
      <c r="CM301" s="466"/>
      <c r="CN301" s="466"/>
      <c r="CO301" s="466"/>
      <c r="CP301" s="466"/>
      <c r="CQ301" s="466"/>
      <c r="CR301" s="466"/>
      <c r="CS301" s="466"/>
      <c r="CT301" s="466"/>
      <c r="CU301" s="466"/>
      <c r="CV301" s="466"/>
      <c r="CW301" s="466"/>
      <c r="CX301" s="466"/>
      <c r="CY301" s="466"/>
      <c r="CZ301" s="466"/>
      <c r="DA301" s="466"/>
      <c r="DB301" s="466"/>
      <c r="DC301" s="466"/>
      <c r="DD301" s="466"/>
      <c r="DE301" s="466"/>
      <c r="DF301" s="466"/>
      <c r="DG301" s="466"/>
      <c r="FE301" s="527"/>
      <c r="FF301" s="466"/>
      <c r="FG301" s="466"/>
      <c r="FH301" s="466"/>
      <c r="FI301" s="466"/>
      <c r="FJ301" s="466"/>
      <c r="FK301" s="466"/>
      <c r="FL301" s="466"/>
      <c r="FM301" s="466"/>
      <c r="FN301" s="466"/>
      <c r="FO301" s="466"/>
      <c r="FP301" s="466"/>
      <c r="FQ301" s="466"/>
      <c r="FR301" s="466"/>
      <c r="FS301" s="466"/>
      <c r="FT301" s="466"/>
      <c r="FU301" s="466"/>
      <c r="FV301" s="466"/>
      <c r="FW301" s="466"/>
      <c r="FX301" s="466"/>
      <c r="FY301" s="466"/>
      <c r="FZ301" s="527"/>
      <c r="GA301" s="527"/>
      <c r="GB301" s="527"/>
      <c r="GC301" s="527"/>
      <c r="GD301" s="527"/>
      <c r="GE301" s="527"/>
      <c r="GF301" s="527"/>
      <c r="GG301" s="527"/>
      <c r="GH301" s="527"/>
      <c r="GI301" s="527"/>
      <c r="GJ301" s="527"/>
      <c r="GK301" s="527"/>
      <c r="GL301" s="527"/>
      <c r="GM301" s="527"/>
      <c r="GN301" s="527"/>
      <c r="GV301" s="527"/>
      <c r="GW301" s="527"/>
      <c r="GX301" s="527"/>
      <c r="GY301" s="527"/>
      <c r="GZ301" s="527"/>
      <c r="HA301" s="527"/>
      <c r="HB301" s="527"/>
      <c r="HC301" s="527"/>
      <c r="HD301" s="527"/>
      <c r="HE301" s="844"/>
      <c r="HF301" s="844"/>
      <c r="HG301" s="844"/>
      <c r="HH301" s="844"/>
      <c r="HI301" s="844"/>
      <c r="HJ301" s="844"/>
      <c r="HK301" s="844"/>
      <c r="HL301" s="844"/>
      <c r="HM301" s="844"/>
      <c r="HN301" s="844"/>
      <c r="HP301" s="466"/>
      <c r="HQ301" s="466"/>
      <c r="HR301" s="466"/>
      <c r="HS301" s="415"/>
      <c r="HT301" s="2292"/>
    </row>
    <row r="302" spans="3:228">
      <c r="C302" s="466"/>
      <c r="D302" s="466"/>
      <c r="E302" s="466"/>
      <c r="F302" s="466"/>
      <c r="G302" s="466"/>
      <c r="H302" s="466"/>
      <c r="I302" s="466"/>
      <c r="J302" s="466"/>
      <c r="K302" s="466"/>
      <c r="L302" s="466"/>
      <c r="M302" s="466"/>
      <c r="N302" s="466"/>
      <c r="O302" s="466"/>
      <c r="P302" s="510"/>
      <c r="Q302" s="510"/>
      <c r="R302" s="510"/>
      <c r="S302" s="510"/>
      <c r="T302" s="510"/>
      <c r="U302" s="510"/>
      <c r="V302" s="510"/>
      <c r="W302" s="510"/>
      <c r="X302" s="510"/>
      <c r="Y302" s="510"/>
      <c r="Z302" s="510"/>
      <c r="AA302" s="510"/>
      <c r="AB302" s="510"/>
      <c r="AC302" s="510"/>
      <c r="AD302" s="510"/>
      <c r="AE302" s="510"/>
      <c r="AF302" s="510"/>
      <c r="AG302" s="510"/>
      <c r="AH302" s="510"/>
      <c r="AI302" s="510"/>
      <c r="AJ302" s="510"/>
      <c r="AK302" s="510"/>
      <c r="AL302" s="510"/>
      <c r="AM302" s="510"/>
      <c r="AN302" s="510"/>
      <c r="AO302" s="510"/>
      <c r="AP302" s="510"/>
      <c r="AQ302" s="510"/>
      <c r="AR302" s="510"/>
      <c r="AS302" s="510"/>
      <c r="AT302" s="510"/>
      <c r="AU302" s="510"/>
      <c r="AV302" s="510"/>
      <c r="AW302" s="510"/>
      <c r="AX302" s="510"/>
      <c r="AY302" s="510"/>
      <c r="AZ302" s="466"/>
      <c r="BA302" s="466"/>
      <c r="BB302" s="466"/>
      <c r="BC302" s="466"/>
      <c r="BD302" s="466"/>
      <c r="BE302" s="466"/>
      <c r="BF302" s="466"/>
      <c r="BG302" s="466"/>
      <c r="BH302" s="466"/>
      <c r="BI302" s="466"/>
      <c r="BJ302" s="466"/>
      <c r="BK302" s="466"/>
      <c r="BL302" s="466"/>
      <c r="BM302" s="466"/>
      <c r="BN302" s="466"/>
      <c r="BO302" s="466"/>
      <c r="BP302" s="466"/>
      <c r="BQ302" s="466"/>
      <c r="BR302" s="466"/>
      <c r="BS302" s="466"/>
      <c r="BT302" s="466"/>
      <c r="BU302" s="466"/>
      <c r="BV302" s="466"/>
      <c r="BW302" s="466"/>
      <c r="BX302" s="466"/>
      <c r="BY302" s="466"/>
      <c r="BZ302" s="466"/>
      <c r="CA302" s="466"/>
      <c r="CB302" s="466"/>
      <c r="CC302" s="466"/>
      <c r="CD302" s="466"/>
      <c r="CE302" s="466"/>
      <c r="CF302" s="466"/>
      <c r="CG302" s="466"/>
      <c r="CH302" s="466"/>
      <c r="CI302" s="466"/>
      <c r="CJ302" s="466"/>
      <c r="CK302" s="466"/>
      <c r="CL302" s="466"/>
      <c r="CM302" s="466"/>
      <c r="CN302" s="466"/>
      <c r="CO302" s="466"/>
      <c r="CP302" s="466"/>
      <c r="CQ302" s="466"/>
      <c r="CR302" s="466"/>
      <c r="CS302" s="466"/>
      <c r="CT302" s="466"/>
      <c r="CU302" s="466"/>
      <c r="CV302" s="466"/>
      <c r="CW302" s="466"/>
      <c r="CX302" s="466"/>
      <c r="CY302" s="466"/>
      <c r="CZ302" s="466"/>
      <c r="DA302" s="466"/>
      <c r="DB302" s="466"/>
      <c r="DC302" s="466"/>
      <c r="DD302" s="466"/>
      <c r="DE302" s="466"/>
      <c r="DF302" s="466"/>
      <c r="DG302" s="466"/>
      <c r="FE302" s="527"/>
      <c r="FF302" s="466"/>
      <c r="FG302" s="466"/>
      <c r="FH302" s="466"/>
      <c r="FI302" s="466"/>
      <c r="FJ302" s="466"/>
      <c r="FK302" s="466"/>
      <c r="FL302" s="466"/>
      <c r="FM302" s="466"/>
      <c r="FN302" s="466"/>
      <c r="FO302" s="466"/>
      <c r="FP302" s="466"/>
      <c r="FQ302" s="466"/>
      <c r="FR302" s="466"/>
      <c r="FS302" s="466"/>
      <c r="FT302" s="466"/>
      <c r="FU302" s="466"/>
      <c r="FV302" s="466"/>
      <c r="FW302" s="466"/>
      <c r="FX302" s="466"/>
      <c r="FY302" s="466"/>
      <c r="FZ302" s="527"/>
      <c r="GA302" s="527"/>
      <c r="GB302" s="527"/>
      <c r="GC302" s="527"/>
      <c r="GD302" s="527"/>
      <c r="GE302" s="527"/>
      <c r="GF302" s="527"/>
      <c r="GG302" s="527"/>
      <c r="GH302" s="527"/>
      <c r="GI302" s="527"/>
      <c r="GJ302" s="527"/>
      <c r="GK302" s="527"/>
      <c r="GL302" s="527"/>
      <c r="GM302" s="527"/>
      <c r="GN302" s="527"/>
      <c r="GV302" s="527"/>
      <c r="GW302" s="527"/>
      <c r="GX302" s="527"/>
      <c r="GY302" s="527"/>
      <c r="GZ302" s="527"/>
      <c r="HA302" s="527"/>
      <c r="HB302" s="527"/>
      <c r="HC302" s="527"/>
      <c r="HD302" s="527"/>
      <c r="HE302" s="844"/>
      <c r="HF302" s="844"/>
      <c r="HG302" s="844"/>
      <c r="HH302" s="844"/>
      <c r="HI302" s="844"/>
      <c r="HJ302" s="844"/>
      <c r="HK302" s="844"/>
      <c r="HL302" s="844"/>
      <c r="HM302" s="844"/>
      <c r="HN302" s="844"/>
      <c r="HP302" s="466"/>
      <c r="HQ302" s="466"/>
      <c r="HR302" s="466"/>
      <c r="HS302" s="415"/>
      <c r="HT302" s="2292"/>
    </row>
    <row r="303" spans="3:228">
      <c r="C303" s="466"/>
      <c r="D303" s="466"/>
      <c r="E303" s="466"/>
      <c r="F303" s="466"/>
      <c r="G303" s="466"/>
      <c r="H303" s="466"/>
      <c r="I303" s="466"/>
      <c r="J303" s="466"/>
      <c r="K303" s="466"/>
      <c r="L303" s="466"/>
      <c r="M303" s="466"/>
      <c r="N303" s="466"/>
      <c r="O303" s="466"/>
      <c r="P303" s="510"/>
      <c r="Q303" s="510"/>
      <c r="R303" s="510"/>
      <c r="S303" s="510"/>
      <c r="T303" s="510"/>
      <c r="U303" s="510"/>
      <c r="V303" s="510"/>
      <c r="W303" s="510"/>
      <c r="X303" s="510"/>
      <c r="Y303" s="510"/>
      <c r="Z303" s="510"/>
      <c r="AA303" s="510"/>
      <c r="AB303" s="510"/>
      <c r="AC303" s="510"/>
      <c r="AD303" s="510"/>
      <c r="AE303" s="510"/>
      <c r="AF303" s="510"/>
      <c r="AG303" s="510"/>
      <c r="AH303" s="510"/>
      <c r="AI303" s="510"/>
      <c r="AJ303" s="510"/>
      <c r="AK303" s="510"/>
      <c r="AL303" s="510"/>
      <c r="AM303" s="510"/>
      <c r="AN303" s="510"/>
      <c r="AO303" s="510"/>
      <c r="AP303" s="510"/>
      <c r="AQ303" s="510"/>
      <c r="AR303" s="510"/>
      <c r="AS303" s="510"/>
      <c r="AT303" s="510"/>
      <c r="AU303" s="510"/>
      <c r="AV303" s="510"/>
      <c r="AW303" s="510"/>
      <c r="AX303" s="510"/>
      <c r="AY303" s="510"/>
      <c r="AZ303" s="466"/>
      <c r="BA303" s="466"/>
      <c r="BB303" s="466"/>
      <c r="BC303" s="466"/>
      <c r="BD303" s="466"/>
      <c r="BE303" s="466"/>
      <c r="BF303" s="466"/>
      <c r="BG303" s="466"/>
      <c r="BH303" s="466"/>
      <c r="BI303" s="466"/>
      <c r="BJ303" s="466"/>
      <c r="BK303" s="466"/>
      <c r="BL303" s="466"/>
      <c r="BM303" s="466"/>
      <c r="BN303" s="466"/>
      <c r="BO303" s="466"/>
      <c r="BP303" s="466"/>
      <c r="BQ303" s="466"/>
      <c r="BR303" s="466"/>
      <c r="BS303" s="466"/>
      <c r="BT303" s="466"/>
      <c r="BU303" s="466"/>
      <c r="BV303" s="466"/>
      <c r="BW303" s="466"/>
      <c r="BX303" s="466"/>
      <c r="BY303" s="466"/>
      <c r="BZ303" s="466"/>
      <c r="CA303" s="466"/>
      <c r="CB303" s="466"/>
      <c r="CC303" s="466"/>
      <c r="CD303" s="466"/>
      <c r="CE303" s="466"/>
      <c r="CF303" s="466"/>
      <c r="CG303" s="466"/>
      <c r="CH303" s="466"/>
      <c r="CI303" s="466"/>
      <c r="CJ303" s="466"/>
      <c r="CK303" s="466"/>
      <c r="CL303" s="466"/>
      <c r="CM303" s="466"/>
      <c r="CN303" s="466"/>
      <c r="CO303" s="466"/>
      <c r="CP303" s="466"/>
      <c r="CQ303" s="466"/>
      <c r="CR303" s="466"/>
      <c r="CS303" s="466"/>
      <c r="CT303" s="466"/>
      <c r="CU303" s="466"/>
      <c r="CV303" s="466"/>
      <c r="CW303" s="466"/>
      <c r="CX303" s="466"/>
      <c r="CY303" s="466"/>
      <c r="CZ303" s="466"/>
      <c r="DA303" s="466"/>
      <c r="DB303" s="466"/>
      <c r="DC303" s="466"/>
      <c r="DD303" s="466"/>
      <c r="DE303" s="466"/>
      <c r="DF303" s="466"/>
      <c r="DG303" s="466"/>
      <c r="FE303" s="527"/>
      <c r="FF303" s="466"/>
      <c r="FG303" s="466"/>
      <c r="FH303" s="466"/>
      <c r="FI303" s="466"/>
      <c r="FJ303" s="466"/>
      <c r="FK303" s="466"/>
      <c r="FL303" s="466"/>
      <c r="FM303" s="466"/>
      <c r="FN303" s="466"/>
      <c r="FO303" s="466"/>
      <c r="FP303" s="466"/>
      <c r="FQ303" s="466"/>
      <c r="FR303" s="466"/>
      <c r="FS303" s="466"/>
      <c r="FT303" s="466"/>
      <c r="FU303" s="466"/>
      <c r="FV303" s="466"/>
      <c r="FW303" s="466"/>
      <c r="FX303" s="466"/>
      <c r="FY303" s="466"/>
      <c r="FZ303" s="527"/>
      <c r="GA303" s="527"/>
      <c r="GB303" s="527"/>
      <c r="GC303" s="527"/>
      <c r="GD303" s="527"/>
      <c r="GE303" s="527"/>
      <c r="GF303" s="527"/>
      <c r="GG303" s="527"/>
      <c r="GH303" s="527"/>
      <c r="GI303" s="527"/>
      <c r="GJ303" s="527"/>
      <c r="GK303" s="527"/>
      <c r="GL303" s="527"/>
      <c r="GM303" s="527"/>
      <c r="GN303" s="527"/>
      <c r="GV303" s="527"/>
      <c r="GW303" s="527"/>
      <c r="GX303" s="527"/>
      <c r="GY303" s="527"/>
      <c r="GZ303" s="527"/>
      <c r="HA303" s="527"/>
      <c r="HB303" s="527"/>
      <c r="HC303" s="527"/>
      <c r="HD303" s="527"/>
      <c r="HE303" s="844"/>
      <c r="HF303" s="844"/>
      <c r="HG303" s="844"/>
      <c r="HH303" s="844"/>
      <c r="HI303" s="844"/>
      <c r="HJ303" s="844"/>
      <c r="HK303" s="844"/>
      <c r="HL303" s="844"/>
      <c r="HM303" s="844"/>
      <c r="HN303" s="844"/>
      <c r="HP303" s="466"/>
      <c r="HQ303" s="466"/>
      <c r="HR303" s="466"/>
      <c r="HS303" s="415"/>
      <c r="HT303" s="2292"/>
    </row>
    <row r="304" spans="3:228">
      <c r="C304" s="466"/>
      <c r="D304" s="466"/>
      <c r="E304" s="466"/>
      <c r="F304" s="466"/>
      <c r="G304" s="466"/>
      <c r="H304" s="466"/>
      <c r="I304" s="466"/>
      <c r="J304" s="466"/>
      <c r="K304" s="466"/>
      <c r="L304" s="466"/>
      <c r="M304" s="466"/>
      <c r="N304" s="466"/>
      <c r="O304" s="466"/>
      <c r="P304" s="510"/>
      <c r="Q304" s="510"/>
      <c r="R304" s="510"/>
      <c r="S304" s="510"/>
      <c r="T304" s="510"/>
      <c r="U304" s="510"/>
      <c r="V304" s="510"/>
      <c r="W304" s="510"/>
      <c r="X304" s="510"/>
      <c r="Y304" s="510"/>
      <c r="Z304" s="510"/>
      <c r="AA304" s="510"/>
      <c r="AB304" s="510"/>
      <c r="AC304" s="510"/>
      <c r="AD304" s="510"/>
      <c r="AE304" s="510"/>
      <c r="AF304" s="510"/>
      <c r="AG304" s="510"/>
      <c r="AH304" s="510"/>
      <c r="AI304" s="510"/>
      <c r="AJ304" s="510"/>
      <c r="AK304" s="510"/>
      <c r="AL304" s="510"/>
      <c r="AM304" s="510"/>
      <c r="AN304" s="510"/>
      <c r="AO304" s="510"/>
      <c r="AP304" s="510"/>
      <c r="AQ304" s="510"/>
      <c r="AR304" s="510"/>
      <c r="AS304" s="510"/>
      <c r="AT304" s="510"/>
      <c r="AU304" s="510"/>
      <c r="AV304" s="510"/>
      <c r="AW304" s="510"/>
      <c r="AX304" s="510"/>
      <c r="AY304" s="510"/>
      <c r="AZ304" s="466"/>
      <c r="BA304" s="466"/>
      <c r="BB304" s="466"/>
      <c r="BC304" s="466"/>
      <c r="BD304" s="466"/>
      <c r="BE304" s="466"/>
      <c r="BF304" s="466"/>
      <c r="BG304" s="466"/>
      <c r="BH304" s="466"/>
      <c r="BI304" s="466"/>
      <c r="BJ304" s="466"/>
      <c r="BK304" s="466"/>
      <c r="BL304" s="466"/>
      <c r="BM304" s="466"/>
      <c r="BN304" s="466"/>
      <c r="BO304" s="466"/>
      <c r="BP304" s="466"/>
      <c r="BQ304" s="466"/>
      <c r="BR304" s="466"/>
      <c r="BS304" s="466"/>
      <c r="BT304" s="466"/>
      <c r="BU304" s="466"/>
      <c r="BV304" s="466"/>
      <c r="BW304" s="466"/>
      <c r="BX304" s="466"/>
      <c r="BY304" s="466"/>
      <c r="BZ304" s="466"/>
      <c r="CA304" s="466"/>
      <c r="CB304" s="466"/>
      <c r="CC304" s="466"/>
      <c r="CD304" s="466"/>
      <c r="CE304" s="466"/>
      <c r="CF304" s="466"/>
      <c r="CG304" s="466"/>
      <c r="CH304" s="466"/>
      <c r="CI304" s="466"/>
      <c r="CJ304" s="466"/>
      <c r="CK304" s="466"/>
      <c r="CL304" s="466"/>
      <c r="CM304" s="466"/>
      <c r="CN304" s="466"/>
      <c r="CO304" s="466"/>
      <c r="CP304" s="466"/>
      <c r="CQ304" s="466"/>
      <c r="CR304" s="466"/>
      <c r="CS304" s="466"/>
      <c r="CT304" s="466"/>
      <c r="CU304" s="466"/>
      <c r="CV304" s="466"/>
      <c r="CW304" s="466"/>
      <c r="CX304" s="466"/>
      <c r="CY304" s="466"/>
      <c r="CZ304" s="466"/>
      <c r="DA304" s="466"/>
      <c r="DB304" s="466"/>
      <c r="DC304" s="466"/>
      <c r="DD304" s="466"/>
      <c r="DE304" s="466"/>
      <c r="DF304" s="466"/>
      <c r="DG304" s="466"/>
      <c r="FE304" s="527"/>
      <c r="FF304" s="466"/>
      <c r="FG304" s="466"/>
      <c r="FH304" s="466"/>
      <c r="FI304" s="466"/>
      <c r="FJ304" s="466"/>
      <c r="FK304" s="466"/>
      <c r="FL304" s="466"/>
      <c r="FM304" s="466"/>
      <c r="FN304" s="466"/>
      <c r="FO304" s="466"/>
      <c r="FP304" s="466"/>
      <c r="FQ304" s="466"/>
      <c r="FR304" s="466"/>
      <c r="FS304" s="466"/>
      <c r="FT304" s="466"/>
      <c r="FU304" s="466"/>
      <c r="FV304" s="466"/>
      <c r="FW304" s="466"/>
      <c r="FX304" s="466"/>
      <c r="FY304" s="466"/>
      <c r="FZ304" s="527"/>
      <c r="GA304" s="527"/>
      <c r="GB304" s="527"/>
      <c r="GC304" s="527"/>
      <c r="GD304" s="527"/>
      <c r="GE304" s="527"/>
      <c r="GF304" s="527"/>
      <c r="GG304" s="527"/>
      <c r="GH304" s="527"/>
      <c r="GI304" s="527"/>
      <c r="GJ304" s="527"/>
      <c r="GK304" s="527"/>
      <c r="GL304" s="527"/>
      <c r="GM304" s="527"/>
      <c r="GN304" s="527"/>
      <c r="GV304" s="527"/>
      <c r="GW304" s="527"/>
      <c r="GX304" s="527"/>
      <c r="GY304" s="527"/>
      <c r="GZ304" s="527"/>
      <c r="HA304" s="527"/>
      <c r="HB304" s="527"/>
      <c r="HC304" s="527"/>
      <c r="HD304" s="527"/>
      <c r="HE304" s="844"/>
      <c r="HF304" s="844"/>
      <c r="HG304" s="844"/>
      <c r="HH304" s="844"/>
      <c r="HI304" s="844"/>
      <c r="HJ304" s="844"/>
      <c r="HK304" s="844"/>
      <c r="HL304" s="844"/>
      <c r="HM304" s="844"/>
      <c r="HN304" s="844"/>
      <c r="HP304" s="466"/>
      <c r="HQ304" s="466"/>
      <c r="HR304" s="466"/>
      <c r="HS304" s="415"/>
      <c r="HT304" s="2292"/>
    </row>
    <row r="305" spans="3:228">
      <c r="C305" s="466"/>
      <c r="D305" s="466"/>
      <c r="E305" s="466"/>
      <c r="F305" s="466"/>
      <c r="G305" s="466"/>
      <c r="H305" s="466"/>
      <c r="I305" s="466"/>
      <c r="J305" s="466"/>
      <c r="K305" s="466"/>
      <c r="L305" s="466"/>
      <c r="M305" s="466"/>
      <c r="N305" s="466"/>
      <c r="O305" s="466"/>
      <c r="P305" s="510"/>
      <c r="Q305" s="510"/>
      <c r="R305" s="510"/>
      <c r="S305" s="510"/>
      <c r="T305" s="510"/>
      <c r="U305" s="510"/>
      <c r="V305" s="510"/>
      <c r="W305" s="510"/>
      <c r="X305" s="510"/>
      <c r="Y305" s="510"/>
      <c r="Z305" s="510"/>
      <c r="AA305" s="510"/>
      <c r="AB305" s="510"/>
      <c r="AC305" s="510"/>
      <c r="AD305" s="510"/>
      <c r="AE305" s="510"/>
      <c r="AF305" s="510"/>
      <c r="AG305" s="510"/>
      <c r="AH305" s="510"/>
      <c r="AI305" s="510"/>
      <c r="AJ305" s="510"/>
      <c r="AK305" s="510"/>
      <c r="AL305" s="510"/>
      <c r="AM305" s="510"/>
      <c r="AN305" s="510"/>
      <c r="AO305" s="510"/>
      <c r="AP305" s="510"/>
      <c r="AQ305" s="510"/>
      <c r="AR305" s="510"/>
      <c r="AS305" s="510"/>
      <c r="AT305" s="510"/>
      <c r="AU305" s="510"/>
      <c r="AV305" s="510"/>
      <c r="AW305" s="510"/>
      <c r="AX305" s="510"/>
      <c r="AY305" s="510"/>
      <c r="AZ305" s="466"/>
      <c r="BA305" s="466"/>
      <c r="BB305" s="466"/>
      <c r="BC305" s="466"/>
      <c r="BD305" s="466"/>
      <c r="BE305" s="466"/>
      <c r="BF305" s="466"/>
      <c r="BG305" s="466"/>
      <c r="BH305" s="466"/>
      <c r="BI305" s="466"/>
      <c r="BJ305" s="466"/>
      <c r="BK305" s="466"/>
      <c r="BL305" s="466"/>
      <c r="BM305" s="466"/>
      <c r="BN305" s="466"/>
      <c r="BO305" s="466"/>
      <c r="BP305" s="466"/>
      <c r="BQ305" s="466"/>
      <c r="BR305" s="466"/>
      <c r="BS305" s="466"/>
      <c r="BT305" s="466"/>
      <c r="BU305" s="466"/>
      <c r="BV305" s="466"/>
      <c r="BW305" s="466"/>
      <c r="BX305" s="466"/>
      <c r="BY305" s="466"/>
      <c r="BZ305" s="466"/>
      <c r="CA305" s="466"/>
      <c r="CB305" s="466"/>
      <c r="CC305" s="466"/>
      <c r="CD305" s="466"/>
      <c r="CE305" s="466"/>
      <c r="CF305" s="466"/>
      <c r="CG305" s="466"/>
      <c r="CH305" s="466"/>
      <c r="CI305" s="466"/>
      <c r="CJ305" s="466"/>
      <c r="CK305" s="466"/>
      <c r="CL305" s="466"/>
      <c r="CM305" s="466"/>
      <c r="CN305" s="466"/>
      <c r="CO305" s="466"/>
      <c r="CP305" s="466"/>
      <c r="CQ305" s="466"/>
      <c r="CR305" s="466"/>
      <c r="CS305" s="466"/>
      <c r="CT305" s="466"/>
      <c r="CU305" s="466"/>
      <c r="CV305" s="466"/>
      <c r="CW305" s="466"/>
      <c r="CX305" s="466"/>
      <c r="CY305" s="466"/>
      <c r="CZ305" s="466"/>
      <c r="DA305" s="466"/>
      <c r="DB305" s="466"/>
      <c r="DC305" s="466"/>
      <c r="DD305" s="466"/>
      <c r="DE305" s="466"/>
      <c r="DF305" s="466"/>
      <c r="DG305" s="466"/>
      <c r="FE305" s="527"/>
      <c r="FF305" s="466"/>
      <c r="FG305" s="466"/>
      <c r="FH305" s="466"/>
      <c r="FI305" s="466"/>
      <c r="FJ305" s="466"/>
      <c r="FK305" s="466"/>
      <c r="FL305" s="466"/>
      <c r="FM305" s="466"/>
      <c r="FN305" s="466"/>
      <c r="FO305" s="466"/>
      <c r="FP305" s="466"/>
      <c r="FQ305" s="466"/>
      <c r="FR305" s="466"/>
      <c r="FS305" s="466"/>
      <c r="FT305" s="466"/>
      <c r="FU305" s="466"/>
      <c r="FV305" s="466"/>
      <c r="FW305" s="466"/>
      <c r="FX305" s="466"/>
      <c r="FY305" s="466"/>
      <c r="FZ305" s="527"/>
      <c r="GA305" s="527"/>
      <c r="GB305" s="527"/>
      <c r="GC305" s="527"/>
      <c r="GD305" s="527"/>
      <c r="GE305" s="527"/>
      <c r="GF305" s="527"/>
      <c r="GG305" s="527"/>
      <c r="GH305" s="527"/>
      <c r="GI305" s="527"/>
      <c r="GJ305" s="527"/>
      <c r="GK305" s="527"/>
      <c r="GL305" s="527"/>
      <c r="GM305" s="527"/>
      <c r="GN305" s="527"/>
      <c r="GV305" s="527"/>
      <c r="GW305" s="527"/>
      <c r="GX305" s="527"/>
      <c r="GY305" s="527"/>
      <c r="GZ305" s="527"/>
      <c r="HA305" s="527"/>
      <c r="HB305" s="527"/>
      <c r="HC305" s="527"/>
      <c r="HD305" s="527"/>
      <c r="HE305" s="844"/>
      <c r="HF305" s="844"/>
      <c r="HG305" s="844"/>
      <c r="HH305" s="844"/>
      <c r="HI305" s="844"/>
      <c r="HJ305" s="844"/>
      <c r="HK305" s="844"/>
      <c r="HL305" s="844"/>
      <c r="HM305" s="844"/>
      <c r="HN305" s="844"/>
      <c r="HP305" s="466"/>
      <c r="HQ305" s="466"/>
      <c r="HR305" s="466"/>
      <c r="HS305" s="415"/>
      <c r="HT305" s="2292"/>
    </row>
    <row r="306" spans="3:228">
      <c r="C306" s="466"/>
      <c r="D306" s="466"/>
      <c r="E306" s="466"/>
      <c r="F306" s="466"/>
      <c r="G306" s="466"/>
      <c r="H306" s="466"/>
      <c r="I306" s="466"/>
      <c r="J306" s="466"/>
      <c r="K306" s="466"/>
      <c r="L306" s="466"/>
      <c r="M306" s="466"/>
      <c r="N306" s="466"/>
      <c r="O306" s="466"/>
      <c r="P306" s="510"/>
      <c r="Q306" s="510"/>
      <c r="R306" s="510"/>
      <c r="S306" s="510"/>
      <c r="T306" s="510"/>
      <c r="U306" s="510"/>
      <c r="V306" s="510"/>
      <c r="W306" s="510"/>
      <c r="X306" s="510"/>
      <c r="Y306" s="510"/>
      <c r="Z306" s="510"/>
      <c r="AA306" s="510"/>
      <c r="AB306" s="510"/>
      <c r="AC306" s="510"/>
      <c r="AD306" s="510"/>
      <c r="AE306" s="510"/>
      <c r="AF306" s="510"/>
      <c r="AG306" s="510"/>
      <c r="AH306" s="510"/>
      <c r="AI306" s="510"/>
      <c r="AJ306" s="510"/>
      <c r="AK306" s="510"/>
      <c r="AL306" s="510"/>
      <c r="AM306" s="510"/>
      <c r="AN306" s="510"/>
      <c r="AO306" s="510"/>
      <c r="AP306" s="510"/>
      <c r="AQ306" s="510"/>
      <c r="AR306" s="510"/>
      <c r="AS306" s="510"/>
      <c r="AT306" s="510"/>
      <c r="AU306" s="510"/>
      <c r="AV306" s="510"/>
      <c r="AW306" s="510"/>
      <c r="AX306" s="510"/>
      <c r="AY306" s="510"/>
      <c r="AZ306" s="466"/>
      <c r="BA306" s="466"/>
      <c r="BB306" s="466"/>
      <c r="BC306" s="466"/>
      <c r="BD306" s="466"/>
      <c r="BE306" s="466"/>
      <c r="BF306" s="466"/>
      <c r="BG306" s="466"/>
      <c r="BH306" s="466"/>
      <c r="BI306" s="466"/>
      <c r="BJ306" s="466"/>
      <c r="BK306" s="466"/>
      <c r="BL306" s="466"/>
      <c r="BM306" s="466"/>
      <c r="BN306" s="466"/>
      <c r="BO306" s="466"/>
      <c r="BP306" s="466"/>
      <c r="BQ306" s="466"/>
      <c r="BR306" s="466"/>
      <c r="BS306" s="466"/>
      <c r="BT306" s="466"/>
      <c r="BU306" s="466"/>
      <c r="BV306" s="466"/>
      <c r="BW306" s="466"/>
      <c r="BX306" s="466"/>
      <c r="BY306" s="466"/>
      <c r="BZ306" s="466"/>
      <c r="CA306" s="466"/>
      <c r="CB306" s="466"/>
      <c r="CC306" s="466"/>
      <c r="CD306" s="466"/>
      <c r="CE306" s="466"/>
      <c r="CF306" s="466"/>
      <c r="CG306" s="466"/>
      <c r="CH306" s="466"/>
      <c r="CI306" s="466"/>
      <c r="CJ306" s="466"/>
      <c r="CK306" s="466"/>
      <c r="CL306" s="466"/>
      <c r="CM306" s="466"/>
      <c r="CN306" s="466"/>
      <c r="CO306" s="466"/>
      <c r="CP306" s="466"/>
      <c r="CQ306" s="466"/>
      <c r="CR306" s="466"/>
      <c r="CS306" s="466"/>
      <c r="CT306" s="466"/>
      <c r="CU306" s="466"/>
      <c r="CV306" s="466"/>
      <c r="CW306" s="466"/>
      <c r="CX306" s="466"/>
      <c r="CY306" s="466"/>
      <c r="CZ306" s="466"/>
      <c r="DA306" s="466"/>
      <c r="DB306" s="466"/>
      <c r="DC306" s="466"/>
      <c r="DD306" s="466"/>
      <c r="DE306" s="466"/>
      <c r="DF306" s="466"/>
      <c r="DG306" s="466"/>
      <c r="FE306" s="527"/>
      <c r="FF306" s="466"/>
      <c r="FG306" s="466"/>
      <c r="FH306" s="466"/>
      <c r="FI306" s="466"/>
      <c r="FJ306" s="466"/>
      <c r="FK306" s="466"/>
      <c r="FL306" s="466"/>
      <c r="FM306" s="466"/>
      <c r="FN306" s="466"/>
      <c r="FO306" s="466"/>
      <c r="FP306" s="466"/>
      <c r="FQ306" s="466"/>
      <c r="FR306" s="466"/>
      <c r="FS306" s="466"/>
      <c r="FT306" s="466"/>
      <c r="FU306" s="466"/>
      <c r="FV306" s="466"/>
      <c r="FW306" s="466"/>
      <c r="FX306" s="466"/>
      <c r="FY306" s="466"/>
      <c r="FZ306" s="527"/>
      <c r="GA306" s="527"/>
      <c r="GB306" s="527"/>
      <c r="GC306" s="527"/>
      <c r="GD306" s="527"/>
      <c r="GE306" s="527"/>
      <c r="GF306" s="527"/>
      <c r="GG306" s="527"/>
      <c r="GH306" s="527"/>
      <c r="GI306" s="527"/>
      <c r="GJ306" s="527"/>
      <c r="GK306" s="527"/>
      <c r="GL306" s="527"/>
      <c r="GM306" s="527"/>
      <c r="GN306" s="527"/>
      <c r="GV306" s="527"/>
      <c r="GW306" s="527"/>
      <c r="GX306" s="527"/>
      <c r="GY306" s="527"/>
      <c r="GZ306" s="527"/>
      <c r="HA306" s="527"/>
      <c r="HB306" s="527"/>
      <c r="HC306" s="527"/>
      <c r="HD306" s="527"/>
      <c r="HE306" s="844"/>
      <c r="HF306" s="844"/>
      <c r="HG306" s="844"/>
      <c r="HH306" s="844"/>
      <c r="HI306" s="844"/>
      <c r="HJ306" s="844"/>
      <c r="HK306" s="844"/>
      <c r="HL306" s="844"/>
      <c r="HM306" s="844"/>
      <c r="HN306" s="844"/>
      <c r="HP306" s="466"/>
      <c r="HQ306" s="466"/>
      <c r="HR306" s="466"/>
      <c r="HS306" s="415"/>
      <c r="HT306" s="2292"/>
    </row>
    <row r="307" spans="3:228">
      <c r="C307" s="466"/>
      <c r="D307" s="466"/>
      <c r="E307" s="466"/>
      <c r="F307" s="466"/>
      <c r="G307" s="466"/>
      <c r="H307" s="466"/>
      <c r="I307" s="466"/>
      <c r="J307" s="466"/>
      <c r="K307" s="466"/>
      <c r="L307" s="466"/>
      <c r="M307" s="466"/>
      <c r="N307" s="466"/>
      <c r="O307" s="466"/>
      <c r="P307" s="510"/>
      <c r="Q307" s="510"/>
      <c r="R307" s="510"/>
      <c r="S307" s="510"/>
      <c r="T307" s="510"/>
      <c r="U307" s="510"/>
      <c r="V307" s="510"/>
      <c r="W307" s="510"/>
      <c r="X307" s="510"/>
      <c r="Y307" s="510"/>
      <c r="Z307" s="510"/>
      <c r="AA307" s="510"/>
      <c r="AB307" s="510"/>
      <c r="AC307" s="510"/>
      <c r="AD307" s="510"/>
      <c r="AE307" s="510"/>
      <c r="AF307" s="510"/>
      <c r="AG307" s="510"/>
      <c r="AH307" s="510"/>
      <c r="AI307" s="510"/>
      <c r="AJ307" s="510"/>
      <c r="AK307" s="510"/>
      <c r="AL307" s="510"/>
      <c r="AM307" s="510"/>
      <c r="AN307" s="510"/>
      <c r="AO307" s="510"/>
      <c r="AP307" s="510"/>
      <c r="AQ307" s="510"/>
      <c r="AR307" s="510"/>
      <c r="AS307" s="510"/>
      <c r="AT307" s="510"/>
      <c r="AU307" s="510"/>
      <c r="AV307" s="510"/>
      <c r="AW307" s="510"/>
      <c r="AX307" s="510"/>
      <c r="AY307" s="510"/>
      <c r="AZ307" s="466"/>
      <c r="BA307" s="466"/>
      <c r="BB307" s="466"/>
      <c r="BC307" s="466"/>
      <c r="BD307" s="466"/>
      <c r="BE307" s="466"/>
      <c r="BF307" s="466"/>
      <c r="BG307" s="466"/>
      <c r="BH307" s="466"/>
      <c r="BI307" s="466"/>
      <c r="BJ307" s="466"/>
      <c r="BK307" s="466"/>
      <c r="BL307" s="466"/>
      <c r="BM307" s="466"/>
      <c r="BN307" s="466"/>
      <c r="BO307" s="466"/>
      <c r="BP307" s="466"/>
      <c r="BQ307" s="466"/>
      <c r="BR307" s="466"/>
      <c r="BS307" s="466"/>
      <c r="BT307" s="466"/>
      <c r="BU307" s="466"/>
      <c r="BV307" s="466"/>
      <c r="BW307" s="466"/>
      <c r="BX307" s="466"/>
      <c r="BY307" s="466"/>
      <c r="BZ307" s="466"/>
      <c r="CA307" s="466"/>
      <c r="CB307" s="466"/>
      <c r="CC307" s="466"/>
      <c r="CD307" s="466"/>
      <c r="CE307" s="466"/>
      <c r="CF307" s="466"/>
      <c r="CG307" s="466"/>
      <c r="CH307" s="466"/>
      <c r="CI307" s="466"/>
      <c r="CJ307" s="466"/>
      <c r="CK307" s="466"/>
      <c r="CL307" s="466"/>
      <c r="CM307" s="466"/>
      <c r="CN307" s="466"/>
      <c r="CO307" s="466"/>
      <c r="CP307" s="466"/>
      <c r="CQ307" s="466"/>
      <c r="CR307" s="466"/>
      <c r="CS307" s="466"/>
      <c r="CT307" s="466"/>
      <c r="CU307" s="466"/>
      <c r="CV307" s="466"/>
      <c r="CW307" s="466"/>
      <c r="CX307" s="466"/>
      <c r="CY307" s="466"/>
      <c r="CZ307" s="466"/>
      <c r="DA307" s="466"/>
      <c r="DB307" s="466"/>
      <c r="DC307" s="466"/>
      <c r="DD307" s="466"/>
      <c r="DE307" s="466"/>
      <c r="DF307" s="466"/>
      <c r="DG307" s="466"/>
      <c r="FE307" s="527"/>
      <c r="FF307" s="466"/>
      <c r="FG307" s="466"/>
      <c r="FH307" s="466"/>
      <c r="FI307" s="466"/>
      <c r="FJ307" s="466"/>
      <c r="FK307" s="466"/>
      <c r="FL307" s="466"/>
      <c r="FM307" s="466"/>
      <c r="FN307" s="466"/>
      <c r="FO307" s="466"/>
      <c r="FP307" s="466"/>
      <c r="FQ307" s="466"/>
      <c r="FR307" s="466"/>
      <c r="FS307" s="466"/>
      <c r="FT307" s="466"/>
      <c r="FU307" s="466"/>
      <c r="FV307" s="466"/>
      <c r="FW307" s="466"/>
      <c r="FX307" s="466"/>
      <c r="FY307" s="466"/>
      <c r="FZ307" s="527"/>
      <c r="GA307" s="527"/>
      <c r="GB307" s="527"/>
      <c r="GC307" s="527"/>
      <c r="GD307" s="527"/>
      <c r="GE307" s="527"/>
      <c r="GF307" s="527"/>
      <c r="GG307" s="527"/>
      <c r="GH307" s="527"/>
      <c r="GI307" s="527"/>
      <c r="GJ307" s="527"/>
      <c r="GK307" s="527"/>
      <c r="GL307" s="527"/>
      <c r="GM307" s="527"/>
      <c r="GN307" s="527"/>
      <c r="GV307" s="527"/>
      <c r="GW307" s="527"/>
      <c r="GX307" s="527"/>
      <c r="GY307" s="527"/>
      <c r="GZ307" s="527"/>
      <c r="HA307" s="527"/>
      <c r="HB307" s="527"/>
      <c r="HC307" s="527"/>
      <c r="HD307" s="527"/>
      <c r="HE307" s="844"/>
      <c r="HF307" s="844"/>
      <c r="HG307" s="844"/>
      <c r="HH307" s="844"/>
      <c r="HI307" s="844"/>
      <c r="HJ307" s="844"/>
      <c r="HK307" s="844"/>
      <c r="HL307" s="844"/>
      <c r="HM307" s="844"/>
      <c r="HN307" s="844"/>
      <c r="HP307" s="466"/>
      <c r="HQ307" s="466"/>
      <c r="HR307" s="466"/>
      <c r="HS307" s="415"/>
      <c r="HT307" s="2292"/>
    </row>
    <row r="308" spans="3:228">
      <c r="C308" s="466"/>
      <c r="D308" s="466"/>
      <c r="E308" s="466"/>
      <c r="F308" s="466"/>
      <c r="G308" s="466"/>
      <c r="H308" s="466"/>
      <c r="I308" s="466"/>
      <c r="J308" s="466"/>
      <c r="K308" s="466"/>
      <c r="L308" s="466"/>
      <c r="M308" s="466"/>
      <c r="N308" s="466"/>
      <c r="O308" s="466"/>
      <c r="P308" s="510"/>
      <c r="Q308" s="510"/>
      <c r="R308" s="510"/>
      <c r="S308" s="510"/>
      <c r="T308" s="510"/>
      <c r="U308" s="510"/>
      <c r="V308" s="510"/>
      <c r="W308" s="510"/>
      <c r="X308" s="510"/>
      <c r="Y308" s="510"/>
      <c r="Z308" s="510"/>
      <c r="AA308" s="510"/>
      <c r="AB308" s="510"/>
      <c r="AC308" s="510"/>
      <c r="AD308" s="510"/>
      <c r="AE308" s="510"/>
      <c r="AF308" s="510"/>
      <c r="AG308" s="510"/>
      <c r="AH308" s="510"/>
      <c r="AI308" s="510"/>
      <c r="AJ308" s="510"/>
      <c r="AK308" s="510"/>
      <c r="AL308" s="510"/>
      <c r="AM308" s="510"/>
      <c r="AN308" s="510"/>
      <c r="AO308" s="510"/>
      <c r="AP308" s="510"/>
      <c r="AQ308" s="510"/>
      <c r="AR308" s="510"/>
      <c r="AS308" s="510"/>
      <c r="AT308" s="510"/>
      <c r="AU308" s="510"/>
      <c r="AV308" s="510"/>
      <c r="AW308" s="510"/>
      <c r="AX308" s="510"/>
      <c r="AY308" s="510"/>
      <c r="AZ308" s="466"/>
      <c r="BA308" s="466"/>
      <c r="BB308" s="466"/>
      <c r="BC308" s="466"/>
      <c r="BD308" s="466"/>
      <c r="BE308" s="466"/>
      <c r="BF308" s="466"/>
      <c r="BG308" s="466"/>
      <c r="BH308" s="466"/>
      <c r="BI308" s="466"/>
      <c r="BJ308" s="466"/>
      <c r="BK308" s="466"/>
      <c r="BL308" s="466"/>
      <c r="BM308" s="466"/>
      <c r="BN308" s="466"/>
      <c r="BO308" s="466"/>
      <c r="BP308" s="466"/>
      <c r="BQ308" s="466"/>
      <c r="BR308" s="466"/>
      <c r="BS308" s="466"/>
      <c r="BT308" s="466"/>
      <c r="BU308" s="466"/>
      <c r="BV308" s="466"/>
      <c r="BW308" s="466"/>
      <c r="BX308" s="466"/>
      <c r="BY308" s="466"/>
      <c r="BZ308" s="466"/>
      <c r="CA308" s="466"/>
      <c r="CB308" s="466"/>
      <c r="CC308" s="466"/>
      <c r="CD308" s="466"/>
      <c r="CE308" s="466"/>
      <c r="CF308" s="466"/>
      <c r="CG308" s="466"/>
      <c r="CH308" s="466"/>
      <c r="CI308" s="466"/>
      <c r="CJ308" s="466"/>
      <c r="CK308" s="466"/>
      <c r="CL308" s="466"/>
      <c r="CM308" s="466"/>
      <c r="CN308" s="466"/>
      <c r="CO308" s="466"/>
      <c r="CP308" s="466"/>
      <c r="CQ308" s="466"/>
      <c r="CR308" s="466"/>
      <c r="CS308" s="466"/>
      <c r="CT308" s="466"/>
      <c r="CU308" s="466"/>
      <c r="CV308" s="466"/>
      <c r="CW308" s="466"/>
      <c r="CX308" s="466"/>
      <c r="CY308" s="466"/>
      <c r="CZ308" s="466"/>
      <c r="DA308" s="466"/>
      <c r="DB308" s="466"/>
      <c r="DC308" s="466"/>
      <c r="DD308" s="466"/>
      <c r="DE308" s="466"/>
      <c r="DF308" s="466"/>
      <c r="DG308" s="466"/>
      <c r="FE308" s="527"/>
      <c r="FF308" s="466"/>
      <c r="FG308" s="466"/>
      <c r="FH308" s="466"/>
      <c r="FI308" s="466"/>
      <c r="FJ308" s="466"/>
      <c r="FK308" s="466"/>
      <c r="FL308" s="466"/>
      <c r="FM308" s="466"/>
      <c r="FN308" s="466"/>
      <c r="FO308" s="466"/>
      <c r="FP308" s="466"/>
      <c r="FQ308" s="466"/>
      <c r="FR308" s="466"/>
      <c r="FS308" s="466"/>
      <c r="FT308" s="466"/>
      <c r="FU308" s="466"/>
      <c r="FV308" s="466"/>
      <c r="FW308" s="466"/>
      <c r="FX308" s="466"/>
      <c r="FY308" s="466"/>
      <c r="FZ308" s="527"/>
      <c r="GA308" s="527"/>
      <c r="GB308" s="527"/>
      <c r="GC308" s="527"/>
      <c r="GD308" s="527"/>
      <c r="GE308" s="527"/>
      <c r="GF308" s="527"/>
      <c r="GG308" s="527"/>
      <c r="GH308" s="527"/>
      <c r="GI308" s="527"/>
      <c r="GJ308" s="527"/>
      <c r="GK308" s="527"/>
      <c r="GL308" s="527"/>
      <c r="GM308" s="527"/>
      <c r="GN308" s="527"/>
      <c r="GV308" s="527"/>
      <c r="GW308" s="527"/>
      <c r="GX308" s="527"/>
      <c r="GY308" s="527"/>
      <c r="GZ308" s="527"/>
      <c r="HA308" s="527"/>
      <c r="HB308" s="527"/>
      <c r="HC308" s="527"/>
      <c r="HD308" s="527"/>
      <c r="HE308" s="844"/>
      <c r="HF308" s="844"/>
      <c r="HG308" s="844"/>
      <c r="HH308" s="844"/>
      <c r="HI308" s="844"/>
      <c r="HJ308" s="844"/>
      <c r="HK308" s="844"/>
      <c r="HL308" s="844"/>
      <c r="HM308" s="844"/>
      <c r="HN308" s="844"/>
      <c r="HP308" s="466"/>
      <c r="HQ308" s="466"/>
      <c r="HR308" s="466"/>
      <c r="HS308" s="415"/>
      <c r="HT308" s="2292"/>
    </row>
    <row r="309" spans="3:228">
      <c r="C309" s="466"/>
      <c r="D309" s="466"/>
      <c r="E309" s="466"/>
      <c r="F309" s="466"/>
      <c r="G309" s="466"/>
      <c r="H309" s="466"/>
      <c r="I309" s="466"/>
      <c r="J309" s="466"/>
      <c r="K309" s="466"/>
      <c r="L309" s="466"/>
      <c r="M309" s="466"/>
      <c r="N309" s="466"/>
      <c r="O309" s="466"/>
      <c r="P309" s="510"/>
      <c r="Q309" s="510"/>
      <c r="R309" s="510"/>
      <c r="S309" s="510"/>
      <c r="T309" s="510"/>
      <c r="U309" s="510"/>
      <c r="V309" s="510"/>
      <c r="W309" s="510"/>
      <c r="X309" s="510"/>
      <c r="Y309" s="510"/>
      <c r="Z309" s="510"/>
      <c r="AA309" s="510"/>
      <c r="AB309" s="510"/>
      <c r="AC309" s="510"/>
      <c r="AD309" s="510"/>
      <c r="AE309" s="510"/>
      <c r="AF309" s="510"/>
      <c r="AG309" s="510"/>
      <c r="AH309" s="510"/>
      <c r="AI309" s="510"/>
      <c r="AJ309" s="510"/>
      <c r="AK309" s="510"/>
      <c r="AL309" s="510"/>
      <c r="AM309" s="510"/>
      <c r="AN309" s="510"/>
      <c r="AO309" s="510"/>
      <c r="AP309" s="510"/>
      <c r="AQ309" s="510"/>
      <c r="AR309" s="510"/>
      <c r="AS309" s="510"/>
      <c r="AT309" s="510"/>
      <c r="AU309" s="510"/>
      <c r="AV309" s="510"/>
      <c r="AW309" s="510"/>
      <c r="AX309" s="510"/>
      <c r="AY309" s="510"/>
      <c r="AZ309" s="466"/>
      <c r="BA309" s="466"/>
      <c r="BB309" s="466"/>
      <c r="BC309" s="466"/>
      <c r="BD309" s="466"/>
      <c r="BE309" s="466"/>
      <c r="BF309" s="466"/>
      <c r="BG309" s="466"/>
      <c r="BH309" s="466"/>
      <c r="BI309" s="466"/>
      <c r="BJ309" s="466"/>
      <c r="BK309" s="466"/>
      <c r="BL309" s="466"/>
      <c r="BM309" s="466"/>
      <c r="BN309" s="466"/>
      <c r="BO309" s="466"/>
      <c r="BP309" s="466"/>
      <c r="BQ309" s="466"/>
      <c r="BR309" s="466"/>
      <c r="BS309" s="466"/>
      <c r="BT309" s="466"/>
      <c r="BU309" s="466"/>
      <c r="BV309" s="466"/>
      <c r="BW309" s="466"/>
      <c r="BX309" s="466"/>
      <c r="BY309" s="466"/>
      <c r="BZ309" s="466"/>
      <c r="CA309" s="466"/>
      <c r="CB309" s="466"/>
      <c r="CC309" s="466"/>
      <c r="CD309" s="466"/>
      <c r="CE309" s="466"/>
      <c r="CF309" s="466"/>
      <c r="CG309" s="466"/>
      <c r="CH309" s="466"/>
      <c r="CI309" s="466"/>
      <c r="CJ309" s="466"/>
      <c r="CK309" s="466"/>
      <c r="CL309" s="466"/>
      <c r="CM309" s="466"/>
      <c r="CN309" s="466"/>
      <c r="CO309" s="466"/>
      <c r="CP309" s="466"/>
      <c r="CQ309" s="466"/>
      <c r="CR309" s="466"/>
      <c r="CS309" s="466"/>
      <c r="CT309" s="466"/>
      <c r="CU309" s="466"/>
      <c r="CV309" s="466"/>
      <c r="CW309" s="466"/>
      <c r="CX309" s="466"/>
      <c r="CY309" s="466"/>
      <c r="CZ309" s="466"/>
      <c r="DA309" s="466"/>
      <c r="DB309" s="466"/>
      <c r="DC309" s="466"/>
      <c r="DD309" s="466"/>
      <c r="DE309" s="466"/>
      <c r="DF309" s="466"/>
      <c r="DG309" s="466"/>
      <c r="FE309" s="527"/>
      <c r="FF309" s="466"/>
      <c r="FG309" s="466"/>
      <c r="FH309" s="466"/>
      <c r="FI309" s="466"/>
      <c r="FJ309" s="466"/>
      <c r="FK309" s="466"/>
      <c r="FL309" s="466"/>
      <c r="FM309" s="466"/>
      <c r="FN309" s="466"/>
      <c r="FO309" s="466"/>
      <c r="FP309" s="466"/>
      <c r="FQ309" s="466"/>
      <c r="FR309" s="466"/>
      <c r="FS309" s="466"/>
      <c r="FT309" s="466"/>
      <c r="FU309" s="466"/>
      <c r="FV309" s="466"/>
      <c r="FW309" s="466"/>
      <c r="FX309" s="466"/>
      <c r="FY309" s="466"/>
      <c r="FZ309" s="527"/>
      <c r="GA309" s="527"/>
      <c r="GB309" s="527"/>
      <c r="GC309" s="527"/>
      <c r="GD309" s="527"/>
      <c r="GE309" s="527"/>
      <c r="GF309" s="527"/>
      <c r="GG309" s="527"/>
      <c r="GH309" s="527"/>
      <c r="GI309" s="527"/>
      <c r="GJ309" s="527"/>
      <c r="GK309" s="527"/>
      <c r="GL309" s="527"/>
      <c r="GM309" s="527"/>
      <c r="GN309" s="527"/>
      <c r="GV309" s="527"/>
      <c r="GW309" s="527"/>
      <c r="GX309" s="527"/>
      <c r="GY309" s="527"/>
      <c r="GZ309" s="527"/>
      <c r="HA309" s="527"/>
      <c r="HB309" s="527"/>
      <c r="HC309" s="527"/>
      <c r="HD309" s="527"/>
      <c r="HE309" s="844"/>
      <c r="HF309" s="844"/>
      <c r="HG309" s="844"/>
      <c r="HH309" s="844"/>
      <c r="HI309" s="844"/>
      <c r="HJ309" s="844"/>
      <c r="HK309" s="844"/>
      <c r="HL309" s="844"/>
      <c r="HM309" s="844"/>
      <c r="HN309" s="844"/>
      <c r="HP309" s="466"/>
      <c r="HQ309" s="466"/>
      <c r="HR309" s="466"/>
      <c r="HS309" s="415"/>
      <c r="HT309" s="2292"/>
    </row>
    <row r="310" spans="3:228">
      <c r="C310" s="466"/>
      <c r="D310" s="466"/>
      <c r="E310" s="466"/>
      <c r="F310" s="466"/>
      <c r="G310" s="466"/>
      <c r="H310" s="466"/>
      <c r="I310" s="466"/>
      <c r="J310" s="466"/>
      <c r="K310" s="466"/>
      <c r="L310" s="466"/>
      <c r="M310" s="466"/>
      <c r="N310" s="466"/>
      <c r="O310" s="466"/>
      <c r="P310" s="510"/>
      <c r="Q310" s="510"/>
      <c r="R310" s="510"/>
      <c r="S310" s="510"/>
      <c r="T310" s="510"/>
      <c r="U310" s="510"/>
      <c r="V310" s="510"/>
      <c r="W310" s="510"/>
      <c r="X310" s="510"/>
      <c r="Y310" s="510"/>
      <c r="Z310" s="510"/>
      <c r="AA310" s="510"/>
      <c r="AB310" s="510"/>
      <c r="AC310" s="510"/>
      <c r="AD310" s="510"/>
      <c r="AE310" s="510"/>
      <c r="AF310" s="510"/>
      <c r="AG310" s="510"/>
      <c r="AH310" s="510"/>
      <c r="AI310" s="510"/>
      <c r="AJ310" s="510"/>
      <c r="AK310" s="510"/>
      <c r="AL310" s="510"/>
      <c r="AM310" s="510"/>
      <c r="AN310" s="510"/>
      <c r="AO310" s="510"/>
      <c r="AP310" s="510"/>
      <c r="AQ310" s="510"/>
      <c r="AR310" s="510"/>
      <c r="AS310" s="510"/>
      <c r="AT310" s="510"/>
      <c r="AU310" s="510"/>
      <c r="AV310" s="510"/>
      <c r="AW310" s="510"/>
      <c r="AX310" s="510"/>
      <c r="AY310" s="510"/>
      <c r="AZ310" s="466"/>
      <c r="BA310" s="466"/>
      <c r="BB310" s="466"/>
      <c r="BC310" s="466"/>
      <c r="BD310" s="466"/>
      <c r="BE310" s="466"/>
      <c r="BF310" s="466"/>
      <c r="BG310" s="466"/>
      <c r="BH310" s="466"/>
      <c r="BI310" s="466"/>
      <c r="BJ310" s="466"/>
      <c r="BK310" s="466"/>
      <c r="BL310" s="466"/>
      <c r="BM310" s="466"/>
      <c r="BN310" s="466"/>
      <c r="BO310" s="466"/>
      <c r="BP310" s="466"/>
      <c r="BQ310" s="466"/>
      <c r="BR310" s="466"/>
      <c r="BS310" s="466"/>
      <c r="BT310" s="466"/>
      <c r="BU310" s="466"/>
      <c r="BV310" s="466"/>
      <c r="BW310" s="466"/>
      <c r="BX310" s="466"/>
      <c r="BY310" s="466"/>
      <c r="BZ310" s="466"/>
      <c r="CA310" s="466"/>
      <c r="CB310" s="466"/>
      <c r="CC310" s="466"/>
      <c r="CD310" s="466"/>
      <c r="CE310" s="466"/>
      <c r="CF310" s="466"/>
      <c r="CG310" s="466"/>
      <c r="CH310" s="466"/>
      <c r="CI310" s="466"/>
      <c r="CJ310" s="466"/>
      <c r="CK310" s="466"/>
      <c r="CL310" s="466"/>
      <c r="CM310" s="466"/>
      <c r="CN310" s="466"/>
      <c r="CO310" s="466"/>
      <c r="CP310" s="466"/>
      <c r="CQ310" s="466"/>
      <c r="CR310" s="466"/>
      <c r="CS310" s="466"/>
      <c r="CT310" s="466"/>
      <c r="CU310" s="466"/>
      <c r="CV310" s="466"/>
      <c r="CW310" s="466"/>
      <c r="CX310" s="466"/>
      <c r="CY310" s="466"/>
      <c r="CZ310" s="466"/>
      <c r="DA310" s="466"/>
      <c r="DB310" s="466"/>
      <c r="DC310" s="466"/>
      <c r="DD310" s="466"/>
      <c r="DE310" s="466"/>
      <c r="DF310" s="466"/>
      <c r="DG310" s="466"/>
      <c r="FE310" s="527"/>
      <c r="FF310" s="466"/>
      <c r="FG310" s="466"/>
      <c r="FH310" s="466"/>
      <c r="FI310" s="466"/>
      <c r="FJ310" s="466"/>
      <c r="FK310" s="466"/>
      <c r="FL310" s="466"/>
      <c r="FM310" s="466"/>
      <c r="FN310" s="466"/>
      <c r="FO310" s="466"/>
      <c r="FP310" s="466"/>
      <c r="FQ310" s="466"/>
      <c r="FR310" s="466"/>
      <c r="FS310" s="466"/>
      <c r="FT310" s="466"/>
      <c r="FU310" s="466"/>
      <c r="FV310" s="466"/>
      <c r="FW310" s="466"/>
      <c r="FX310" s="466"/>
      <c r="FY310" s="466"/>
      <c r="FZ310" s="527"/>
      <c r="GA310" s="527"/>
      <c r="GB310" s="527"/>
      <c r="GC310" s="527"/>
      <c r="GD310" s="527"/>
      <c r="GE310" s="527"/>
      <c r="GF310" s="527"/>
      <c r="GG310" s="527"/>
      <c r="GH310" s="527"/>
      <c r="GI310" s="527"/>
      <c r="GJ310" s="527"/>
      <c r="GK310" s="527"/>
      <c r="GL310" s="527"/>
      <c r="GM310" s="527"/>
      <c r="GN310" s="527"/>
      <c r="GV310" s="527"/>
      <c r="GW310" s="527"/>
      <c r="GX310" s="527"/>
      <c r="GY310" s="527"/>
      <c r="GZ310" s="527"/>
      <c r="HA310" s="527"/>
      <c r="HB310" s="527"/>
      <c r="HC310" s="527"/>
      <c r="HD310" s="527"/>
      <c r="HE310" s="844"/>
      <c r="HF310" s="844"/>
      <c r="HG310" s="844"/>
      <c r="HH310" s="844"/>
      <c r="HI310" s="844"/>
      <c r="HJ310" s="844"/>
      <c r="HK310" s="844"/>
      <c r="HL310" s="844"/>
      <c r="HM310" s="844"/>
      <c r="HN310" s="844"/>
      <c r="HP310" s="466"/>
      <c r="HQ310" s="466"/>
      <c r="HR310" s="466"/>
      <c r="HS310" s="415"/>
      <c r="HT310" s="2292"/>
    </row>
    <row r="311" spans="3:228">
      <c r="C311" s="466"/>
      <c r="D311" s="466"/>
      <c r="E311" s="466"/>
      <c r="F311" s="466"/>
      <c r="G311" s="466"/>
      <c r="H311" s="466"/>
      <c r="I311" s="466"/>
      <c r="J311" s="466"/>
      <c r="K311" s="466"/>
      <c r="L311" s="466"/>
      <c r="M311" s="466"/>
      <c r="N311" s="466"/>
      <c r="O311" s="466"/>
      <c r="P311" s="510"/>
      <c r="Q311" s="510"/>
      <c r="R311" s="510"/>
      <c r="S311" s="510"/>
      <c r="T311" s="510"/>
      <c r="U311" s="510"/>
      <c r="V311" s="510"/>
      <c r="W311" s="510"/>
      <c r="X311" s="510"/>
      <c r="Y311" s="510"/>
      <c r="Z311" s="510"/>
      <c r="AA311" s="510"/>
      <c r="AB311" s="510"/>
      <c r="AC311" s="510"/>
      <c r="AD311" s="510"/>
      <c r="AE311" s="510"/>
      <c r="AF311" s="510"/>
      <c r="AG311" s="510"/>
      <c r="AH311" s="510"/>
      <c r="AI311" s="510"/>
      <c r="AJ311" s="510"/>
      <c r="AK311" s="510"/>
      <c r="AL311" s="510"/>
      <c r="AM311" s="510"/>
      <c r="AN311" s="510"/>
      <c r="AO311" s="510"/>
      <c r="AP311" s="510"/>
      <c r="AQ311" s="510"/>
      <c r="AR311" s="510"/>
      <c r="AS311" s="510"/>
      <c r="AT311" s="510"/>
      <c r="AU311" s="510"/>
      <c r="AV311" s="510"/>
      <c r="AW311" s="510"/>
      <c r="AX311" s="510"/>
      <c r="AY311" s="510"/>
      <c r="AZ311" s="466"/>
      <c r="BA311" s="466"/>
      <c r="BB311" s="466"/>
      <c r="BC311" s="466"/>
      <c r="BD311" s="466"/>
      <c r="BE311" s="466"/>
      <c r="BF311" s="466"/>
      <c r="BG311" s="466"/>
      <c r="BH311" s="466"/>
      <c r="BI311" s="466"/>
      <c r="BJ311" s="466"/>
      <c r="BK311" s="466"/>
      <c r="BL311" s="466"/>
      <c r="BM311" s="466"/>
      <c r="BN311" s="466"/>
      <c r="BO311" s="466"/>
      <c r="BP311" s="466"/>
      <c r="BQ311" s="466"/>
      <c r="BR311" s="466"/>
      <c r="BS311" s="466"/>
      <c r="BT311" s="466"/>
      <c r="BU311" s="466"/>
      <c r="BV311" s="466"/>
      <c r="BW311" s="466"/>
      <c r="BX311" s="466"/>
      <c r="BY311" s="466"/>
      <c r="BZ311" s="466"/>
      <c r="CA311" s="466"/>
      <c r="CB311" s="466"/>
      <c r="CC311" s="466"/>
      <c r="CD311" s="466"/>
      <c r="CE311" s="466"/>
      <c r="CF311" s="466"/>
      <c r="CG311" s="466"/>
      <c r="CH311" s="466"/>
      <c r="CI311" s="466"/>
      <c r="CJ311" s="466"/>
      <c r="CK311" s="466"/>
      <c r="CL311" s="466"/>
      <c r="CM311" s="466"/>
      <c r="CN311" s="466"/>
      <c r="CO311" s="466"/>
      <c r="CP311" s="466"/>
      <c r="CQ311" s="466"/>
      <c r="CR311" s="466"/>
      <c r="CS311" s="466"/>
      <c r="CT311" s="466"/>
      <c r="CU311" s="466"/>
      <c r="CV311" s="466"/>
      <c r="CW311" s="466"/>
      <c r="CX311" s="466"/>
      <c r="CY311" s="466"/>
      <c r="CZ311" s="466"/>
      <c r="DA311" s="466"/>
      <c r="DB311" s="466"/>
      <c r="DC311" s="466"/>
      <c r="DD311" s="466"/>
      <c r="DE311" s="466"/>
      <c r="DF311" s="466"/>
      <c r="DG311" s="466"/>
      <c r="FE311" s="527"/>
      <c r="FF311" s="466"/>
      <c r="FG311" s="466"/>
      <c r="FH311" s="466"/>
      <c r="FI311" s="466"/>
      <c r="FJ311" s="466"/>
      <c r="FK311" s="466"/>
      <c r="FL311" s="466"/>
      <c r="FM311" s="466"/>
      <c r="FN311" s="466"/>
      <c r="FO311" s="466"/>
      <c r="FP311" s="466"/>
      <c r="FQ311" s="466"/>
      <c r="FR311" s="466"/>
      <c r="FS311" s="466"/>
      <c r="FT311" s="466"/>
      <c r="FU311" s="466"/>
      <c r="FV311" s="466"/>
      <c r="FW311" s="466"/>
      <c r="FX311" s="466"/>
      <c r="FY311" s="466"/>
      <c r="FZ311" s="527"/>
      <c r="GA311" s="527"/>
      <c r="GB311" s="527"/>
      <c r="GC311" s="527"/>
      <c r="GD311" s="527"/>
      <c r="GE311" s="527"/>
      <c r="GF311" s="527"/>
      <c r="GG311" s="527"/>
      <c r="GH311" s="527"/>
      <c r="GI311" s="527"/>
      <c r="GJ311" s="527"/>
      <c r="GK311" s="527"/>
      <c r="GL311" s="527"/>
      <c r="GM311" s="527"/>
      <c r="GN311" s="527"/>
      <c r="GV311" s="527"/>
      <c r="GW311" s="527"/>
      <c r="GX311" s="527"/>
      <c r="GY311" s="527"/>
      <c r="GZ311" s="527"/>
      <c r="HA311" s="527"/>
      <c r="HB311" s="527"/>
      <c r="HC311" s="527"/>
      <c r="HD311" s="527"/>
      <c r="HE311" s="844"/>
      <c r="HF311" s="844"/>
      <c r="HG311" s="844"/>
      <c r="HH311" s="844"/>
      <c r="HI311" s="844"/>
      <c r="HJ311" s="844"/>
      <c r="HK311" s="844"/>
      <c r="HL311" s="844"/>
      <c r="HM311" s="844"/>
      <c r="HN311" s="844"/>
      <c r="HP311" s="466"/>
      <c r="HQ311" s="466"/>
      <c r="HR311" s="466"/>
      <c r="HS311" s="415"/>
      <c r="HT311" s="2292"/>
    </row>
    <row r="312" spans="3:228">
      <c r="C312" s="466"/>
      <c r="D312" s="466"/>
      <c r="E312" s="466"/>
      <c r="F312" s="466"/>
      <c r="G312" s="466"/>
      <c r="H312" s="466"/>
      <c r="I312" s="466"/>
      <c r="J312" s="466"/>
      <c r="K312" s="466"/>
      <c r="L312" s="466"/>
      <c r="M312" s="466"/>
      <c r="N312" s="466"/>
      <c r="O312" s="466"/>
      <c r="P312" s="510"/>
      <c r="Q312" s="510"/>
      <c r="R312" s="510"/>
      <c r="S312" s="510"/>
      <c r="T312" s="510"/>
      <c r="U312" s="510"/>
      <c r="V312" s="510"/>
      <c r="W312" s="510"/>
      <c r="X312" s="510"/>
      <c r="Y312" s="510"/>
      <c r="Z312" s="510"/>
      <c r="AA312" s="510"/>
      <c r="AB312" s="510"/>
      <c r="AC312" s="510"/>
      <c r="AD312" s="510"/>
      <c r="AE312" s="510"/>
      <c r="AF312" s="510"/>
      <c r="AG312" s="510"/>
      <c r="AH312" s="510"/>
      <c r="AI312" s="510"/>
      <c r="AJ312" s="510"/>
      <c r="AK312" s="510"/>
      <c r="AL312" s="510"/>
      <c r="AM312" s="510"/>
      <c r="AN312" s="510"/>
      <c r="AO312" s="510"/>
      <c r="AP312" s="510"/>
      <c r="AQ312" s="510"/>
      <c r="AR312" s="510"/>
      <c r="AS312" s="510"/>
      <c r="AT312" s="510"/>
      <c r="AU312" s="510"/>
      <c r="AV312" s="510"/>
      <c r="AW312" s="510"/>
      <c r="AX312" s="510"/>
      <c r="AY312" s="510"/>
      <c r="AZ312" s="466"/>
      <c r="BA312" s="466"/>
      <c r="BB312" s="466"/>
      <c r="BC312" s="466"/>
      <c r="BD312" s="466"/>
      <c r="BE312" s="466"/>
      <c r="BF312" s="466"/>
      <c r="BG312" s="466"/>
      <c r="BH312" s="466"/>
      <c r="BI312" s="466"/>
      <c r="BJ312" s="466"/>
      <c r="BK312" s="466"/>
      <c r="BL312" s="466"/>
      <c r="BM312" s="466"/>
      <c r="BN312" s="466"/>
      <c r="BO312" s="466"/>
      <c r="BP312" s="466"/>
      <c r="BQ312" s="466"/>
      <c r="BR312" s="466"/>
      <c r="BS312" s="466"/>
      <c r="BT312" s="466"/>
      <c r="BU312" s="466"/>
      <c r="BV312" s="466"/>
      <c r="BW312" s="466"/>
      <c r="BX312" s="466"/>
      <c r="BY312" s="466"/>
      <c r="BZ312" s="466"/>
      <c r="CA312" s="466"/>
      <c r="CB312" s="466"/>
      <c r="CC312" s="466"/>
      <c r="CD312" s="466"/>
      <c r="CE312" s="466"/>
      <c r="CF312" s="466"/>
      <c r="CG312" s="466"/>
      <c r="CH312" s="466"/>
      <c r="CI312" s="466"/>
      <c r="CJ312" s="466"/>
      <c r="CK312" s="466"/>
      <c r="CL312" s="466"/>
      <c r="CM312" s="466"/>
      <c r="CN312" s="466"/>
      <c r="CO312" s="466"/>
      <c r="CP312" s="466"/>
      <c r="CQ312" s="466"/>
      <c r="CR312" s="466"/>
      <c r="CS312" s="466"/>
      <c r="CT312" s="466"/>
      <c r="CU312" s="466"/>
      <c r="CV312" s="466"/>
      <c r="CW312" s="466"/>
      <c r="CX312" s="466"/>
      <c r="CY312" s="466"/>
      <c r="CZ312" s="466"/>
      <c r="DA312" s="466"/>
      <c r="DB312" s="466"/>
      <c r="DC312" s="466"/>
      <c r="DD312" s="466"/>
      <c r="DE312" s="466"/>
      <c r="DF312" s="466"/>
      <c r="DG312" s="466"/>
      <c r="FE312" s="527"/>
      <c r="FF312" s="466"/>
      <c r="FG312" s="466"/>
      <c r="FH312" s="466"/>
      <c r="FI312" s="466"/>
      <c r="FJ312" s="466"/>
      <c r="FK312" s="466"/>
      <c r="FL312" s="466"/>
      <c r="FM312" s="466"/>
      <c r="FN312" s="466"/>
      <c r="FO312" s="466"/>
      <c r="FP312" s="466"/>
      <c r="FQ312" s="466"/>
      <c r="FR312" s="466"/>
      <c r="FS312" s="466"/>
      <c r="FT312" s="466"/>
      <c r="FU312" s="466"/>
      <c r="FV312" s="466"/>
      <c r="FW312" s="466"/>
      <c r="FX312" s="466"/>
      <c r="FY312" s="466"/>
      <c r="FZ312" s="527"/>
      <c r="GA312" s="527"/>
      <c r="GB312" s="527"/>
      <c r="GC312" s="527"/>
      <c r="GD312" s="527"/>
      <c r="GE312" s="527"/>
      <c r="GF312" s="527"/>
      <c r="GG312" s="527"/>
      <c r="GH312" s="527"/>
      <c r="GI312" s="527"/>
      <c r="GJ312" s="527"/>
      <c r="GK312" s="527"/>
      <c r="GL312" s="527"/>
      <c r="GM312" s="527"/>
      <c r="GN312" s="527"/>
      <c r="GV312" s="527"/>
      <c r="GW312" s="527"/>
      <c r="GX312" s="527"/>
      <c r="GY312" s="527"/>
      <c r="GZ312" s="527"/>
      <c r="HA312" s="527"/>
      <c r="HB312" s="527"/>
      <c r="HC312" s="527"/>
      <c r="HD312" s="527"/>
      <c r="HE312" s="844"/>
      <c r="HF312" s="844"/>
      <c r="HG312" s="844"/>
      <c r="HH312" s="844"/>
      <c r="HI312" s="844"/>
      <c r="HJ312" s="844"/>
      <c r="HK312" s="844"/>
      <c r="HL312" s="844"/>
      <c r="HM312" s="844"/>
      <c r="HN312" s="844"/>
      <c r="HP312" s="466"/>
      <c r="HQ312" s="466"/>
      <c r="HR312" s="466"/>
      <c r="HS312" s="415"/>
      <c r="HT312" s="2292"/>
    </row>
    <row r="313" spans="3:228">
      <c r="C313" s="466"/>
      <c r="D313" s="466"/>
      <c r="E313" s="466"/>
      <c r="F313" s="466"/>
      <c r="G313" s="466"/>
      <c r="H313" s="466"/>
      <c r="I313" s="466"/>
      <c r="J313" s="466"/>
      <c r="K313" s="466"/>
      <c r="L313" s="466"/>
      <c r="M313" s="466"/>
      <c r="N313" s="466"/>
      <c r="O313" s="466"/>
      <c r="P313" s="510"/>
      <c r="Q313" s="510"/>
      <c r="R313" s="510"/>
      <c r="S313" s="510"/>
      <c r="T313" s="510"/>
      <c r="U313" s="510"/>
      <c r="V313" s="510"/>
      <c r="W313" s="510"/>
      <c r="X313" s="510"/>
      <c r="Y313" s="510"/>
      <c r="Z313" s="510"/>
      <c r="AA313" s="510"/>
      <c r="AB313" s="510"/>
      <c r="AC313" s="510"/>
      <c r="AD313" s="510"/>
      <c r="AE313" s="510"/>
      <c r="AF313" s="510"/>
      <c r="AG313" s="510"/>
      <c r="AH313" s="510"/>
      <c r="AI313" s="510"/>
      <c r="AJ313" s="510"/>
      <c r="AK313" s="510"/>
      <c r="AL313" s="510"/>
      <c r="AM313" s="510"/>
      <c r="AN313" s="510"/>
      <c r="AO313" s="510"/>
      <c r="AP313" s="510"/>
      <c r="AQ313" s="510"/>
      <c r="AR313" s="510"/>
      <c r="AS313" s="510"/>
      <c r="AT313" s="510"/>
      <c r="AU313" s="510"/>
      <c r="AV313" s="510"/>
      <c r="AW313" s="510"/>
      <c r="AX313" s="510"/>
      <c r="AY313" s="510"/>
      <c r="AZ313" s="466"/>
      <c r="BA313" s="466"/>
      <c r="BB313" s="466"/>
      <c r="BC313" s="466"/>
      <c r="BD313" s="466"/>
      <c r="BE313" s="466"/>
      <c r="BF313" s="466"/>
      <c r="BG313" s="466"/>
      <c r="BH313" s="466"/>
      <c r="BI313" s="466"/>
      <c r="BJ313" s="466"/>
      <c r="BK313" s="466"/>
      <c r="BL313" s="466"/>
      <c r="BM313" s="466"/>
      <c r="BN313" s="466"/>
      <c r="BO313" s="466"/>
      <c r="BP313" s="466"/>
      <c r="BQ313" s="466"/>
      <c r="BR313" s="466"/>
      <c r="BS313" s="466"/>
      <c r="BT313" s="466"/>
      <c r="BU313" s="466"/>
      <c r="BV313" s="466"/>
      <c r="BW313" s="466"/>
      <c r="BX313" s="466"/>
      <c r="BY313" s="466"/>
      <c r="BZ313" s="466"/>
      <c r="CA313" s="466"/>
      <c r="CB313" s="466"/>
      <c r="CC313" s="466"/>
      <c r="CD313" s="466"/>
      <c r="CE313" s="466"/>
      <c r="CF313" s="466"/>
      <c r="CG313" s="466"/>
      <c r="CH313" s="466"/>
      <c r="CI313" s="466"/>
      <c r="CJ313" s="466"/>
      <c r="CK313" s="466"/>
      <c r="CL313" s="466"/>
      <c r="CM313" s="466"/>
      <c r="CN313" s="466"/>
      <c r="CO313" s="466"/>
      <c r="CP313" s="466"/>
      <c r="CQ313" s="466"/>
      <c r="CR313" s="466"/>
      <c r="CS313" s="466"/>
      <c r="CT313" s="466"/>
      <c r="CU313" s="466"/>
      <c r="CV313" s="466"/>
      <c r="CW313" s="466"/>
      <c r="CX313" s="466"/>
      <c r="CY313" s="466"/>
      <c r="CZ313" s="466"/>
      <c r="DA313" s="466"/>
      <c r="DB313" s="466"/>
      <c r="DC313" s="466"/>
      <c r="DD313" s="466"/>
      <c r="DE313" s="466"/>
      <c r="DF313" s="466"/>
      <c r="DG313" s="466"/>
      <c r="FE313" s="527"/>
      <c r="FF313" s="466"/>
      <c r="FG313" s="466"/>
      <c r="FH313" s="466"/>
      <c r="FI313" s="466"/>
      <c r="FJ313" s="466"/>
      <c r="FK313" s="466"/>
      <c r="FL313" s="466"/>
      <c r="FM313" s="466"/>
      <c r="FN313" s="466"/>
      <c r="FO313" s="466"/>
      <c r="FP313" s="466"/>
      <c r="FQ313" s="466"/>
      <c r="FR313" s="466"/>
      <c r="FS313" s="466"/>
      <c r="FT313" s="466"/>
      <c r="FU313" s="466"/>
      <c r="FV313" s="466"/>
      <c r="FW313" s="466"/>
      <c r="FX313" s="466"/>
      <c r="FY313" s="466"/>
      <c r="FZ313" s="527"/>
      <c r="GA313" s="527"/>
      <c r="GB313" s="527"/>
      <c r="GC313" s="527"/>
      <c r="GD313" s="527"/>
      <c r="GE313" s="527"/>
      <c r="GF313" s="527"/>
      <c r="GG313" s="527"/>
      <c r="GH313" s="527"/>
      <c r="GI313" s="527"/>
      <c r="GJ313" s="527"/>
      <c r="GK313" s="527"/>
      <c r="GL313" s="527"/>
      <c r="GM313" s="527"/>
      <c r="GN313" s="527"/>
      <c r="GV313" s="527"/>
      <c r="GW313" s="527"/>
      <c r="GX313" s="527"/>
      <c r="GY313" s="527"/>
      <c r="GZ313" s="527"/>
      <c r="HA313" s="527"/>
      <c r="HB313" s="527"/>
      <c r="HC313" s="527"/>
      <c r="HD313" s="527"/>
      <c r="HE313" s="844"/>
      <c r="HF313" s="844"/>
      <c r="HG313" s="844"/>
      <c r="HH313" s="844"/>
      <c r="HI313" s="844"/>
      <c r="HJ313" s="844"/>
      <c r="HK313" s="844"/>
      <c r="HL313" s="844"/>
      <c r="HM313" s="844"/>
      <c r="HN313" s="844"/>
      <c r="HP313" s="466"/>
      <c r="HQ313" s="466"/>
      <c r="HR313" s="466"/>
      <c r="HS313" s="415"/>
      <c r="HT313" s="2292"/>
    </row>
    <row r="314" spans="3:228">
      <c r="C314" s="466"/>
      <c r="D314" s="466"/>
      <c r="E314" s="466"/>
      <c r="F314" s="466"/>
      <c r="G314" s="466"/>
      <c r="H314" s="466"/>
      <c r="I314" s="466"/>
      <c r="J314" s="466"/>
      <c r="K314" s="466"/>
      <c r="L314" s="466"/>
      <c r="M314" s="466"/>
      <c r="N314" s="466"/>
      <c r="O314" s="466"/>
      <c r="P314" s="510"/>
      <c r="Q314" s="510"/>
      <c r="R314" s="510"/>
      <c r="S314" s="510"/>
      <c r="T314" s="510"/>
      <c r="U314" s="510"/>
      <c r="V314" s="510"/>
      <c r="W314" s="510"/>
      <c r="X314" s="510"/>
      <c r="Y314" s="510"/>
      <c r="Z314" s="510"/>
      <c r="AA314" s="510"/>
      <c r="AB314" s="510"/>
      <c r="AC314" s="510"/>
      <c r="AD314" s="510"/>
      <c r="AE314" s="510"/>
      <c r="AF314" s="510"/>
      <c r="AG314" s="510"/>
      <c r="AH314" s="510"/>
      <c r="AI314" s="510"/>
      <c r="AJ314" s="510"/>
      <c r="AK314" s="510"/>
      <c r="AL314" s="510"/>
      <c r="AM314" s="510"/>
      <c r="AN314" s="510"/>
      <c r="AO314" s="510"/>
      <c r="AP314" s="510"/>
      <c r="AQ314" s="510"/>
      <c r="AR314" s="510"/>
      <c r="AS314" s="510"/>
      <c r="AT314" s="510"/>
      <c r="AU314" s="510"/>
      <c r="AV314" s="510"/>
      <c r="AW314" s="510"/>
      <c r="AX314" s="510"/>
      <c r="AY314" s="510"/>
      <c r="AZ314" s="466"/>
      <c r="BA314" s="466"/>
      <c r="BB314" s="466"/>
      <c r="BC314" s="466"/>
      <c r="BD314" s="466"/>
      <c r="BE314" s="466"/>
      <c r="BF314" s="466"/>
      <c r="BG314" s="466"/>
      <c r="BH314" s="466"/>
      <c r="BI314" s="466"/>
      <c r="BJ314" s="466"/>
      <c r="BK314" s="466"/>
      <c r="BL314" s="466"/>
      <c r="BM314" s="466"/>
      <c r="BN314" s="466"/>
      <c r="BO314" s="466"/>
      <c r="BP314" s="466"/>
      <c r="BQ314" s="466"/>
      <c r="BR314" s="466"/>
      <c r="BS314" s="466"/>
      <c r="BT314" s="466"/>
      <c r="BU314" s="466"/>
      <c r="BV314" s="466"/>
      <c r="BW314" s="466"/>
      <c r="BX314" s="466"/>
      <c r="BY314" s="466"/>
      <c r="BZ314" s="466"/>
      <c r="CA314" s="466"/>
      <c r="CB314" s="466"/>
      <c r="CC314" s="466"/>
      <c r="CD314" s="466"/>
      <c r="CE314" s="466"/>
      <c r="CF314" s="466"/>
      <c r="CG314" s="466"/>
      <c r="CH314" s="466"/>
      <c r="CI314" s="466"/>
      <c r="CJ314" s="466"/>
      <c r="CK314" s="466"/>
      <c r="CL314" s="466"/>
      <c r="CM314" s="466"/>
      <c r="CN314" s="466"/>
      <c r="CO314" s="466"/>
      <c r="CP314" s="466"/>
      <c r="CQ314" s="466"/>
      <c r="CR314" s="466"/>
      <c r="CS314" s="466"/>
      <c r="CT314" s="466"/>
      <c r="CU314" s="466"/>
      <c r="CV314" s="466"/>
      <c r="CW314" s="466"/>
      <c r="CX314" s="466"/>
      <c r="CY314" s="466"/>
      <c r="CZ314" s="466"/>
      <c r="DA314" s="466"/>
      <c r="DB314" s="466"/>
      <c r="DC314" s="466"/>
      <c r="DD314" s="466"/>
      <c r="DE314" s="466"/>
      <c r="DF314" s="466"/>
      <c r="DG314" s="466"/>
      <c r="FE314" s="527"/>
      <c r="FF314" s="466"/>
      <c r="FG314" s="466"/>
      <c r="FH314" s="466"/>
      <c r="FI314" s="466"/>
      <c r="FJ314" s="466"/>
      <c r="FK314" s="466"/>
      <c r="FL314" s="466"/>
      <c r="FM314" s="466"/>
      <c r="FN314" s="466"/>
      <c r="FO314" s="466"/>
      <c r="FP314" s="466"/>
      <c r="FQ314" s="466"/>
      <c r="FR314" s="466"/>
      <c r="FS314" s="466"/>
      <c r="FT314" s="466"/>
      <c r="FU314" s="466"/>
      <c r="FV314" s="466"/>
      <c r="FW314" s="466"/>
      <c r="FX314" s="466"/>
      <c r="FY314" s="466"/>
      <c r="FZ314" s="527"/>
      <c r="GA314" s="527"/>
      <c r="GB314" s="527"/>
      <c r="GC314" s="527"/>
      <c r="GD314" s="527"/>
      <c r="GE314" s="527"/>
      <c r="GF314" s="527"/>
      <c r="GG314" s="527"/>
      <c r="GH314" s="527"/>
      <c r="GI314" s="527"/>
      <c r="GJ314" s="527"/>
      <c r="GK314" s="527"/>
      <c r="GL314" s="527"/>
      <c r="GM314" s="527"/>
      <c r="GN314" s="527"/>
      <c r="GV314" s="527"/>
      <c r="GW314" s="527"/>
      <c r="GX314" s="527"/>
      <c r="GY314" s="527"/>
      <c r="GZ314" s="527"/>
      <c r="HA314" s="527"/>
      <c r="HB314" s="527"/>
      <c r="HC314" s="527"/>
      <c r="HD314" s="527"/>
      <c r="HE314" s="844"/>
      <c r="HF314" s="844"/>
      <c r="HG314" s="844"/>
      <c r="HH314" s="844"/>
      <c r="HI314" s="844"/>
      <c r="HJ314" s="844"/>
      <c r="HK314" s="844"/>
      <c r="HL314" s="844"/>
      <c r="HM314" s="844"/>
      <c r="HN314" s="844"/>
      <c r="HP314" s="466"/>
      <c r="HQ314" s="466"/>
      <c r="HR314" s="466"/>
      <c r="HS314" s="415"/>
      <c r="HT314" s="2292"/>
    </row>
    <row r="315" spans="3:228">
      <c r="C315" s="466"/>
      <c r="D315" s="466"/>
      <c r="E315" s="466"/>
      <c r="F315" s="466"/>
      <c r="G315" s="466"/>
      <c r="H315" s="466"/>
      <c r="I315" s="466"/>
      <c r="J315" s="466"/>
      <c r="K315" s="466"/>
      <c r="L315" s="466"/>
      <c r="M315" s="466"/>
      <c r="N315" s="466"/>
      <c r="O315" s="466"/>
      <c r="P315" s="510"/>
      <c r="Q315" s="510"/>
      <c r="R315" s="510"/>
      <c r="S315" s="510"/>
      <c r="T315" s="510"/>
      <c r="U315" s="510"/>
      <c r="V315" s="510"/>
      <c r="W315" s="510"/>
      <c r="X315" s="510"/>
      <c r="Y315" s="510"/>
      <c r="Z315" s="510"/>
      <c r="AA315" s="510"/>
      <c r="AB315" s="510"/>
      <c r="AC315" s="510"/>
      <c r="AD315" s="510"/>
      <c r="AE315" s="510"/>
      <c r="AF315" s="510"/>
      <c r="AG315" s="510"/>
      <c r="AH315" s="510"/>
      <c r="AI315" s="510"/>
      <c r="AJ315" s="510"/>
      <c r="AK315" s="510"/>
      <c r="AL315" s="510"/>
      <c r="AM315" s="510"/>
      <c r="AN315" s="510"/>
      <c r="AO315" s="510"/>
      <c r="AP315" s="510"/>
      <c r="AQ315" s="510"/>
      <c r="AR315" s="510"/>
      <c r="AS315" s="510"/>
      <c r="AT315" s="510"/>
      <c r="AU315" s="510"/>
      <c r="AV315" s="510"/>
      <c r="AW315" s="510"/>
      <c r="AX315" s="510"/>
      <c r="AY315" s="510"/>
      <c r="AZ315" s="466"/>
      <c r="BA315" s="466"/>
      <c r="BB315" s="466"/>
      <c r="BC315" s="466"/>
      <c r="BD315" s="466"/>
      <c r="BE315" s="466"/>
      <c r="BF315" s="466"/>
      <c r="BG315" s="466"/>
      <c r="BH315" s="466"/>
      <c r="BI315" s="466"/>
      <c r="BJ315" s="466"/>
      <c r="BK315" s="466"/>
      <c r="BL315" s="466"/>
      <c r="BM315" s="466"/>
      <c r="BN315" s="466"/>
      <c r="BO315" s="466"/>
      <c r="BP315" s="466"/>
      <c r="BQ315" s="466"/>
      <c r="BR315" s="466"/>
      <c r="BS315" s="466"/>
      <c r="BT315" s="466"/>
      <c r="BU315" s="466"/>
      <c r="BV315" s="466"/>
      <c r="BW315" s="466"/>
      <c r="BX315" s="466"/>
      <c r="BY315" s="466"/>
      <c r="BZ315" s="466"/>
      <c r="CA315" s="466"/>
      <c r="CB315" s="466"/>
      <c r="CC315" s="466"/>
      <c r="CD315" s="466"/>
      <c r="CE315" s="466"/>
      <c r="CF315" s="466"/>
      <c r="CG315" s="466"/>
      <c r="CH315" s="466"/>
      <c r="CI315" s="466"/>
      <c r="CJ315" s="466"/>
      <c r="CK315" s="466"/>
      <c r="CL315" s="466"/>
      <c r="CM315" s="466"/>
      <c r="CN315" s="466"/>
      <c r="CO315" s="466"/>
      <c r="CP315" s="466"/>
      <c r="CQ315" s="466"/>
      <c r="CR315" s="466"/>
      <c r="CS315" s="466"/>
      <c r="CT315" s="466"/>
      <c r="CU315" s="466"/>
      <c r="CV315" s="466"/>
      <c r="CW315" s="466"/>
      <c r="CX315" s="466"/>
      <c r="CY315" s="466"/>
      <c r="CZ315" s="466"/>
      <c r="DA315" s="466"/>
      <c r="DB315" s="466"/>
      <c r="DC315" s="466"/>
      <c r="DD315" s="466"/>
      <c r="DE315" s="466"/>
      <c r="DF315" s="466"/>
      <c r="DG315" s="466"/>
      <c r="FE315" s="527"/>
      <c r="FF315" s="466"/>
      <c r="FG315" s="466"/>
      <c r="FH315" s="466"/>
      <c r="FI315" s="466"/>
      <c r="FJ315" s="466"/>
      <c r="FK315" s="466"/>
      <c r="FL315" s="466"/>
      <c r="FM315" s="466"/>
      <c r="FN315" s="466"/>
      <c r="FO315" s="466"/>
      <c r="FP315" s="466"/>
      <c r="FQ315" s="466"/>
      <c r="FR315" s="466"/>
      <c r="FS315" s="466"/>
      <c r="FT315" s="466"/>
      <c r="FU315" s="466"/>
      <c r="FV315" s="466"/>
      <c r="FW315" s="466"/>
      <c r="FX315" s="466"/>
      <c r="FY315" s="466"/>
      <c r="FZ315" s="527"/>
      <c r="GA315" s="527"/>
      <c r="GB315" s="527"/>
      <c r="GC315" s="527"/>
      <c r="GD315" s="527"/>
      <c r="GE315" s="527"/>
      <c r="GF315" s="527"/>
      <c r="GG315" s="527"/>
      <c r="GH315" s="527"/>
      <c r="GI315" s="527"/>
      <c r="GJ315" s="527"/>
      <c r="GK315" s="527"/>
      <c r="GL315" s="527"/>
      <c r="GM315" s="527"/>
      <c r="GN315" s="527"/>
      <c r="GV315" s="527"/>
      <c r="GW315" s="527"/>
      <c r="GX315" s="527"/>
      <c r="GY315" s="527"/>
      <c r="GZ315" s="527"/>
      <c r="HA315" s="527"/>
      <c r="HB315" s="527"/>
      <c r="HC315" s="527"/>
      <c r="HD315" s="527"/>
      <c r="HE315" s="844"/>
      <c r="HF315" s="844"/>
      <c r="HG315" s="844"/>
      <c r="HH315" s="844"/>
      <c r="HI315" s="844"/>
      <c r="HJ315" s="844"/>
      <c r="HK315" s="844"/>
      <c r="HL315" s="844"/>
      <c r="HM315" s="844"/>
      <c r="HN315" s="844"/>
      <c r="HP315" s="466"/>
      <c r="HQ315" s="466"/>
      <c r="HR315" s="466"/>
      <c r="HS315" s="415"/>
      <c r="HT315" s="2292"/>
    </row>
    <row r="316" spans="3:228">
      <c r="C316" s="466"/>
      <c r="D316" s="466"/>
      <c r="E316" s="466"/>
      <c r="F316" s="466"/>
      <c r="G316" s="466"/>
      <c r="H316" s="466"/>
      <c r="I316" s="466"/>
      <c r="J316" s="466"/>
      <c r="K316" s="466"/>
      <c r="L316" s="466"/>
      <c r="M316" s="466"/>
      <c r="N316" s="466"/>
      <c r="O316" s="466"/>
      <c r="P316" s="510"/>
      <c r="Q316" s="510"/>
      <c r="R316" s="510"/>
      <c r="S316" s="510"/>
      <c r="T316" s="510"/>
      <c r="U316" s="510"/>
      <c r="V316" s="510"/>
      <c r="W316" s="510"/>
      <c r="X316" s="510"/>
      <c r="Y316" s="510"/>
      <c r="Z316" s="510"/>
      <c r="AA316" s="510"/>
      <c r="AB316" s="510"/>
      <c r="AC316" s="510"/>
      <c r="AD316" s="510"/>
      <c r="AE316" s="510"/>
      <c r="AF316" s="510"/>
      <c r="AG316" s="510"/>
      <c r="AH316" s="510"/>
      <c r="AI316" s="510"/>
      <c r="AJ316" s="510"/>
      <c r="AK316" s="510"/>
      <c r="AL316" s="510"/>
      <c r="AM316" s="510"/>
      <c r="AN316" s="510"/>
      <c r="AO316" s="510"/>
      <c r="AP316" s="510"/>
      <c r="AQ316" s="510"/>
      <c r="AR316" s="510"/>
      <c r="AS316" s="510"/>
      <c r="AT316" s="510"/>
      <c r="AU316" s="510"/>
      <c r="AV316" s="510"/>
      <c r="AW316" s="510"/>
      <c r="AX316" s="510"/>
      <c r="AY316" s="510"/>
      <c r="AZ316" s="466"/>
      <c r="BA316" s="466"/>
      <c r="BB316" s="466"/>
      <c r="BC316" s="466"/>
      <c r="BD316" s="466"/>
      <c r="BE316" s="466"/>
      <c r="BF316" s="466"/>
      <c r="BG316" s="466"/>
      <c r="BH316" s="466"/>
      <c r="BI316" s="466"/>
      <c r="BJ316" s="466"/>
      <c r="BK316" s="466"/>
      <c r="BL316" s="466"/>
      <c r="BM316" s="466"/>
      <c r="BN316" s="466"/>
      <c r="BO316" s="466"/>
      <c r="BP316" s="466"/>
      <c r="BQ316" s="466"/>
      <c r="BR316" s="466"/>
      <c r="BS316" s="466"/>
      <c r="BT316" s="466"/>
      <c r="BU316" s="466"/>
      <c r="BV316" s="466"/>
      <c r="BW316" s="466"/>
      <c r="BX316" s="466"/>
      <c r="BY316" s="466"/>
      <c r="BZ316" s="466"/>
      <c r="CA316" s="466"/>
      <c r="CB316" s="466"/>
      <c r="CC316" s="466"/>
      <c r="CD316" s="466"/>
      <c r="CE316" s="466"/>
      <c r="CF316" s="466"/>
      <c r="CG316" s="466"/>
      <c r="CH316" s="466"/>
      <c r="CI316" s="466"/>
      <c r="CJ316" s="466"/>
      <c r="CK316" s="466"/>
      <c r="CL316" s="466"/>
      <c r="CM316" s="466"/>
      <c r="CN316" s="466"/>
      <c r="CO316" s="466"/>
      <c r="CP316" s="466"/>
      <c r="CQ316" s="466"/>
      <c r="CR316" s="466"/>
      <c r="CS316" s="466"/>
      <c r="CT316" s="466"/>
      <c r="CU316" s="466"/>
      <c r="CV316" s="466"/>
      <c r="CW316" s="466"/>
      <c r="CX316" s="466"/>
      <c r="CY316" s="466"/>
      <c r="CZ316" s="466"/>
      <c r="DA316" s="466"/>
      <c r="DB316" s="466"/>
      <c r="DC316" s="466"/>
      <c r="DD316" s="466"/>
      <c r="DE316" s="466"/>
      <c r="DF316" s="466"/>
      <c r="DG316" s="466"/>
      <c r="FE316" s="527"/>
      <c r="FF316" s="466"/>
      <c r="FG316" s="466"/>
      <c r="FH316" s="466"/>
      <c r="FI316" s="466"/>
      <c r="FJ316" s="466"/>
      <c r="FK316" s="466"/>
      <c r="FL316" s="466"/>
      <c r="FM316" s="466"/>
      <c r="FN316" s="466"/>
      <c r="FO316" s="466"/>
      <c r="FP316" s="466"/>
      <c r="FQ316" s="466"/>
      <c r="FR316" s="466"/>
      <c r="FS316" s="466"/>
      <c r="FT316" s="466"/>
      <c r="FU316" s="466"/>
      <c r="FV316" s="466"/>
      <c r="FW316" s="466"/>
      <c r="FX316" s="466"/>
      <c r="FY316" s="466"/>
      <c r="FZ316" s="527"/>
      <c r="GA316" s="527"/>
      <c r="GB316" s="527"/>
      <c r="GC316" s="527"/>
      <c r="GD316" s="527"/>
      <c r="GE316" s="527"/>
      <c r="GF316" s="527"/>
      <c r="GG316" s="527"/>
      <c r="GH316" s="527"/>
      <c r="GI316" s="527"/>
      <c r="GJ316" s="527"/>
      <c r="GK316" s="527"/>
      <c r="GL316" s="527"/>
      <c r="GM316" s="527"/>
      <c r="GN316" s="527"/>
      <c r="GV316" s="527"/>
      <c r="GW316" s="527"/>
      <c r="GX316" s="527"/>
      <c r="GY316" s="527"/>
      <c r="GZ316" s="527"/>
      <c r="HA316" s="527"/>
      <c r="HB316" s="527"/>
      <c r="HC316" s="527"/>
      <c r="HD316" s="527"/>
      <c r="HE316" s="844"/>
      <c r="HF316" s="844"/>
      <c r="HG316" s="844"/>
      <c r="HH316" s="844"/>
      <c r="HI316" s="844"/>
      <c r="HJ316" s="844"/>
      <c r="HK316" s="844"/>
      <c r="HL316" s="844"/>
      <c r="HM316" s="844"/>
      <c r="HN316" s="844"/>
      <c r="HP316" s="466"/>
      <c r="HQ316" s="466"/>
      <c r="HR316" s="466"/>
      <c r="HS316" s="415"/>
      <c r="HT316" s="2292"/>
    </row>
    <row r="317" spans="3:228">
      <c r="C317" s="466"/>
      <c r="D317" s="466"/>
      <c r="E317" s="466"/>
      <c r="F317" s="466"/>
      <c r="G317" s="466"/>
      <c r="H317" s="466"/>
      <c r="I317" s="466"/>
      <c r="J317" s="466"/>
      <c r="K317" s="466"/>
      <c r="L317" s="466"/>
      <c r="M317" s="466"/>
      <c r="N317" s="466"/>
      <c r="O317" s="466"/>
      <c r="P317" s="510"/>
      <c r="Q317" s="510"/>
      <c r="R317" s="510"/>
      <c r="S317" s="510"/>
      <c r="T317" s="510"/>
      <c r="U317" s="510"/>
      <c r="V317" s="510"/>
      <c r="W317" s="510"/>
      <c r="X317" s="510"/>
      <c r="Y317" s="510"/>
      <c r="Z317" s="510"/>
      <c r="AA317" s="510"/>
      <c r="AB317" s="510"/>
      <c r="AC317" s="510"/>
      <c r="AD317" s="510"/>
      <c r="AE317" s="510"/>
      <c r="AF317" s="510"/>
      <c r="AG317" s="510"/>
      <c r="AH317" s="510"/>
      <c r="AI317" s="510"/>
      <c r="AJ317" s="510"/>
      <c r="AK317" s="510"/>
      <c r="AL317" s="510"/>
      <c r="AM317" s="510"/>
      <c r="AN317" s="510"/>
      <c r="AO317" s="510"/>
      <c r="AP317" s="510"/>
      <c r="AQ317" s="510"/>
      <c r="AR317" s="510"/>
      <c r="AS317" s="510"/>
      <c r="AT317" s="510"/>
      <c r="AU317" s="510"/>
      <c r="AV317" s="510"/>
      <c r="AW317" s="510"/>
      <c r="AX317" s="510"/>
      <c r="AY317" s="510"/>
      <c r="AZ317" s="466"/>
      <c r="BA317" s="466"/>
      <c r="BB317" s="466"/>
      <c r="BC317" s="466"/>
      <c r="BD317" s="466"/>
      <c r="BE317" s="466"/>
      <c r="BF317" s="466"/>
      <c r="BG317" s="466"/>
      <c r="BH317" s="466"/>
      <c r="BI317" s="466"/>
      <c r="BJ317" s="466"/>
      <c r="BK317" s="466"/>
      <c r="BL317" s="466"/>
      <c r="BM317" s="466"/>
      <c r="BN317" s="466"/>
      <c r="BO317" s="466"/>
      <c r="BP317" s="466"/>
      <c r="BQ317" s="466"/>
      <c r="BR317" s="466"/>
      <c r="BS317" s="466"/>
      <c r="BT317" s="466"/>
      <c r="BU317" s="466"/>
      <c r="BV317" s="466"/>
      <c r="BW317" s="466"/>
      <c r="BX317" s="466"/>
      <c r="BY317" s="466"/>
      <c r="BZ317" s="466"/>
      <c r="CA317" s="466"/>
      <c r="CB317" s="466"/>
      <c r="CC317" s="466"/>
      <c r="CD317" s="466"/>
      <c r="CE317" s="466"/>
      <c r="CF317" s="466"/>
      <c r="CG317" s="466"/>
      <c r="CH317" s="466"/>
      <c r="CI317" s="466"/>
      <c r="CJ317" s="466"/>
      <c r="CK317" s="466"/>
      <c r="CL317" s="466"/>
      <c r="CM317" s="466"/>
      <c r="CN317" s="466"/>
      <c r="CO317" s="466"/>
      <c r="CP317" s="466"/>
      <c r="CQ317" s="466"/>
      <c r="CR317" s="466"/>
      <c r="CS317" s="466"/>
      <c r="CT317" s="466"/>
      <c r="CU317" s="466"/>
      <c r="CV317" s="466"/>
      <c r="CW317" s="466"/>
      <c r="CX317" s="466"/>
      <c r="CY317" s="466"/>
      <c r="CZ317" s="466"/>
      <c r="DA317" s="466"/>
      <c r="DB317" s="466"/>
      <c r="DC317" s="466"/>
      <c r="DD317" s="466"/>
      <c r="DE317" s="466"/>
      <c r="DF317" s="466"/>
      <c r="DG317" s="466"/>
      <c r="FE317" s="527"/>
      <c r="FF317" s="466"/>
      <c r="FG317" s="466"/>
      <c r="FH317" s="466"/>
      <c r="FI317" s="466"/>
      <c r="FJ317" s="466"/>
      <c r="FK317" s="466"/>
      <c r="FL317" s="466"/>
      <c r="FM317" s="466"/>
      <c r="FN317" s="466"/>
      <c r="FO317" s="466"/>
      <c r="FP317" s="466"/>
      <c r="FQ317" s="466"/>
      <c r="FR317" s="466"/>
      <c r="FS317" s="466"/>
      <c r="FT317" s="466"/>
      <c r="FU317" s="466"/>
      <c r="FV317" s="466"/>
      <c r="FW317" s="466"/>
      <c r="FX317" s="466"/>
      <c r="FY317" s="466"/>
      <c r="FZ317" s="527"/>
      <c r="GA317" s="527"/>
      <c r="GB317" s="527"/>
      <c r="GC317" s="527"/>
      <c r="GD317" s="527"/>
      <c r="GE317" s="527"/>
      <c r="GF317" s="527"/>
      <c r="GG317" s="527"/>
      <c r="GH317" s="527"/>
      <c r="GI317" s="527"/>
      <c r="GJ317" s="527"/>
      <c r="GK317" s="527"/>
      <c r="GL317" s="527"/>
      <c r="GM317" s="527"/>
      <c r="GN317" s="527"/>
      <c r="GV317" s="527"/>
      <c r="GW317" s="527"/>
      <c r="GX317" s="527"/>
      <c r="GY317" s="527"/>
      <c r="GZ317" s="527"/>
      <c r="HA317" s="527"/>
      <c r="HB317" s="527"/>
      <c r="HC317" s="527"/>
      <c r="HD317" s="527"/>
      <c r="HE317" s="844"/>
      <c r="HF317" s="844"/>
      <c r="HG317" s="844"/>
      <c r="HH317" s="844"/>
      <c r="HI317" s="844"/>
      <c r="HJ317" s="844"/>
      <c r="HK317" s="844"/>
      <c r="HL317" s="844"/>
      <c r="HM317" s="844"/>
      <c r="HN317" s="844"/>
      <c r="HP317" s="466"/>
      <c r="HQ317" s="466"/>
      <c r="HR317" s="466"/>
      <c r="HS317" s="415"/>
      <c r="HT317" s="2292"/>
    </row>
    <row r="318" spans="3:228">
      <c r="C318" s="466"/>
      <c r="D318" s="466"/>
      <c r="E318" s="466"/>
      <c r="F318" s="466"/>
      <c r="G318" s="466"/>
      <c r="H318" s="466"/>
      <c r="I318" s="466"/>
      <c r="J318" s="466"/>
      <c r="K318" s="466"/>
      <c r="L318" s="466"/>
      <c r="M318" s="466"/>
      <c r="N318" s="466"/>
      <c r="O318" s="466"/>
      <c r="P318" s="510"/>
      <c r="Q318" s="510"/>
      <c r="R318" s="510"/>
      <c r="S318" s="510"/>
      <c r="T318" s="510"/>
      <c r="U318" s="510"/>
      <c r="V318" s="510"/>
      <c r="W318" s="510"/>
      <c r="X318" s="510"/>
      <c r="Y318" s="510"/>
      <c r="Z318" s="510"/>
      <c r="AA318" s="510"/>
      <c r="AB318" s="510"/>
      <c r="AC318" s="510"/>
      <c r="AD318" s="510"/>
      <c r="AE318" s="510"/>
      <c r="AF318" s="510"/>
      <c r="AG318" s="510"/>
      <c r="AH318" s="510"/>
      <c r="AI318" s="510"/>
      <c r="AJ318" s="510"/>
      <c r="AK318" s="510"/>
      <c r="AL318" s="510"/>
      <c r="AM318" s="510"/>
      <c r="AN318" s="510"/>
      <c r="AO318" s="510"/>
      <c r="AP318" s="510"/>
      <c r="AQ318" s="510"/>
      <c r="AR318" s="510"/>
      <c r="AS318" s="510"/>
      <c r="AT318" s="510"/>
      <c r="AU318" s="510"/>
      <c r="AV318" s="510"/>
      <c r="AW318" s="510"/>
      <c r="AX318" s="510"/>
      <c r="AY318" s="510"/>
      <c r="AZ318" s="466"/>
      <c r="BA318" s="466"/>
      <c r="BB318" s="466"/>
      <c r="BC318" s="466"/>
      <c r="BD318" s="466"/>
      <c r="BE318" s="466"/>
      <c r="BF318" s="466"/>
      <c r="BG318" s="466"/>
      <c r="BH318" s="466"/>
      <c r="BI318" s="466"/>
      <c r="BJ318" s="466"/>
      <c r="BK318" s="466"/>
      <c r="BL318" s="466"/>
      <c r="BM318" s="466"/>
      <c r="BN318" s="466"/>
      <c r="BO318" s="466"/>
      <c r="BP318" s="466"/>
      <c r="BQ318" s="466"/>
      <c r="BR318" s="466"/>
      <c r="BS318" s="466"/>
      <c r="BT318" s="466"/>
      <c r="BU318" s="466"/>
      <c r="BV318" s="466"/>
      <c r="BW318" s="466"/>
      <c r="BX318" s="466"/>
      <c r="BY318" s="466"/>
      <c r="BZ318" s="466"/>
      <c r="CA318" s="466"/>
      <c r="CB318" s="466"/>
      <c r="CC318" s="466"/>
      <c r="CD318" s="466"/>
      <c r="CE318" s="466"/>
      <c r="CF318" s="466"/>
      <c r="CG318" s="466"/>
      <c r="CH318" s="466"/>
      <c r="CI318" s="466"/>
      <c r="CJ318" s="466"/>
      <c r="CK318" s="466"/>
      <c r="CL318" s="466"/>
      <c r="CM318" s="466"/>
      <c r="CN318" s="466"/>
      <c r="CO318" s="466"/>
      <c r="CP318" s="466"/>
      <c r="CQ318" s="466"/>
      <c r="CR318" s="466"/>
      <c r="CS318" s="466"/>
      <c r="CT318" s="466"/>
      <c r="CU318" s="466"/>
      <c r="CV318" s="466"/>
      <c r="CW318" s="466"/>
      <c r="CX318" s="466"/>
      <c r="CY318" s="466"/>
      <c r="CZ318" s="466"/>
      <c r="DA318" s="466"/>
      <c r="DB318" s="466"/>
      <c r="DC318" s="466"/>
      <c r="DD318" s="466"/>
      <c r="DE318" s="466"/>
      <c r="DF318" s="466"/>
      <c r="DG318" s="466"/>
      <c r="FE318" s="527"/>
      <c r="FF318" s="466"/>
      <c r="FG318" s="466"/>
      <c r="FH318" s="466"/>
      <c r="FI318" s="466"/>
      <c r="FJ318" s="466"/>
      <c r="FK318" s="466"/>
      <c r="FL318" s="466"/>
      <c r="FM318" s="466"/>
      <c r="FN318" s="466"/>
      <c r="FO318" s="466"/>
      <c r="FP318" s="466"/>
      <c r="FQ318" s="466"/>
      <c r="FR318" s="466"/>
      <c r="FS318" s="466"/>
      <c r="FT318" s="466"/>
      <c r="FU318" s="466"/>
      <c r="FV318" s="466"/>
      <c r="FW318" s="466"/>
      <c r="FX318" s="466"/>
      <c r="FY318" s="466"/>
      <c r="FZ318" s="527"/>
      <c r="GA318" s="527"/>
      <c r="GB318" s="527"/>
      <c r="GC318" s="527"/>
      <c r="GD318" s="527"/>
      <c r="GE318" s="527"/>
      <c r="GF318" s="527"/>
      <c r="GG318" s="527"/>
      <c r="GH318" s="527"/>
      <c r="GI318" s="527"/>
      <c r="GJ318" s="527"/>
      <c r="GK318" s="527"/>
      <c r="GL318" s="527"/>
      <c r="GM318" s="527"/>
      <c r="GN318" s="527"/>
      <c r="GV318" s="527"/>
      <c r="GW318" s="527"/>
      <c r="GX318" s="527"/>
      <c r="GY318" s="527"/>
      <c r="GZ318" s="527"/>
      <c r="HA318" s="527"/>
      <c r="HB318" s="527"/>
      <c r="HC318" s="527"/>
      <c r="HD318" s="527"/>
      <c r="HE318" s="844"/>
      <c r="HF318" s="844"/>
      <c r="HG318" s="844"/>
      <c r="HH318" s="844"/>
      <c r="HI318" s="844"/>
      <c r="HJ318" s="844"/>
      <c r="HK318" s="844"/>
      <c r="HL318" s="844"/>
      <c r="HM318" s="844"/>
      <c r="HN318" s="844"/>
      <c r="HP318" s="466"/>
      <c r="HQ318" s="466"/>
      <c r="HR318" s="466"/>
      <c r="HS318" s="415"/>
      <c r="HT318" s="2292"/>
    </row>
    <row r="319" spans="3:228">
      <c r="C319" s="466"/>
      <c r="D319" s="466"/>
      <c r="E319" s="466"/>
      <c r="F319" s="466"/>
      <c r="G319" s="466"/>
      <c r="H319" s="466"/>
      <c r="I319" s="466"/>
      <c r="J319" s="466"/>
      <c r="K319" s="466"/>
      <c r="L319" s="466"/>
      <c r="M319" s="466"/>
      <c r="N319" s="466"/>
      <c r="O319" s="466"/>
      <c r="P319" s="510"/>
      <c r="Q319" s="510"/>
      <c r="R319" s="510"/>
      <c r="S319" s="510"/>
      <c r="T319" s="510"/>
      <c r="U319" s="510"/>
      <c r="V319" s="510"/>
      <c r="W319" s="510"/>
      <c r="X319" s="510"/>
      <c r="Y319" s="510"/>
      <c r="Z319" s="510"/>
      <c r="AA319" s="510"/>
      <c r="AB319" s="510"/>
      <c r="AC319" s="510"/>
      <c r="AD319" s="510"/>
      <c r="AE319" s="510"/>
      <c r="AF319" s="510"/>
      <c r="AG319" s="510"/>
      <c r="AH319" s="510"/>
      <c r="AI319" s="510"/>
      <c r="AJ319" s="510"/>
      <c r="AK319" s="510"/>
      <c r="AL319" s="510"/>
      <c r="AM319" s="510"/>
      <c r="AN319" s="510"/>
      <c r="AO319" s="510"/>
      <c r="AP319" s="510"/>
      <c r="AQ319" s="510"/>
      <c r="AR319" s="510"/>
      <c r="AS319" s="510"/>
      <c r="AT319" s="510"/>
      <c r="AU319" s="510"/>
      <c r="AV319" s="510"/>
      <c r="AW319" s="510"/>
      <c r="AX319" s="510"/>
      <c r="AY319" s="510"/>
      <c r="AZ319" s="466"/>
      <c r="BA319" s="466"/>
      <c r="BB319" s="466"/>
      <c r="BC319" s="466"/>
      <c r="BD319" s="466"/>
      <c r="BE319" s="466"/>
      <c r="BF319" s="466"/>
      <c r="BG319" s="466"/>
      <c r="BH319" s="466"/>
      <c r="BI319" s="466"/>
      <c r="BJ319" s="466"/>
      <c r="BK319" s="466"/>
      <c r="BL319" s="466"/>
      <c r="BM319" s="466"/>
      <c r="BN319" s="466"/>
      <c r="BO319" s="466"/>
      <c r="BP319" s="466"/>
      <c r="BQ319" s="466"/>
      <c r="BR319" s="466"/>
      <c r="BS319" s="466"/>
      <c r="BT319" s="466"/>
      <c r="BU319" s="466"/>
      <c r="BV319" s="466"/>
      <c r="BW319" s="466"/>
      <c r="BX319" s="466"/>
      <c r="BY319" s="466"/>
      <c r="BZ319" s="466"/>
      <c r="CA319" s="466"/>
      <c r="CB319" s="466"/>
      <c r="CC319" s="466"/>
      <c r="CD319" s="466"/>
      <c r="CE319" s="466"/>
      <c r="CF319" s="466"/>
      <c r="CG319" s="466"/>
      <c r="CH319" s="466"/>
      <c r="CI319" s="466"/>
      <c r="CJ319" s="466"/>
      <c r="CK319" s="466"/>
      <c r="CL319" s="466"/>
      <c r="CM319" s="466"/>
      <c r="CN319" s="466"/>
      <c r="CO319" s="466"/>
      <c r="CP319" s="466"/>
      <c r="CQ319" s="466"/>
      <c r="CR319" s="466"/>
      <c r="CS319" s="466"/>
      <c r="CT319" s="466"/>
      <c r="CU319" s="466"/>
      <c r="CV319" s="466"/>
      <c r="CW319" s="466"/>
      <c r="CX319" s="466"/>
      <c r="CY319" s="466"/>
      <c r="CZ319" s="466"/>
      <c r="DA319" s="466"/>
      <c r="DB319" s="466"/>
      <c r="DC319" s="466"/>
      <c r="DD319" s="466"/>
      <c r="DE319" s="466"/>
      <c r="DF319" s="466"/>
      <c r="DG319" s="466"/>
      <c r="FE319" s="527"/>
      <c r="FF319" s="466"/>
      <c r="FG319" s="466"/>
      <c r="FH319" s="466"/>
      <c r="FI319" s="466"/>
      <c r="FJ319" s="466"/>
      <c r="FK319" s="466"/>
      <c r="FL319" s="466"/>
      <c r="FM319" s="466"/>
      <c r="FN319" s="466"/>
      <c r="FO319" s="466"/>
      <c r="FP319" s="466"/>
      <c r="FQ319" s="466"/>
      <c r="FR319" s="466"/>
      <c r="FS319" s="466"/>
      <c r="FT319" s="466"/>
      <c r="FU319" s="466"/>
      <c r="FV319" s="466"/>
      <c r="FW319" s="466"/>
      <c r="FX319" s="466"/>
      <c r="FY319" s="466"/>
      <c r="FZ319" s="527"/>
      <c r="GA319" s="527"/>
      <c r="GB319" s="527"/>
      <c r="GC319" s="527"/>
      <c r="GD319" s="527"/>
      <c r="GE319" s="527"/>
      <c r="GF319" s="527"/>
      <c r="GG319" s="527"/>
      <c r="GH319" s="527"/>
      <c r="GI319" s="527"/>
      <c r="GJ319" s="527"/>
      <c r="GK319" s="527"/>
      <c r="GL319" s="527"/>
      <c r="GM319" s="527"/>
      <c r="GN319" s="527"/>
      <c r="GV319" s="527"/>
      <c r="GW319" s="527"/>
      <c r="GX319" s="527"/>
      <c r="GY319" s="527"/>
      <c r="GZ319" s="527"/>
      <c r="HA319" s="527"/>
      <c r="HB319" s="527"/>
      <c r="HC319" s="527"/>
      <c r="HD319" s="527"/>
      <c r="HE319" s="844"/>
      <c r="HF319" s="844"/>
      <c r="HG319" s="844"/>
      <c r="HH319" s="844"/>
      <c r="HI319" s="844"/>
      <c r="HJ319" s="844"/>
      <c r="HK319" s="844"/>
      <c r="HL319" s="844"/>
      <c r="HM319" s="844"/>
      <c r="HN319" s="844"/>
      <c r="HP319" s="466"/>
      <c r="HQ319" s="466"/>
      <c r="HR319" s="466"/>
      <c r="HS319" s="415"/>
      <c r="HT319" s="2292"/>
    </row>
    <row r="320" spans="3:228">
      <c r="C320" s="466"/>
      <c r="D320" s="466"/>
      <c r="E320" s="466"/>
      <c r="F320" s="466"/>
      <c r="G320" s="466"/>
      <c r="H320" s="466"/>
      <c r="I320" s="466"/>
      <c r="J320" s="466"/>
      <c r="K320" s="466"/>
      <c r="L320" s="466"/>
      <c r="M320" s="466"/>
      <c r="N320" s="466"/>
      <c r="O320" s="466"/>
      <c r="P320" s="510"/>
      <c r="Q320" s="510"/>
      <c r="R320" s="510"/>
      <c r="S320" s="510"/>
      <c r="T320" s="510"/>
      <c r="U320" s="510"/>
      <c r="V320" s="510"/>
      <c r="W320" s="510"/>
      <c r="X320" s="510"/>
      <c r="Y320" s="510"/>
      <c r="Z320" s="510"/>
      <c r="AA320" s="510"/>
      <c r="AB320" s="510"/>
      <c r="AC320" s="510"/>
      <c r="AD320" s="510"/>
      <c r="AE320" s="510"/>
      <c r="AF320" s="510"/>
      <c r="AG320" s="510"/>
      <c r="AH320" s="510"/>
      <c r="AI320" s="510"/>
      <c r="AJ320" s="510"/>
      <c r="AK320" s="510"/>
      <c r="AL320" s="510"/>
      <c r="AM320" s="510"/>
      <c r="AN320" s="510"/>
      <c r="AO320" s="510"/>
      <c r="AP320" s="510"/>
      <c r="AQ320" s="510"/>
      <c r="AR320" s="510"/>
      <c r="AS320" s="510"/>
      <c r="AT320" s="510"/>
      <c r="AU320" s="510"/>
      <c r="AV320" s="510"/>
      <c r="AW320" s="510"/>
      <c r="AX320" s="510"/>
      <c r="AY320" s="510"/>
      <c r="AZ320" s="466"/>
      <c r="BA320" s="466"/>
      <c r="BB320" s="466"/>
      <c r="BC320" s="466"/>
      <c r="BD320" s="466"/>
      <c r="BE320" s="466"/>
      <c r="BF320" s="466"/>
      <c r="BG320" s="466"/>
      <c r="BH320" s="466"/>
      <c r="BI320" s="466"/>
      <c r="BJ320" s="466"/>
      <c r="BK320" s="466"/>
      <c r="BL320" s="466"/>
      <c r="BM320" s="466"/>
      <c r="BN320" s="466"/>
      <c r="BO320" s="466"/>
      <c r="BP320" s="466"/>
      <c r="BQ320" s="466"/>
      <c r="BR320" s="466"/>
      <c r="BS320" s="466"/>
      <c r="BT320" s="466"/>
      <c r="BU320" s="466"/>
      <c r="BV320" s="466"/>
      <c r="BW320" s="466"/>
      <c r="BX320" s="466"/>
      <c r="BY320" s="466"/>
      <c r="BZ320" s="466"/>
      <c r="CA320" s="466"/>
      <c r="CB320" s="466"/>
      <c r="CC320" s="466"/>
      <c r="CD320" s="466"/>
      <c r="CE320" s="466"/>
      <c r="CF320" s="466"/>
      <c r="CG320" s="466"/>
      <c r="CH320" s="466"/>
      <c r="CI320" s="466"/>
      <c r="CJ320" s="466"/>
      <c r="CK320" s="466"/>
      <c r="CL320" s="466"/>
      <c r="CM320" s="466"/>
      <c r="CN320" s="466"/>
      <c r="CO320" s="466"/>
      <c r="CP320" s="466"/>
      <c r="CQ320" s="466"/>
      <c r="CR320" s="466"/>
      <c r="CS320" s="466"/>
      <c r="CT320" s="466"/>
      <c r="CU320" s="466"/>
      <c r="CV320" s="466"/>
      <c r="CW320" s="466"/>
      <c r="CX320" s="466"/>
      <c r="CY320" s="466"/>
      <c r="CZ320" s="466"/>
      <c r="DA320" s="466"/>
      <c r="DB320" s="466"/>
      <c r="DC320" s="466"/>
      <c r="DD320" s="466"/>
      <c r="DE320" s="466"/>
      <c r="DF320" s="466"/>
      <c r="DG320" s="466"/>
      <c r="FE320" s="527"/>
      <c r="FF320" s="466"/>
      <c r="FG320" s="466"/>
      <c r="FH320" s="466"/>
      <c r="FI320" s="466"/>
      <c r="FJ320" s="466"/>
      <c r="FK320" s="466"/>
      <c r="FL320" s="466"/>
      <c r="FM320" s="466"/>
      <c r="FN320" s="466"/>
      <c r="FO320" s="466"/>
      <c r="FP320" s="466"/>
      <c r="FQ320" s="466"/>
      <c r="FR320" s="466"/>
      <c r="FS320" s="466"/>
      <c r="FT320" s="466"/>
      <c r="FU320" s="466"/>
      <c r="FV320" s="466"/>
      <c r="FW320" s="466"/>
      <c r="FX320" s="466"/>
      <c r="FY320" s="466"/>
      <c r="FZ320" s="527"/>
      <c r="GA320" s="527"/>
      <c r="GB320" s="527"/>
      <c r="GC320" s="527"/>
      <c r="GD320" s="527"/>
      <c r="GE320" s="527"/>
      <c r="GF320" s="527"/>
      <c r="GG320" s="527"/>
      <c r="GH320" s="527"/>
      <c r="GI320" s="527"/>
      <c r="GJ320" s="527"/>
      <c r="GK320" s="527"/>
      <c r="GL320" s="527"/>
      <c r="GM320" s="527"/>
      <c r="GN320" s="527"/>
      <c r="GV320" s="527"/>
      <c r="GW320" s="527"/>
      <c r="GX320" s="527"/>
      <c r="GY320" s="527"/>
      <c r="GZ320" s="527"/>
      <c r="HA320" s="527"/>
      <c r="HB320" s="527"/>
      <c r="HC320" s="527"/>
      <c r="HD320" s="527"/>
      <c r="HE320" s="844"/>
      <c r="HF320" s="844"/>
      <c r="HG320" s="844"/>
      <c r="HH320" s="844"/>
      <c r="HI320" s="844"/>
      <c r="HJ320" s="844"/>
      <c r="HK320" s="844"/>
      <c r="HL320" s="844"/>
      <c r="HM320" s="844"/>
      <c r="HN320" s="844"/>
      <c r="HP320" s="466"/>
      <c r="HQ320" s="466"/>
      <c r="HR320" s="466"/>
      <c r="HS320" s="415"/>
      <c r="HT320" s="2292"/>
    </row>
    <row r="321" spans="3:228">
      <c r="C321" s="466"/>
      <c r="D321" s="466"/>
      <c r="E321" s="466"/>
      <c r="F321" s="466"/>
      <c r="G321" s="466"/>
      <c r="H321" s="466"/>
      <c r="I321" s="466"/>
      <c r="J321" s="466"/>
      <c r="K321" s="466"/>
      <c r="L321" s="466"/>
      <c r="M321" s="466"/>
      <c r="N321" s="466"/>
      <c r="O321" s="466"/>
      <c r="P321" s="510"/>
      <c r="Q321" s="510"/>
      <c r="R321" s="510"/>
      <c r="S321" s="510"/>
      <c r="T321" s="510"/>
      <c r="U321" s="510"/>
      <c r="V321" s="510"/>
      <c r="W321" s="510"/>
      <c r="X321" s="510"/>
      <c r="Y321" s="510"/>
      <c r="Z321" s="510"/>
      <c r="AA321" s="510"/>
      <c r="AB321" s="510"/>
      <c r="AC321" s="510"/>
      <c r="AD321" s="510"/>
      <c r="AE321" s="510"/>
      <c r="AF321" s="510"/>
      <c r="AG321" s="510"/>
      <c r="AH321" s="510"/>
      <c r="AI321" s="510"/>
      <c r="AJ321" s="510"/>
      <c r="AK321" s="510"/>
      <c r="AL321" s="510"/>
      <c r="AM321" s="510"/>
      <c r="AN321" s="510"/>
      <c r="AO321" s="510"/>
      <c r="AP321" s="510"/>
      <c r="AQ321" s="510"/>
      <c r="AR321" s="510"/>
      <c r="AS321" s="510"/>
      <c r="AT321" s="510"/>
      <c r="AU321" s="510"/>
      <c r="AV321" s="510"/>
      <c r="AW321" s="510"/>
      <c r="AX321" s="510"/>
      <c r="AY321" s="510"/>
      <c r="AZ321" s="466"/>
      <c r="BA321" s="466"/>
      <c r="BB321" s="466"/>
      <c r="BC321" s="466"/>
      <c r="BD321" s="466"/>
      <c r="BE321" s="466"/>
      <c r="BF321" s="466"/>
      <c r="BG321" s="466"/>
      <c r="BH321" s="466"/>
      <c r="BI321" s="466"/>
      <c r="BJ321" s="466"/>
      <c r="BK321" s="466"/>
      <c r="BL321" s="466"/>
      <c r="BM321" s="466"/>
      <c r="BN321" s="466"/>
      <c r="BO321" s="466"/>
      <c r="BP321" s="466"/>
      <c r="BQ321" s="466"/>
      <c r="BR321" s="466"/>
      <c r="BS321" s="466"/>
      <c r="BT321" s="466"/>
      <c r="BU321" s="466"/>
      <c r="BV321" s="466"/>
      <c r="BW321" s="466"/>
      <c r="BX321" s="466"/>
      <c r="BY321" s="466"/>
      <c r="BZ321" s="466"/>
      <c r="CA321" s="466"/>
      <c r="CB321" s="466"/>
      <c r="CC321" s="466"/>
      <c r="CD321" s="466"/>
      <c r="CE321" s="466"/>
      <c r="CF321" s="466"/>
      <c r="CG321" s="466"/>
      <c r="CH321" s="466"/>
      <c r="CI321" s="466"/>
      <c r="CJ321" s="466"/>
      <c r="CK321" s="466"/>
      <c r="CL321" s="466"/>
      <c r="CM321" s="466"/>
      <c r="CN321" s="466"/>
      <c r="CO321" s="466"/>
      <c r="CP321" s="466"/>
      <c r="CQ321" s="466"/>
      <c r="CR321" s="466"/>
      <c r="CS321" s="466"/>
      <c r="CT321" s="466"/>
      <c r="CU321" s="466"/>
      <c r="CV321" s="466"/>
      <c r="CW321" s="466"/>
      <c r="CX321" s="466"/>
      <c r="CY321" s="466"/>
      <c r="CZ321" s="466"/>
      <c r="DA321" s="466"/>
      <c r="DB321" s="466"/>
      <c r="DC321" s="466"/>
      <c r="DD321" s="466"/>
      <c r="DE321" s="466"/>
      <c r="DF321" s="466"/>
      <c r="DG321" s="466"/>
      <c r="FE321" s="527"/>
      <c r="FF321" s="466"/>
      <c r="FG321" s="466"/>
      <c r="FH321" s="466"/>
      <c r="FI321" s="466"/>
      <c r="FJ321" s="466"/>
      <c r="FK321" s="466"/>
      <c r="FL321" s="466"/>
      <c r="FM321" s="466"/>
      <c r="FN321" s="466"/>
      <c r="FO321" s="466"/>
      <c r="FP321" s="466"/>
      <c r="FQ321" s="466"/>
      <c r="FR321" s="466"/>
      <c r="FS321" s="466"/>
      <c r="FT321" s="466"/>
      <c r="FU321" s="466"/>
      <c r="FV321" s="466"/>
      <c r="FW321" s="466"/>
      <c r="FX321" s="466"/>
      <c r="FY321" s="466"/>
      <c r="FZ321" s="527"/>
      <c r="GA321" s="527"/>
      <c r="GB321" s="527"/>
      <c r="GC321" s="527"/>
      <c r="GD321" s="527"/>
      <c r="GE321" s="527"/>
      <c r="GF321" s="527"/>
      <c r="GG321" s="527"/>
      <c r="GH321" s="527"/>
      <c r="GI321" s="527"/>
      <c r="GJ321" s="527"/>
      <c r="GK321" s="527"/>
      <c r="GL321" s="527"/>
      <c r="GM321" s="527"/>
      <c r="GN321" s="527"/>
      <c r="GV321" s="527"/>
      <c r="GW321" s="527"/>
      <c r="GX321" s="527"/>
      <c r="GY321" s="527"/>
      <c r="GZ321" s="527"/>
      <c r="HA321" s="527"/>
      <c r="HB321" s="527"/>
      <c r="HC321" s="527"/>
      <c r="HD321" s="527"/>
      <c r="HE321" s="844"/>
      <c r="HF321" s="844"/>
      <c r="HG321" s="844"/>
      <c r="HH321" s="844"/>
      <c r="HI321" s="844"/>
      <c r="HJ321" s="844"/>
      <c r="HK321" s="844"/>
      <c r="HL321" s="844"/>
      <c r="HM321" s="844"/>
      <c r="HN321" s="844"/>
      <c r="HP321" s="466"/>
      <c r="HQ321" s="466"/>
      <c r="HR321" s="466"/>
      <c r="HS321" s="415"/>
      <c r="HT321" s="2292"/>
    </row>
    <row r="322" spans="3:228">
      <c r="C322" s="466"/>
      <c r="D322" s="466"/>
      <c r="E322" s="466"/>
      <c r="F322" s="466"/>
      <c r="G322" s="466"/>
      <c r="H322" s="466"/>
      <c r="I322" s="466"/>
      <c r="J322" s="466"/>
      <c r="K322" s="466"/>
      <c r="L322" s="466"/>
      <c r="M322" s="466"/>
      <c r="N322" s="466"/>
      <c r="O322" s="466"/>
      <c r="P322" s="510"/>
      <c r="Q322" s="510"/>
      <c r="R322" s="510"/>
      <c r="S322" s="510"/>
      <c r="T322" s="510"/>
      <c r="U322" s="510"/>
      <c r="V322" s="510"/>
      <c r="W322" s="510"/>
      <c r="X322" s="510"/>
      <c r="Y322" s="510"/>
      <c r="Z322" s="510"/>
      <c r="AA322" s="510"/>
      <c r="AB322" s="510"/>
      <c r="AC322" s="510"/>
      <c r="AD322" s="510"/>
      <c r="AE322" s="510"/>
      <c r="AF322" s="510"/>
      <c r="AG322" s="510"/>
      <c r="AH322" s="510"/>
      <c r="AI322" s="510"/>
      <c r="AJ322" s="510"/>
      <c r="AK322" s="510"/>
      <c r="AL322" s="510"/>
      <c r="AM322" s="510"/>
      <c r="AN322" s="510"/>
      <c r="AO322" s="510"/>
      <c r="AP322" s="510"/>
      <c r="AQ322" s="510"/>
      <c r="AR322" s="510"/>
      <c r="AS322" s="510"/>
      <c r="AT322" s="510"/>
      <c r="AU322" s="510"/>
      <c r="AV322" s="510"/>
      <c r="AW322" s="510"/>
      <c r="AX322" s="510"/>
      <c r="AY322" s="510"/>
      <c r="AZ322" s="466"/>
      <c r="BA322" s="466"/>
      <c r="BB322" s="466"/>
      <c r="BC322" s="466"/>
      <c r="BD322" s="466"/>
      <c r="BE322" s="466"/>
      <c r="BF322" s="466"/>
      <c r="BG322" s="466"/>
      <c r="BH322" s="466"/>
      <c r="BI322" s="466"/>
      <c r="BJ322" s="466"/>
      <c r="BK322" s="466"/>
      <c r="BL322" s="466"/>
      <c r="BM322" s="466"/>
      <c r="BN322" s="466"/>
      <c r="BO322" s="466"/>
      <c r="BP322" s="466"/>
      <c r="BQ322" s="466"/>
      <c r="BR322" s="466"/>
      <c r="BS322" s="466"/>
      <c r="BT322" s="466"/>
      <c r="BU322" s="466"/>
      <c r="BV322" s="466"/>
      <c r="BW322" s="466"/>
      <c r="BX322" s="466"/>
      <c r="BY322" s="466"/>
      <c r="BZ322" s="466"/>
      <c r="CA322" s="466"/>
      <c r="CB322" s="466"/>
      <c r="CC322" s="466"/>
      <c r="CD322" s="466"/>
      <c r="CE322" s="466"/>
      <c r="CF322" s="466"/>
      <c r="CG322" s="466"/>
      <c r="CH322" s="466"/>
      <c r="CI322" s="466"/>
      <c r="CJ322" s="466"/>
      <c r="CK322" s="466"/>
      <c r="CL322" s="466"/>
      <c r="CM322" s="466"/>
      <c r="CN322" s="466"/>
      <c r="CO322" s="466"/>
      <c r="CP322" s="466"/>
      <c r="CQ322" s="466"/>
      <c r="CR322" s="466"/>
      <c r="CS322" s="466"/>
      <c r="CT322" s="466"/>
      <c r="CU322" s="466"/>
      <c r="CV322" s="466"/>
      <c r="CW322" s="466"/>
      <c r="CX322" s="466"/>
      <c r="CY322" s="466"/>
      <c r="CZ322" s="466"/>
      <c r="DA322" s="466"/>
      <c r="DB322" s="466"/>
      <c r="DC322" s="466"/>
      <c r="DD322" s="466"/>
      <c r="DE322" s="466"/>
      <c r="DF322" s="466"/>
      <c r="DG322" s="466"/>
      <c r="FE322" s="527"/>
      <c r="FF322" s="466"/>
      <c r="FG322" s="466"/>
      <c r="FH322" s="466"/>
      <c r="FI322" s="466"/>
      <c r="FJ322" s="466"/>
      <c r="FK322" s="466"/>
      <c r="FL322" s="466"/>
      <c r="FM322" s="466"/>
      <c r="FN322" s="466"/>
      <c r="FO322" s="466"/>
      <c r="FP322" s="466"/>
      <c r="FQ322" s="466"/>
      <c r="FR322" s="466"/>
      <c r="FS322" s="466"/>
      <c r="FT322" s="466"/>
      <c r="FU322" s="466"/>
      <c r="FV322" s="466"/>
      <c r="FW322" s="466"/>
      <c r="FX322" s="466"/>
      <c r="FY322" s="466"/>
      <c r="FZ322" s="527"/>
      <c r="GA322" s="527"/>
      <c r="GB322" s="527"/>
      <c r="GC322" s="527"/>
      <c r="GD322" s="527"/>
      <c r="GE322" s="527"/>
      <c r="GF322" s="527"/>
      <c r="GG322" s="527"/>
      <c r="GH322" s="527"/>
      <c r="GI322" s="527"/>
      <c r="GJ322" s="527"/>
      <c r="GK322" s="527"/>
      <c r="GL322" s="527"/>
      <c r="GM322" s="527"/>
      <c r="GN322" s="527"/>
      <c r="GV322" s="527"/>
      <c r="GW322" s="527"/>
      <c r="GX322" s="527"/>
      <c r="GY322" s="527"/>
      <c r="GZ322" s="527"/>
      <c r="HA322" s="527"/>
      <c r="HB322" s="527"/>
      <c r="HC322" s="527"/>
      <c r="HD322" s="527"/>
      <c r="HE322" s="844"/>
      <c r="HF322" s="844"/>
      <c r="HG322" s="844"/>
      <c r="HH322" s="844"/>
      <c r="HI322" s="844"/>
      <c r="HJ322" s="844"/>
      <c r="HK322" s="844"/>
      <c r="HL322" s="844"/>
      <c r="HM322" s="844"/>
      <c r="HN322" s="844"/>
      <c r="HP322" s="466"/>
      <c r="HQ322" s="466"/>
      <c r="HR322" s="466"/>
      <c r="HS322" s="415"/>
      <c r="HT322" s="2292"/>
    </row>
    <row r="323" spans="3:228">
      <c r="C323" s="466"/>
      <c r="D323" s="466"/>
      <c r="E323" s="466"/>
      <c r="F323" s="466"/>
      <c r="G323" s="466"/>
      <c r="H323" s="466"/>
      <c r="I323" s="466"/>
      <c r="J323" s="466"/>
      <c r="K323" s="466"/>
      <c r="L323" s="466"/>
      <c r="M323" s="466"/>
      <c r="N323" s="466"/>
      <c r="O323" s="466"/>
      <c r="P323" s="510"/>
      <c r="Q323" s="510"/>
      <c r="R323" s="510"/>
      <c r="S323" s="510"/>
      <c r="T323" s="510"/>
      <c r="U323" s="510"/>
      <c r="V323" s="510"/>
      <c r="W323" s="510"/>
      <c r="X323" s="510"/>
      <c r="Y323" s="510"/>
      <c r="Z323" s="510"/>
      <c r="AA323" s="510"/>
      <c r="AB323" s="510"/>
      <c r="AC323" s="510"/>
      <c r="AD323" s="510"/>
      <c r="AE323" s="510"/>
      <c r="AF323" s="510"/>
      <c r="AG323" s="510"/>
      <c r="AH323" s="510"/>
      <c r="AI323" s="510"/>
      <c r="AJ323" s="510"/>
      <c r="AK323" s="510"/>
      <c r="AL323" s="510"/>
      <c r="AM323" s="510"/>
      <c r="AN323" s="510"/>
      <c r="AO323" s="510"/>
      <c r="AP323" s="510"/>
      <c r="AQ323" s="510"/>
      <c r="AR323" s="510"/>
      <c r="AS323" s="510"/>
      <c r="AT323" s="510"/>
      <c r="AU323" s="510"/>
      <c r="AV323" s="510"/>
      <c r="AW323" s="510"/>
      <c r="AX323" s="510"/>
      <c r="AY323" s="510"/>
      <c r="AZ323" s="466"/>
      <c r="BA323" s="466"/>
      <c r="BB323" s="466"/>
      <c r="BC323" s="466"/>
      <c r="BD323" s="466"/>
      <c r="BE323" s="466"/>
      <c r="BF323" s="466"/>
      <c r="BG323" s="466"/>
      <c r="BH323" s="466"/>
      <c r="BI323" s="466"/>
      <c r="BJ323" s="466"/>
      <c r="BK323" s="466"/>
      <c r="BL323" s="466"/>
      <c r="BM323" s="466"/>
      <c r="BN323" s="466"/>
      <c r="BO323" s="466"/>
      <c r="BP323" s="466"/>
      <c r="BQ323" s="466"/>
      <c r="BR323" s="466"/>
      <c r="BS323" s="466"/>
      <c r="BT323" s="466"/>
      <c r="BU323" s="466"/>
      <c r="BV323" s="466"/>
      <c r="BW323" s="466"/>
      <c r="BX323" s="466"/>
      <c r="BY323" s="466"/>
      <c r="BZ323" s="466"/>
      <c r="CA323" s="466"/>
      <c r="CB323" s="466"/>
      <c r="CC323" s="466"/>
      <c r="CD323" s="466"/>
      <c r="CE323" s="466"/>
      <c r="CF323" s="466"/>
      <c r="CG323" s="466"/>
      <c r="CH323" s="466"/>
      <c r="CI323" s="466"/>
      <c r="CJ323" s="466"/>
      <c r="CK323" s="466"/>
      <c r="CL323" s="466"/>
      <c r="CM323" s="466"/>
      <c r="CN323" s="466"/>
      <c r="CO323" s="466"/>
      <c r="CP323" s="466"/>
      <c r="CQ323" s="466"/>
      <c r="CR323" s="466"/>
      <c r="CS323" s="466"/>
      <c r="CT323" s="466"/>
      <c r="CU323" s="466"/>
      <c r="CV323" s="466"/>
      <c r="CW323" s="466"/>
      <c r="CX323" s="466"/>
      <c r="CY323" s="466"/>
      <c r="CZ323" s="466"/>
      <c r="DA323" s="466"/>
      <c r="DB323" s="466"/>
      <c r="DC323" s="466"/>
      <c r="DD323" s="466"/>
      <c r="DE323" s="466"/>
      <c r="DF323" s="466"/>
      <c r="DG323" s="466"/>
      <c r="FE323" s="527"/>
      <c r="FF323" s="466"/>
      <c r="FG323" s="466"/>
      <c r="FH323" s="466"/>
      <c r="FI323" s="466"/>
      <c r="FJ323" s="466"/>
      <c r="FK323" s="466"/>
      <c r="FL323" s="466"/>
      <c r="FM323" s="466"/>
      <c r="FN323" s="466"/>
      <c r="FO323" s="466"/>
      <c r="FP323" s="466"/>
      <c r="FQ323" s="466"/>
      <c r="FR323" s="466"/>
      <c r="FS323" s="466"/>
      <c r="FT323" s="466"/>
      <c r="FU323" s="466"/>
      <c r="FV323" s="466"/>
      <c r="FW323" s="466"/>
      <c r="FX323" s="466"/>
      <c r="FY323" s="466"/>
      <c r="FZ323" s="527"/>
      <c r="GA323" s="527"/>
      <c r="GB323" s="527"/>
      <c r="GC323" s="527"/>
      <c r="GD323" s="527"/>
      <c r="GE323" s="527"/>
      <c r="GF323" s="527"/>
      <c r="GG323" s="527"/>
      <c r="GH323" s="527"/>
      <c r="GI323" s="527"/>
      <c r="GJ323" s="527"/>
      <c r="GK323" s="527"/>
      <c r="GL323" s="527"/>
      <c r="GM323" s="527"/>
      <c r="GN323" s="527"/>
      <c r="GV323" s="527"/>
      <c r="GW323" s="527"/>
      <c r="GX323" s="527"/>
      <c r="GY323" s="527"/>
      <c r="GZ323" s="527"/>
      <c r="HA323" s="527"/>
      <c r="HB323" s="527"/>
      <c r="HC323" s="527"/>
      <c r="HD323" s="527"/>
      <c r="HE323" s="844"/>
      <c r="HF323" s="844"/>
      <c r="HG323" s="844"/>
      <c r="HH323" s="844"/>
      <c r="HI323" s="844"/>
      <c r="HJ323" s="844"/>
      <c r="HK323" s="844"/>
      <c r="HL323" s="844"/>
      <c r="HM323" s="844"/>
      <c r="HN323" s="844"/>
      <c r="HP323" s="466"/>
      <c r="HQ323" s="466"/>
      <c r="HR323" s="466"/>
      <c r="HS323" s="415"/>
      <c r="HT323" s="2292"/>
    </row>
    <row r="324" spans="3:228">
      <c r="C324" s="466"/>
      <c r="D324" s="466"/>
      <c r="E324" s="466"/>
      <c r="F324" s="466"/>
      <c r="G324" s="466"/>
      <c r="H324" s="466"/>
      <c r="I324" s="466"/>
      <c r="J324" s="466"/>
      <c r="K324" s="466"/>
      <c r="L324" s="466"/>
      <c r="M324" s="466"/>
      <c r="N324" s="466"/>
      <c r="O324" s="466"/>
      <c r="P324" s="510"/>
      <c r="Q324" s="510"/>
      <c r="R324" s="510"/>
      <c r="S324" s="510"/>
      <c r="T324" s="510"/>
      <c r="U324" s="510"/>
      <c r="V324" s="510"/>
      <c r="W324" s="510"/>
      <c r="X324" s="510"/>
      <c r="Y324" s="510"/>
      <c r="Z324" s="510"/>
      <c r="AA324" s="510"/>
      <c r="AB324" s="510"/>
      <c r="AC324" s="510"/>
      <c r="AD324" s="510"/>
      <c r="AE324" s="510"/>
      <c r="AF324" s="510"/>
      <c r="AG324" s="510"/>
      <c r="AH324" s="510"/>
      <c r="AI324" s="510"/>
      <c r="AJ324" s="510"/>
      <c r="AK324" s="510"/>
      <c r="AL324" s="510"/>
      <c r="AM324" s="510"/>
      <c r="AN324" s="510"/>
      <c r="AO324" s="510"/>
      <c r="AP324" s="510"/>
      <c r="AQ324" s="510"/>
      <c r="AR324" s="510"/>
      <c r="AS324" s="510"/>
      <c r="AT324" s="510"/>
      <c r="AU324" s="510"/>
      <c r="AV324" s="510"/>
      <c r="AW324" s="510"/>
      <c r="AX324" s="510"/>
      <c r="AY324" s="510"/>
      <c r="AZ324" s="466"/>
      <c r="BA324" s="466"/>
      <c r="BB324" s="466"/>
      <c r="BC324" s="466"/>
      <c r="BD324" s="466"/>
      <c r="BE324" s="466"/>
      <c r="BF324" s="466"/>
      <c r="BG324" s="466"/>
      <c r="BH324" s="466"/>
      <c r="BI324" s="466"/>
      <c r="BJ324" s="466"/>
      <c r="BK324" s="466"/>
      <c r="BL324" s="466"/>
      <c r="BM324" s="466"/>
      <c r="BN324" s="466"/>
      <c r="BO324" s="466"/>
      <c r="BP324" s="466"/>
      <c r="BQ324" s="466"/>
      <c r="BR324" s="466"/>
      <c r="BS324" s="466"/>
      <c r="BT324" s="466"/>
      <c r="BU324" s="466"/>
      <c r="BV324" s="466"/>
      <c r="BW324" s="466"/>
      <c r="BX324" s="466"/>
      <c r="BY324" s="466"/>
      <c r="BZ324" s="466"/>
      <c r="CA324" s="466"/>
      <c r="CB324" s="466"/>
      <c r="CC324" s="466"/>
      <c r="CD324" s="466"/>
      <c r="CE324" s="466"/>
      <c r="CF324" s="466"/>
      <c r="CG324" s="466"/>
      <c r="CH324" s="466"/>
      <c r="CI324" s="466"/>
      <c r="CJ324" s="466"/>
      <c r="CK324" s="466"/>
      <c r="CL324" s="466"/>
      <c r="CM324" s="466"/>
      <c r="CN324" s="466"/>
      <c r="CO324" s="466"/>
      <c r="CP324" s="466"/>
      <c r="CQ324" s="466"/>
      <c r="CR324" s="466"/>
      <c r="CS324" s="466"/>
      <c r="CT324" s="466"/>
      <c r="CU324" s="466"/>
      <c r="CV324" s="466"/>
      <c r="CW324" s="466"/>
      <c r="CX324" s="466"/>
      <c r="CY324" s="466"/>
      <c r="CZ324" s="466"/>
      <c r="DA324" s="466"/>
      <c r="DB324" s="466"/>
      <c r="DC324" s="466"/>
      <c r="DD324" s="466"/>
      <c r="DE324" s="466"/>
      <c r="DF324" s="466"/>
      <c r="DG324" s="466"/>
      <c r="FE324" s="527"/>
      <c r="FF324" s="466"/>
      <c r="FG324" s="466"/>
      <c r="FH324" s="466"/>
      <c r="FI324" s="466"/>
      <c r="FJ324" s="466"/>
      <c r="FK324" s="466"/>
      <c r="FL324" s="466"/>
      <c r="FM324" s="466"/>
      <c r="FN324" s="466"/>
      <c r="FO324" s="466"/>
      <c r="FP324" s="466"/>
      <c r="FQ324" s="466"/>
      <c r="FR324" s="466"/>
      <c r="FS324" s="466"/>
      <c r="FT324" s="466"/>
      <c r="FU324" s="466"/>
      <c r="FV324" s="466"/>
      <c r="FW324" s="466"/>
      <c r="FX324" s="466"/>
      <c r="FY324" s="466"/>
      <c r="FZ324" s="527"/>
      <c r="GA324" s="527"/>
      <c r="GB324" s="527"/>
      <c r="GC324" s="527"/>
      <c r="GD324" s="527"/>
      <c r="GE324" s="527"/>
      <c r="GF324" s="527"/>
      <c r="GG324" s="527"/>
      <c r="GH324" s="527"/>
      <c r="GI324" s="527"/>
      <c r="GJ324" s="527"/>
      <c r="GK324" s="527"/>
      <c r="GL324" s="527"/>
      <c r="GM324" s="527"/>
      <c r="GN324" s="527"/>
      <c r="GV324" s="527"/>
      <c r="GW324" s="527"/>
      <c r="GX324" s="527"/>
      <c r="GY324" s="527"/>
      <c r="GZ324" s="527"/>
      <c r="HA324" s="527"/>
      <c r="HB324" s="527"/>
      <c r="HC324" s="527"/>
      <c r="HD324" s="527"/>
      <c r="HE324" s="844"/>
      <c r="HF324" s="844"/>
      <c r="HG324" s="844"/>
      <c r="HH324" s="844"/>
      <c r="HI324" s="844"/>
      <c r="HJ324" s="844"/>
      <c r="HK324" s="844"/>
      <c r="HL324" s="844"/>
      <c r="HM324" s="844"/>
      <c r="HN324" s="844"/>
      <c r="HP324" s="466"/>
      <c r="HQ324" s="466"/>
      <c r="HR324" s="466"/>
      <c r="HS324" s="415"/>
      <c r="HT324" s="2292"/>
    </row>
    <row r="325" spans="3:228">
      <c r="C325" s="466"/>
      <c r="D325" s="466"/>
      <c r="E325" s="466"/>
      <c r="F325" s="466"/>
      <c r="G325" s="466"/>
      <c r="H325" s="466"/>
      <c r="I325" s="466"/>
      <c r="J325" s="466"/>
      <c r="K325" s="466"/>
      <c r="L325" s="466"/>
      <c r="M325" s="466"/>
      <c r="N325" s="466"/>
      <c r="O325" s="466"/>
      <c r="P325" s="510"/>
      <c r="Q325" s="510"/>
      <c r="R325" s="510"/>
      <c r="S325" s="510"/>
      <c r="T325" s="510"/>
      <c r="U325" s="510"/>
      <c r="V325" s="510"/>
      <c r="W325" s="510"/>
      <c r="X325" s="510"/>
      <c r="Y325" s="510"/>
      <c r="Z325" s="510"/>
      <c r="AA325" s="510"/>
      <c r="AB325" s="510"/>
      <c r="AC325" s="510"/>
      <c r="AD325" s="510"/>
      <c r="AE325" s="510"/>
      <c r="AF325" s="510"/>
      <c r="AG325" s="510"/>
      <c r="AH325" s="510"/>
      <c r="AI325" s="510"/>
      <c r="AJ325" s="510"/>
      <c r="AK325" s="510"/>
      <c r="AL325" s="510"/>
      <c r="AM325" s="510"/>
      <c r="AN325" s="510"/>
      <c r="AO325" s="510"/>
      <c r="AP325" s="510"/>
      <c r="AQ325" s="510"/>
      <c r="AR325" s="510"/>
      <c r="AS325" s="510"/>
      <c r="AT325" s="510"/>
      <c r="AU325" s="510"/>
      <c r="AV325" s="510"/>
      <c r="AW325" s="510"/>
      <c r="AX325" s="510"/>
      <c r="AY325" s="510"/>
      <c r="AZ325" s="466"/>
      <c r="BA325" s="466"/>
      <c r="BB325" s="466"/>
      <c r="BC325" s="466"/>
      <c r="BD325" s="466"/>
      <c r="BE325" s="466"/>
      <c r="BF325" s="466"/>
      <c r="BG325" s="466"/>
      <c r="BH325" s="466"/>
      <c r="BI325" s="466"/>
      <c r="BJ325" s="466"/>
      <c r="BK325" s="466"/>
      <c r="BL325" s="466"/>
      <c r="BM325" s="466"/>
      <c r="BN325" s="466"/>
      <c r="BO325" s="466"/>
      <c r="BP325" s="466"/>
      <c r="BQ325" s="466"/>
      <c r="BR325" s="466"/>
      <c r="BS325" s="466"/>
      <c r="BT325" s="466"/>
      <c r="BU325" s="466"/>
      <c r="BV325" s="466"/>
      <c r="BW325" s="466"/>
      <c r="BX325" s="466"/>
      <c r="BY325" s="466"/>
      <c r="BZ325" s="466"/>
      <c r="CA325" s="466"/>
      <c r="CB325" s="466"/>
      <c r="CC325" s="466"/>
      <c r="CD325" s="466"/>
      <c r="CE325" s="466"/>
      <c r="CF325" s="466"/>
      <c r="CG325" s="466"/>
      <c r="CH325" s="466"/>
      <c r="CI325" s="466"/>
      <c r="CJ325" s="466"/>
      <c r="CK325" s="466"/>
      <c r="CL325" s="466"/>
      <c r="CM325" s="466"/>
      <c r="CN325" s="466"/>
      <c r="CO325" s="466"/>
      <c r="CP325" s="466"/>
      <c r="CQ325" s="466"/>
      <c r="CR325" s="466"/>
      <c r="CS325" s="466"/>
      <c r="CT325" s="466"/>
      <c r="CU325" s="466"/>
      <c r="CV325" s="466"/>
      <c r="CW325" s="466"/>
      <c r="CX325" s="466"/>
      <c r="CY325" s="466"/>
      <c r="CZ325" s="466"/>
      <c r="DA325" s="466"/>
      <c r="DB325" s="466"/>
      <c r="DC325" s="466"/>
      <c r="DD325" s="466"/>
      <c r="DE325" s="466"/>
      <c r="DF325" s="466"/>
      <c r="DG325" s="466"/>
      <c r="FE325" s="527"/>
      <c r="FF325" s="466"/>
      <c r="FG325" s="466"/>
      <c r="FH325" s="466"/>
      <c r="FI325" s="466"/>
      <c r="FJ325" s="466"/>
      <c r="FK325" s="466"/>
      <c r="FL325" s="466"/>
      <c r="FM325" s="466"/>
      <c r="FN325" s="466"/>
      <c r="FO325" s="466"/>
      <c r="FP325" s="466"/>
      <c r="FQ325" s="466"/>
      <c r="FR325" s="466"/>
      <c r="FS325" s="466"/>
      <c r="FT325" s="466"/>
      <c r="FU325" s="466"/>
      <c r="FV325" s="466"/>
      <c r="FW325" s="466"/>
      <c r="FX325" s="466"/>
      <c r="FY325" s="466"/>
      <c r="FZ325" s="527"/>
      <c r="GA325" s="527"/>
      <c r="GB325" s="527"/>
      <c r="GC325" s="527"/>
      <c r="GD325" s="527"/>
      <c r="GE325" s="527"/>
      <c r="GF325" s="527"/>
      <c r="GG325" s="527"/>
      <c r="GH325" s="527"/>
      <c r="GI325" s="527"/>
      <c r="GJ325" s="527"/>
      <c r="GK325" s="527"/>
      <c r="GL325" s="527"/>
      <c r="GM325" s="527"/>
      <c r="GN325" s="527"/>
      <c r="GV325" s="527"/>
      <c r="GW325" s="527"/>
      <c r="GX325" s="527"/>
      <c r="GY325" s="527"/>
      <c r="GZ325" s="527"/>
      <c r="HA325" s="527"/>
      <c r="HB325" s="527"/>
      <c r="HC325" s="527"/>
      <c r="HD325" s="527"/>
      <c r="HE325" s="844"/>
      <c r="HF325" s="844"/>
      <c r="HG325" s="844"/>
      <c r="HH325" s="844"/>
      <c r="HI325" s="844"/>
      <c r="HJ325" s="844"/>
      <c r="HK325" s="844"/>
      <c r="HL325" s="844"/>
      <c r="HM325" s="844"/>
      <c r="HN325" s="844"/>
      <c r="HP325" s="466"/>
      <c r="HQ325" s="466"/>
      <c r="HR325" s="466"/>
      <c r="HS325" s="415"/>
      <c r="HT325" s="2292"/>
    </row>
    <row r="326" spans="3:228">
      <c r="C326" s="466"/>
      <c r="D326" s="466"/>
      <c r="E326" s="466"/>
      <c r="F326" s="466"/>
      <c r="G326" s="466"/>
      <c r="H326" s="466"/>
      <c r="I326" s="466"/>
      <c r="J326" s="466"/>
      <c r="K326" s="466"/>
      <c r="L326" s="466"/>
      <c r="M326" s="466"/>
      <c r="N326" s="466"/>
      <c r="O326" s="466"/>
      <c r="P326" s="510"/>
      <c r="Q326" s="510"/>
      <c r="R326" s="510"/>
      <c r="S326" s="510"/>
      <c r="T326" s="510"/>
      <c r="U326" s="510"/>
      <c r="V326" s="510"/>
      <c r="W326" s="510"/>
      <c r="X326" s="510"/>
      <c r="Y326" s="510"/>
      <c r="Z326" s="510"/>
      <c r="AA326" s="510"/>
      <c r="AB326" s="510"/>
      <c r="AC326" s="510"/>
      <c r="AD326" s="510"/>
      <c r="AE326" s="510"/>
      <c r="AF326" s="510"/>
      <c r="AG326" s="510"/>
      <c r="AH326" s="510"/>
      <c r="AI326" s="510"/>
      <c r="AJ326" s="510"/>
      <c r="AK326" s="510"/>
      <c r="AL326" s="510"/>
      <c r="AM326" s="510"/>
      <c r="AN326" s="510"/>
      <c r="AO326" s="510"/>
      <c r="AP326" s="510"/>
      <c r="AQ326" s="510"/>
      <c r="AR326" s="510"/>
      <c r="AS326" s="510"/>
      <c r="AT326" s="510"/>
      <c r="AU326" s="510"/>
      <c r="AV326" s="510"/>
      <c r="AW326" s="510"/>
      <c r="AX326" s="510"/>
      <c r="AY326" s="510"/>
      <c r="AZ326" s="466"/>
      <c r="BA326" s="466"/>
      <c r="BB326" s="466"/>
      <c r="BC326" s="466"/>
      <c r="BD326" s="466"/>
      <c r="BE326" s="466"/>
      <c r="BF326" s="466"/>
      <c r="BG326" s="466"/>
      <c r="BH326" s="466"/>
      <c r="BI326" s="466"/>
      <c r="BJ326" s="466"/>
      <c r="BK326" s="466"/>
      <c r="BL326" s="466"/>
      <c r="BM326" s="466"/>
      <c r="BN326" s="466"/>
      <c r="BO326" s="466"/>
      <c r="BP326" s="466"/>
      <c r="BQ326" s="466"/>
      <c r="BR326" s="466"/>
      <c r="BS326" s="466"/>
      <c r="BT326" s="466"/>
      <c r="BU326" s="466"/>
      <c r="BV326" s="466"/>
      <c r="BW326" s="466"/>
      <c r="BX326" s="466"/>
      <c r="BY326" s="466"/>
      <c r="BZ326" s="466"/>
      <c r="CA326" s="466"/>
      <c r="CB326" s="466"/>
      <c r="CC326" s="466"/>
      <c r="CD326" s="466"/>
      <c r="CE326" s="466"/>
      <c r="CF326" s="466"/>
      <c r="CG326" s="466"/>
      <c r="CH326" s="466"/>
      <c r="CI326" s="466"/>
      <c r="CJ326" s="466"/>
      <c r="CK326" s="466"/>
      <c r="CL326" s="466"/>
      <c r="CM326" s="466"/>
      <c r="CN326" s="466"/>
      <c r="CO326" s="466"/>
      <c r="CP326" s="466"/>
      <c r="CQ326" s="466"/>
      <c r="CR326" s="466"/>
      <c r="CS326" s="466"/>
      <c r="CT326" s="466"/>
      <c r="CU326" s="466"/>
      <c r="CV326" s="466"/>
      <c r="CW326" s="466"/>
      <c r="CX326" s="466"/>
      <c r="CY326" s="466"/>
      <c r="CZ326" s="466"/>
      <c r="DA326" s="466"/>
      <c r="DB326" s="466"/>
      <c r="DC326" s="466"/>
      <c r="DD326" s="466"/>
      <c r="DE326" s="466"/>
      <c r="DF326" s="466"/>
      <c r="DG326" s="466"/>
      <c r="FE326" s="527"/>
      <c r="FF326" s="466"/>
      <c r="FG326" s="466"/>
      <c r="FH326" s="466"/>
      <c r="FI326" s="466"/>
      <c r="FJ326" s="466"/>
      <c r="FK326" s="466"/>
      <c r="FL326" s="466"/>
      <c r="FM326" s="466"/>
      <c r="FN326" s="466"/>
      <c r="FO326" s="466"/>
      <c r="FP326" s="466"/>
      <c r="FQ326" s="466"/>
      <c r="FR326" s="466"/>
      <c r="FS326" s="466"/>
      <c r="FT326" s="466"/>
      <c r="FU326" s="466"/>
      <c r="FV326" s="466"/>
      <c r="FW326" s="466"/>
      <c r="FX326" s="466"/>
      <c r="FY326" s="466"/>
      <c r="FZ326" s="527"/>
      <c r="GA326" s="527"/>
      <c r="GB326" s="527"/>
      <c r="GC326" s="527"/>
      <c r="GD326" s="527"/>
      <c r="GE326" s="527"/>
      <c r="GF326" s="527"/>
      <c r="GG326" s="527"/>
      <c r="GH326" s="527"/>
      <c r="GI326" s="527"/>
      <c r="GJ326" s="527"/>
      <c r="GK326" s="527"/>
      <c r="GL326" s="527"/>
      <c r="GM326" s="527"/>
      <c r="GN326" s="527"/>
      <c r="GV326" s="527"/>
      <c r="GW326" s="527"/>
      <c r="GX326" s="527"/>
      <c r="GY326" s="527"/>
      <c r="GZ326" s="527"/>
      <c r="HA326" s="527"/>
      <c r="HB326" s="527"/>
      <c r="HC326" s="527"/>
      <c r="HD326" s="527"/>
      <c r="HE326" s="844"/>
      <c r="HF326" s="844"/>
      <c r="HG326" s="844"/>
      <c r="HH326" s="844"/>
      <c r="HI326" s="844"/>
      <c r="HJ326" s="844"/>
      <c r="HK326" s="844"/>
      <c r="HL326" s="844"/>
      <c r="HM326" s="844"/>
      <c r="HN326" s="844"/>
      <c r="HP326" s="466"/>
      <c r="HQ326" s="466"/>
      <c r="HR326" s="466"/>
      <c r="HS326" s="415"/>
      <c r="HT326" s="2292"/>
    </row>
    <row r="327" spans="3:228">
      <c r="C327" s="466"/>
      <c r="D327" s="466"/>
      <c r="E327" s="466"/>
      <c r="F327" s="466"/>
      <c r="G327" s="466"/>
      <c r="H327" s="466"/>
      <c r="I327" s="466"/>
      <c r="J327" s="466"/>
      <c r="K327" s="466"/>
      <c r="L327" s="466"/>
      <c r="M327" s="466"/>
      <c r="N327" s="466"/>
      <c r="O327" s="466"/>
      <c r="P327" s="510"/>
      <c r="Q327" s="510"/>
      <c r="R327" s="510"/>
      <c r="S327" s="510"/>
      <c r="T327" s="510"/>
      <c r="U327" s="510"/>
      <c r="V327" s="510"/>
      <c r="W327" s="510"/>
      <c r="X327" s="510"/>
      <c r="Y327" s="510"/>
      <c r="Z327" s="510"/>
      <c r="AA327" s="510"/>
      <c r="AB327" s="510"/>
      <c r="AC327" s="510"/>
      <c r="AD327" s="510"/>
      <c r="AE327" s="510"/>
      <c r="AF327" s="510"/>
      <c r="AG327" s="510"/>
      <c r="AH327" s="510"/>
      <c r="AI327" s="510"/>
      <c r="AJ327" s="510"/>
      <c r="AK327" s="510"/>
      <c r="AL327" s="510"/>
      <c r="AM327" s="510"/>
      <c r="AN327" s="510"/>
      <c r="AO327" s="510"/>
      <c r="AP327" s="510"/>
      <c r="AQ327" s="510"/>
      <c r="AR327" s="510"/>
      <c r="AS327" s="510"/>
      <c r="AT327" s="510"/>
      <c r="AU327" s="510"/>
      <c r="AV327" s="510"/>
      <c r="AW327" s="510"/>
      <c r="AX327" s="510"/>
      <c r="AY327" s="510"/>
      <c r="AZ327" s="466"/>
      <c r="BA327" s="466"/>
      <c r="BB327" s="466"/>
      <c r="BC327" s="466"/>
      <c r="BD327" s="466"/>
      <c r="BE327" s="466"/>
      <c r="BF327" s="466"/>
      <c r="BG327" s="466"/>
      <c r="BH327" s="466"/>
      <c r="BI327" s="466"/>
      <c r="BJ327" s="466"/>
      <c r="BK327" s="466"/>
      <c r="BL327" s="466"/>
      <c r="BM327" s="466"/>
      <c r="BN327" s="466"/>
      <c r="BO327" s="466"/>
      <c r="BP327" s="466"/>
      <c r="BQ327" s="466"/>
      <c r="BR327" s="466"/>
      <c r="BS327" s="466"/>
      <c r="BT327" s="466"/>
      <c r="BU327" s="466"/>
      <c r="BV327" s="466"/>
      <c r="BW327" s="466"/>
      <c r="BX327" s="466"/>
      <c r="BY327" s="466"/>
      <c r="BZ327" s="466"/>
      <c r="CA327" s="466"/>
      <c r="CB327" s="466"/>
      <c r="CC327" s="466"/>
      <c r="CD327" s="466"/>
      <c r="CE327" s="466"/>
      <c r="CF327" s="466"/>
      <c r="CG327" s="466"/>
      <c r="CH327" s="466"/>
      <c r="CI327" s="466"/>
      <c r="CJ327" s="466"/>
      <c r="CK327" s="466"/>
      <c r="CL327" s="466"/>
      <c r="CM327" s="466"/>
      <c r="CN327" s="466"/>
      <c r="CO327" s="466"/>
      <c r="CP327" s="466"/>
      <c r="CQ327" s="466"/>
      <c r="CR327" s="466"/>
      <c r="CS327" s="466"/>
      <c r="CT327" s="466"/>
      <c r="CU327" s="466"/>
      <c r="CV327" s="466"/>
      <c r="CW327" s="466"/>
      <c r="CX327" s="466"/>
      <c r="CY327" s="466"/>
      <c r="CZ327" s="466"/>
      <c r="DA327" s="466"/>
      <c r="DB327" s="466"/>
      <c r="DC327" s="466"/>
      <c r="DD327" s="466"/>
      <c r="DE327" s="466"/>
      <c r="DF327" s="466"/>
      <c r="DG327" s="466"/>
      <c r="FE327" s="527"/>
      <c r="FF327" s="466"/>
      <c r="FG327" s="466"/>
      <c r="FH327" s="466"/>
      <c r="FI327" s="466"/>
      <c r="FJ327" s="466"/>
      <c r="FK327" s="466"/>
      <c r="FL327" s="466"/>
      <c r="FM327" s="466"/>
      <c r="FN327" s="466"/>
      <c r="FO327" s="466"/>
      <c r="FP327" s="466"/>
      <c r="FQ327" s="466"/>
      <c r="FR327" s="466"/>
      <c r="FS327" s="466"/>
      <c r="FT327" s="466"/>
      <c r="FU327" s="466"/>
      <c r="FV327" s="466"/>
      <c r="FW327" s="466"/>
      <c r="FX327" s="466"/>
      <c r="FY327" s="466"/>
      <c r="FZ327" s="527"/>
      <c r="GA327" s="527"/>
      <c r="GB327" s="527"/>
      <c r="GC327" s="527"/>
      <c r="GD327" s="527"/>
      <c r="GE327" s="527"/>
      <c r="GF327" s="527"/>
      <c r="GG327" s="527"/>
      <c r="GH327" s="527"/>
      <c r="GI327" s="527"/>
      <c r="GJ327" s="527"/>
      <c r="GK327" s="527"/>
      <c r="GL327" s="527"/>
      <c r="GM327" s="527"/>
      <c r="GN327" s="527"/>
      <c r="GV327" s="527"/>
      <c r="GW327" s="527"/>
      <c r="GX327" s="527"/>
      <c r="GY327" s="527"/>
      <c r="GZ327" s="527"/>
      <c r="HA327" s="527"/>
      <c r="HB327" s="527"/>
      <c r="HC327" s="527"/>
      <c r="HD327" s="527"/>
      <c r="HE327" s="844"/>
      <c r="HF327" s="844"/>
      <c r="HG327" s="844"/>
      <c r="HH327" s="844"/>
      <c r="HI327" s="844"/>
      <c r="HJ327" s="844"/>
      <c r="HK327" s="844"/>
      <c r="HL327" s="844"/>
      <c r="HM327" s="844"/>
      <c r="HN327" s="844"/>
      <c r="HP327" s="466"/>
      <c r="HQ327" s="466"/>
      <c r="HR327" s="466"/>
      <c r="HS327" s="415"/>
      <c r="HT327" s="2292"/>
    </row>
    <row r="328" spans="3:228">
      <c r="C328" s="466"/>
      <c r="D328" s="466"/>
      <c r="E328" s="466"/>
      <c r="F328" s="466"/>
      <c r="G328" s="466"/>
      <c r="H328" s="466"/>
      <c r="I328" s="466"/>
      <c r="J328" s="466"/>
      <c r="K328" s="466"/>
      <c r="L328" s="466"/>
      <c r="M328" s="466"/>
      <c r="N328" s="466"/>
      <c r="O328" s="466"/>
      <c r="P328" s="510"/>
      <c r="Q328" s="510"/>
      <c r="R328" s="510"/>
      <c r="S328" s="510"/>
      <c r="T328" s="510"/>
      <c r="U328" s="510"/>
      <c r="V328" s="510"/>
      <c r="W328" s="510"/>
      <c r="X328" s="510"/>
      <c r="Y328" s="510"/>
      <c r="Z328" s="510"/>
      <c r="AA328" s="510"/>
      <c r="AB328" s="510"/>
      <c r="AC328" s="510"/>
      <c r="AD328" s="510"/>
      <c r="AE328" s="510"/>
      <c r="AF328" s="510"/>
      <c r="AG328" s="510"/>
      <c r="AH328" s="510"/>
      <c r="AI328" s="510"/>
      <c r="AJ328" s="510"/>
      <c r="AK328" s="510"/>
      <c r="AL328" s="510"/>
      <c r="AM328" s="510"/>
      <c r="AN328" s="510"/>
      <c r="AO328" s="510"/>
      <c r="AP328" s="510"/>
      <c r="AQ328" s="510"/>
      <c r="AR328" s="510"/>
      <c r="AS328" s="510"/>
      <c r="AT328" s="510"/>
      <c r="AU328" s="510"/>
      <c r="AV328" s="510"/>
      <c r="AW328" s="510"/>
      <c r="AX328" s="510"/>
      <c r="AY328" s="510"/>
      <c r="AZ328" s="466"/>
      <c r="BA328" s="466"/>
      <c r="BB328" s="466"/>
      <c r="BC328" s="466"/>
      <c r="BD328" s="466"/>
      <c r="BE328" s="466"/>
      <c r="BF328" s="466"/>
      <c r="BG328" s="466"/>
      <c r="BH328" s="466"/>
      <c r="BI328" s="466"/>
      <c r="BJ328" s="466"/>
      <c r="BK328" s="466"/>
      <c r="BL328" s="466"/>
      <c r="BM328" s="466"/>
      <c r="BN328" s="466"/>
      <c r="BO328" s="466"/>
      <c r="BP328" s="466"/>
      <c r="BQ328" s="466"/>
      <c r="BR328" s="466"/>
      <c r="BS328" s="466"/>
      <c r="BT328" s="466"/>
      <c r="BU328" s="466"/>
      <c r="BV328" s="466"/>
      <c r="BW328" s="466"/>
      <c r="BX328" s="466"/>
      <c r="BY328" s="466"/>
      <c r="BZ328" s="466"/>
      <c r="CA328" s="466"/>
      <c r="CB328" s="466"/>
      <c r="CC328" s="466"/>
      <c r="CD328" s="466"/>
      <c r="CE328" s="466"/>
      <c r="CF328" s="466"/>
      <c r="CG328" s="466"/>
      <c r="CH328" s="466"/>
      <c r="CI328" s="466"/>
      <c r="CJ328" s="466"/>
      <c r="CK328" s="466"/>
      <c r="CL328" s="466"/>
      <c r="CM328" s="466"/>
      <c r="CN328" s="466"/>
      <c r="CO328" s="466"/>
      <c r="CP328" s="466"/>
      <c r="CQ328" s="466"/>
      <c r="CR328" s="466"/>
      <c r="CS328" s="466"/>
      <c r="CT328" s="466"/>
      <c r="CU328" s="466"/>
      <c r="CV328" s="466"/>
      <c r="CW328" s="466"/>
      <c r="CX328" s="466"/>
      <c r="CY328" s="466"/>
      <c r="CZ328" s="466"/>
      <c r="DA328" s="466"/>
      <c r="DB328" s="466"/>
      <c r="DC328" s="466"/>
      <c r="DD328" s="466"/>
      <c r="DE328" s="466"/>
      <c r="DF328" s="466"/>
      <c r="DG328" s="466"/>
      <c r="FE328" s="527"/>
      <c r="FF328" s="466"/>
      <c r="FG328" s="466"/>
      <c r="FH328" s="466"/>
      <c r="FI328" s="466"/>
      <c r="FJ328" s="466"/>
      <c r="FK328" s="466"/>
      <c r="FL328" s="466"/>
      <c r="FM328" s="466"/>
      <c r="FN328" s="466"/>
      <c r="FO328" s="466"/>
      <c r="FP328" s="466"/>
      <c r="FQ328" s="466"/>
      <c r="FR328" s="466"/>
      <c r="FS328" s="466"/>
      <c r="FT328" s="466"/>
      <c r="FU328" s="466"/>
      <c r="FV328" s="466"/>
      <c r="FW328" s="466"/>
      <c r="FX328" s="466"/>
      <c r="FY328" s="466"/>
      <c r="FZ328" s="527"/>
      <c r="GA328" s="527"/>
      <c r="GB328" s="527"/>
      <c r="GC328" s="527"/>
      <c r="GD328" s="527"/>
      <c r="GE328" s="527"/>
      <c r="GF328" s="527"/>
      <c r="GG328" s="527"/>
      <c r="GH328" s="527"/>
      <c r="GI328" s="527"/>
      <c r="GJ328" s="527"/>
      <c r="GK328" s="527"/>
      <c r="GL328" s="527"/>
      <c r="GM328" s="527"/>
      <c r="GN328" s="527"/>
      <c r="GV328" s="527"/>
      <c r="GW328" s="527"/>
      <c r="GX328" s="527"/>
      <c r="GY328" s="527"/>
      <c r="GZ328" s="527"/>
      <c r="HA328" s="527"/>
      <c r="HB328" s="527"/>
      <c r="HC328" s="527"/>
      <c r="HD328" s="527"/>
      <c r="HE328" s="844"/>
      <c r="HF328" s="844"/>
      <c r="HG328" s="844"/>
      <c r="HH328" s="844"/>
      <c r="HI328" s="844"/>
      <c r="HJ328" s="844"/>
      <c r="HK328" s="844"/>
      <c r="HL328" s="844"/>
      <c r="HM328" s="844"/>
      <c r="HN328" s="844"/>
      <c r="HP328" s="466"/>
      <c r="HQ328" s="466"/>
      <c r="HR328" s="466"/>
      <c r="HS328" s="415"/>
      <c r="HT328" s="2292"/>
    </row>
    <row r="329" spans="3:228">
      <c r="C329" s="466"/>
      <c r="D329" s="466"/>
      <c r="E329" s="466"/>
      <c r="F329" s="466"/>
      <c r="G329" s="466"/>
      <c r="H329" s="466"/>
      <c r="I329" s="466"/>
      <c r="J329" s="466"/>
      <c r="K329" s="466"/>
      <c r="L329" s="466"/>
      <c r="M329" s="466"/>
      <c r="N329" s="466"/>
      <c r="O329" s="466"/>
      <c r="P329" s="510"/>
      <c r="Q329" s="510"/>
      <c r="R329" s="510"/>
      <c r="S329" s="510"/>
      <c r="T329" s="510"/>
      <c r="U329" s="510"/>
      <c r="V329" s="510"/>
      <c r="W329" s="510"/>
      <c r="X329" s="510"/>
      <c r="Y329" s="510"/>
      <c r="Z329" s="510"/>
      <c r="AA329" s="510"/>
      <c r="AB329" s="510"/>
      <c r="AC329" s="510"/>
      <c r="AD329" s="510"/>
      <c r="AE329" s="510"/>
      <c r="AF329" s="510"/>
      <c r="AG329" s="510"/>
      <c r="AH329" s="510"/>
      <c r="AI329" s="510"/>
      <c r="AJ329" s="510"/>
      <c r="AK329" s="510"/>
      <c r="AL329" s="510"/>
      <c r="AM329" s="510"/>
      <c r="AN329" s="510"/>
      <c r="AO329" s="510"/>
      <c r="AP329" s="510"/>
      <c r="AQ329" s="510"/>
      <c r="AR329" s="510"/>
      <c r="AS329" s="510"/>
      <c r="AT329" s="510"/>
      <c r="AU329" s="510"/>
      <c r="AV329" s="510"/>
      <c r="AW329" s="510"/>
      <c r="AX329" s="510"/>
      <c r="AY329" s="510"/>
      <c r="AZ329" s="466"/>
      <c r="BA329" s="466"/>
      <c r="BB329" s="466"/>
      <c r="BC329" s="466"/>
      <c r="BD329" s="466"/>
      <c r="BE329" s="466"/>
      <c r="BF329" s="466"/>
      <c r="BG329" s="466"/>
      <c r="BH329" s="466"/>
      <c r="BI329" s="466"/>
      <c r="BJ329" s="466"/>
      <c r="BK329" s="466"/>
      <c r="BL329" s="466"/>
      <c r="BM329" s="466"/>
      <c r="BN329" s="466"/>
      <c r="BO329" s="466"/>
      <c r="BP329" s="466"/>
      <c r="BQ329" s="466"/>
      <c r="BR329" s="466"/>
      <c r="BS329" s="466"/>
      <c r="BT329" s="466"/>
      <c r="BU329" s="466"/>
      <c r="BV329" s="466"/>
      <c r="BW329" s="466"/>
      <c r="BX329" s="466"/>
      <c r="BY329" s="466"/>
      <c r="BZ329" s="466"/>
      <c r="CA329" s="466"/>
      <c r="CB329" s="466"/>
      <c r="CC329" s="466"/>
      <c r="CD329" s="466"/>
      <c r="CE329" s="466"/>
      <c r="CF329" s="466"/>
      <c r="CG329" s="466"/>
      <c r="CH329" s="466"/>
      <c r="CI329" s="466"/>
      <c r="CJ329" s="466"/>
      <c r="CK329" s="466"/>
      <c r="CL329" s="466"/>
      <c r="CM329" s="466"/>
      <c r="CN329" s="466"/>
      <c r="CO329" s="466"/>
      <c r="CP329" s="466"/>
      <c r="CQ329" s="466"/>
      <c r="CR329" s="466"/>
      <c r="CS329" s="466"/>
      <c r="CT329" s="466"/>
      <c r="CU329" s="466"/>
      <c r="CV329" s="466"/>
      <c r="CW329" s="466"/>
      <c r="CX329" s="466"/>
      <c r="CY329" s="466"/>
      <c r="CZ329" s="466"/>
      <c r="DA329" s="466"/>
      <c r="DB329" s="466"/>
      <c r="DC329" s="466"/>
      <c r="DD329" s="466"/>
      <c r="DE329" s="466"/>
      <c r="DF329" s="466"/>
      <c r="DG329" s="466"/>
      <c r="FE329" s="527"/>
      <c r="FF329" s="466"/>
      <c r="FG329" s="466"/>
      <c r="FH329" s="466"/>
      <c r="FI329" s="466"/>
      <c r="FJ329" s="466"/>
      <c r="FK329" s="466"/>
      <c r="FL329" s="466"/>
      <c r="FM329" s="466"/>
      <c r="FN329" s="466"/>
      <c r="FO329" s="466"/>
      <c r="FP329" s="466"/>
      <c r="FQ329" s="466"/>
      <c r="FR329" s="466"/>
      <c r="FS329" s="466"/>
      <c r="FT329" s="466"/>
      <c r="FU329" s="466"/>
      <c r="FV329" s="466"/>
      <c r="FW329" s="466"/>
      <c r="FX329" s="466"/>
      <c r="FY329" s="466"/>
      <c r="FZ329" s="527"/>
      <c r="GA329" s="527"/>
      <c r="GB329" s="527"/>
      <c r="GC329" s="527"/>
      <c r="GD329" s="527"/>
      <c r="GE329" s="527"/>
      <c r="GF329" s="527"/>
      <c r="GG329" s="527"/>
      <c r="GH329" s="527"/>
      <c r="GI329" s="527"/>
      <c r="GJ329" s="527"/>
      <c r="GK329" s="527"/>
      <c r="GL329" s="527"/>
      <c r="GM329" s="527"/>
      <c r="GN329" s="527"/>
      <c r="GV329" s="527"/>
      <c r="GW329" s="527"/>
      <c r="GX329" s="527"/>
      <c r="GY329" s="527"/>
      <c r="GZ329" s="527"/>
      <c r="HA329" s="527"/>
      <c r="HB329" s="527"/>
      <c r="HC329" s="527"/>
      <c r="HD329" s="527"/>
      <c r="HE329" s="844"/>
      <c r="HF329" s="844"/>
      <c r="HG329" s="844"/>
      <c r="HH329" s="844"/>
      <c r="HI329" s="844"/>
      <c r="HJ329" s="844"/>
      <c r="HK329" s="844"/>
      <c r="HL329" s="844"/>
      <c r="HM329" s="844"/>
      <c r="HN329" s="844"/>
      <c r="HP329" s="466"/>
      <c r="HQ329" s="466"/>
      <c r="HR329" s="466"/>
      <c r="HS329" s="415"/>
      <c r="HT329" s="2292"/>
    </row>
    <row r="330" spans="3:228">
      <c r="C330" s="466"/>
      <c r="D330" s="466"/>
      <c r="E330" s="466"/>
      <c r="F330" s="466"/>
      <c r="G330" s="466"/>
      <c r="H330" s="466"/>
      <c r="I330" s="466"/>
      <c r="J330" s="466"/>
      <c r="K330" s="466"/>
      <c r="L330" s="466"/>
      <c r="M330" s="466"/>
      <c r="N330" s="466"/>
      <c r="O330" s="466"/>
      <c r="P330" s="510"/>
      <c r="Q330" s="510"/>
      <c r="R330" s="510"/>
      <c r="S330" s="510"/>
      <c r="T330" s="510"/>
      <c r="U330" s="510"/>
      <c r="V330" s="510"/>
      <c r="W330" s="510"/>
      <c r="X330" s="510"/>
      <c r="Y330" s="510"/>
      <c r="Z330" s="510"/>
      <c r="AA330" s="510"/>
      <c r="AB330" s="510"/>
      <c r="AC330" s="510"/>
      <c r="AD330" s="510"/>
      <c r="AE330" s="510"/>
      <c r="AF330" s="510"/>
      <c r="AG330" s="510"/>
      <c r="AH330" s="510"/>
      <c r="AI330" s="510"/>
      <c r="AJ330" s="510"/>
      <c r="AK330" s="510"/>
      <c r="AL330" s="510"/>
      <c r="AM330" s="510"/>
      <c r="AN330" s="510"/>
      <c r="AO330" s="510"/>
      <c r="AP330" s="510"/>
      <c r="AQ330" s="510"/>
      <c r="AR330" s="510"/>
      <c r="AS330" s="510"/>
      <c r="AT330" s="510"/>
      <c r="AU330" s="510"/>
      <c r="AV330" s="510"/>
      <c r="AW330" s="510"/>
      <c r="AX330" s="510"/>
      <c r="AY330" s="510"/>
      <c r="AZ330" s="466"/>
      <c r="BA330" s="466"/>
      <c r="BB330" s="466"/>
      <c r="BC330" s="466"/>
      <c r="BD330" s="466"/>
      <c r="BE330" s="466"/>
      <c r="BF330" s="466"/>
      <c r="BG330" s="466"/>
      <c r="BH330" s="466"/>
      <c r="BI330" s="466"/>
      <c r="BJ330" s="466"/>
      <c r="BK330" s="466"/>
      <c r="BL330" s="466"/>
      <c r="BM330" s="466"/>
      <c r="BN330" s="466"/>
      <c r="BO330" s="466"/>
      <c r="BP330" s="466"/>
      <c r="BQ330" s="466"/>
      <c r="BR330" s="466"/>
      <c r="BS330" s="466"/>
      <c r="BT330" s="466"/>
      <c r="BU330" s="466"/>
      <c r="BV330" s="466"/>
      <c r="BW330" s="466"/>
      <c r="BX330" s="466"/>
      <c r="BY330" s="466"/>
      <c r="BZ330" s="466"/>
      <c r="CA330" s="466"/>
      <c r="CB330" s="466"/>
      <c r="CC330" s="466"/>
      <c r="CD330" s="466"/>
      <c r="CE330" s="466"/>
      <c r="CF330" s="466"/>
      <c r="CG330" s="466"/>
      <c r="CH330" s="466"/>
      <c r="CI330" s="466"/>
      <c r="CJ330" s="466"/>
      <c r="CK330" s="466"/>
      <c r="CL330" s="466"/>
      <c r="CM330" s="466"/>
      <c r="CN330" s="466"/>
      <c r="CO330" s="466"/>
      <c r="CP330" s="466"/>
      <c r="CQ330" s="466"/>
      <c r="CR330" s="466"/>
      <c r="CS330" s="466"/>
      <c r="CT330" s="466"/>
      <c r="CU330" s="466"/>
      <c r="CV330" s="466"/>
      <c r="CW330" s="466"/>
      <c r="CX330" s="466"/>
      <c r="CY330" s="466"/>
      <c r="CZ330" s="466"/>
      <c r="DA330" s="466"/>
      <c r="DB330" s="466"/>
      <c r="DC330" s="466"/>
      <c r="DD330" s="466"/>
      <c r="DE330" s="466"/>
      <c r="DF330" s="466"/>
      <c r="DG330" s="466"/>
      <c r="FE330" s="527"/>
      <c r="FF330" s="466"/>
      <c r="FG330" s="466"/>
      <c r="FH330" s="466"/>
      <c r="FI330" s="466"/>
      <c r="FJ330" s="466"/>
      <c r="FK330" s="466"/>
      <c r="FL330" s="466"/>
      <c r="FM330" s="466"/>
      <c r="FN330" s="466"/>
      <c r="FO330" s="466"/>
      <c r="FP330" s="466"/>
      <c r="FQ330" s="466"/>
      <c r="FR330" s="466"/>
      <c r="FS330" s="466"/>
      <c r="FT330" s="466"/>
      <c r="FU330" s="466"/>
      <c r="FV330" s="466"/>
      <c r="FW330" s="466"/>
      <c r="FX330" s="466"/>
      <c r="FY330" s="466"/>
      <c r="FZ330" s="527"/>
      <c r="GA330" s="527"/>
      <c r="GB330" s="527"/>
      <c r="GC330" s="527"/>
      <c r="GD330" s="527"/>
      <c r="GE330" s="527"/>
      <c r="GF330" s="527"/>
      <c r="GG330" s="527"/>
      <c r="GH330" s="527"/>
      <c r="GI330" s="527"/>
      <c r="GJ330" s="527"/>
      <c r="GK330" s="527"/>
      <c r="GL330" s="527"/>
      <c r="GM330" s="527"/>
      <c r="GN330" s="527"/>
      <c r="GV330" s="527"/>
      <c r="GW330" s="527"/>
      <c r="GX330" s="527"/>
      <c r="GY330" s="527"/>
      <c r="GZ330" s="527"/>
      <c r="HA330" s="527"/>
      <c r="HB330" s="527"/>
      <c r="HC330" s="527"/>
      <c r="HD330" s="527"/>
      <c r="HE330" s="844"/>
      <c r="HF330" s="844"/>
      <c r="HG330" s="844"/>
      <c r="HH330" s="844"/>
      <c r="HI330" s="844"/>
      <c r="HJ330" s="844"/>
      <c r="HK330" s="844"/>
      <c r="HL330" s="844"/>
      <c r="HM330" s="844"/>
      <c r="HN330" s="844"/>
      <c r="HP330" s="466"/>
      <c r="HQ330" s="466"/>
      <c r="HR330" s="466"/>
      <c r="HS330" s="415"/>
      <c r="HT330" s="2292"/>
    </row>
    <row r="331" spans="3:228">
      <c r="C331" s="466"/>
      <c r="D331" s="466"/>
      <c r="E331" s="466"/>
      <c r="F331" s="466"/>
      <c r="G331" s="466"/>
      <c r="H331" s="466"/>
      <c r="I331" s="466"/>
      <c r="J331" s="466"/>
      <c r="K331" s="466"/>
      <c r="L331" s="466"/>
      <c r="M331" s="466"/>
      <c r="N331" s="466"/>
      <c r="O331" s="466"/>
      <c r="P331" s="510"/>
      <c r="Q331" s="510"/>
      <c r="R331" s="510"/>
      <c r="S331" s="510"/>
      <c r="T331" s="510"/>
      <c r="U331" s="510"/>
      <c r="V331" s="510"/>
      <c r="W331" s="510"/>
      <c r="X331" s="510"/>
      <c r="Y331" s="510"/>
      <c r="Z331" s="510"/>
      <c r="AA331" s="510"/>
      <c r="AB331" s="510"/>
      <c r="AC331" s="510"/>
      <c r="AD331" s="510"/>
      <c r="AE331" s="510"/>
      <c r="AF331" s="510"/>
      <c r="AG331" s="510"/>
      <c r="AH331" s="510"/>
      <c r="AI331" s="510"/>
      <c r="AJ331" s="510"/>
      <c r="AK331" s="510"/>
      <c r="AL331" s="510"/>
      <c r="AM331" s="510"/>
      <c r="AN331" s="510"/>
      <c r="AO331" s="510"/>
      <c r="AP331" s="510"/>
      <c r="AQ331" s="510"/>
      <c r="AR331" s="510"/>
      <c r="AS331" s="510"/>
      <c r="AT331" s="510"/>
      <c r="AU331" s="510"/>
      <c r="AV331" s="510"/>
      <c r="AW331" s="510"/>
      <c r="AX331" s="510"/>
      <c r="AY331" s="510"/>
      <c r="AZ331" s="466"/>
      <c r="BA331" s="466"/>
      <c r="BB331" s="466"/>
      <c r="BC331" s="466"/>
      <c r="BD331" s="466"/>
      <c r="BE331" s="466"/>
      <c r="BF331" s="466"/>
      <c r="BG331" s="466"/>
      <c r="BH331" s="466"/>
      <c r="BI331" s="466"/>
      <c r="BJ331" s="466"/>
      <c r="BK331" s="466"/>
      <c r="BL331" s="466"/>
      <c r="BM331" s="466"/>
      <c r="BN331" s="466"/>
      <c r="BO331" s="466"/>
      <c r="BP331" s="466"/>
      <c r="BQ331" s="466"/>
      <c r="BR331" s="466"/>
      <c r="BS331" s="466"/>
      <c r="BT331" s="466"/>
      <c r="BU331" s="466"/>
      <c r="BV331" s="466"/>
      <c r="BW331" s="466"/>
      <c r="BX331" s="466"/>
      <c r="BY331" s="466"/>
      <c r="BZ331" s="466"/>
      <c r="CA331" s="466"/>
      <c r="CB331" s="466"/>
      <c r="CC331" s="466"/>
      <c r="CD331" s="466"/>
      <c r="CE331" s="466"/>
      <c r="CF331" s="466"/>
      <c r="CG331" s="466"/>
      <c r="CH331" s="466"/>
      <c r="CI331" s="466"/>
      <c r="CJ331" s="466"/>
      <c r="CK331" s="466"/>
      <c r="CL331" s="466"/>
      <c r="CM331" s="466"/>
      <c r="CN331" s="466"/>
      <c r="CO331" s="466"/>
      <c r="CP331" s="466"/>
      <c r="CQ331" s="466"/>
      <c r="CR331" s="466"/>
      <c r="CS331" s="466"/>
      <c r="CT331" s="466"/>
      <c r="CU331" s="466"/>
      <c r="CV331" s="466"/>
      <c r="CW331" s="466"/>
      <c r="CX331" s="466"/>
      <c r="CY331" s="466"/>
      <c r="CZ331" s="466"/>
      <c r="DA331" s="466"/>
      <c r="DB331" s="466"/>
      <c r="DC331" s="466"/>
      <c r="DD331" s="466"/>
      <c r="DE331" s="466"/>
      <c r="DF331" s="466"/>
      <c r="DG331" s="466"/>
      <c r="FE331" s="527"/>
      <c r="FF331" s="466"/>
      <c r="FG331" s="466"/>
      <c r="FH331" s="466"/>
      <c r="FI331" s="466"/>
      <c r="FJ331" s="466"/>
      <c r="FK331" s="466"/>
      <c r="FL331" s="466"/>
      <c r="FM331" s="466"/>
      <c r="FN331" s="466"/>
      <c r="FO331" s="466"/>
      <c r="FP331" s="466"/>
      <c r="FQ331" s="466"/>
      <c r="FR331" s="466"/>
      <c r="FS331" s="466"/>
      <c r="FT331" s="466"/>
      <c r="FU331" s="466"/>
      <c r="FV331" s="466"/>
      <c r="FW331" s="466"/>
      <c r="FX331" s="466"/>
      <c r="FY331" s="466"/>
      <c r="FZ331" s="527"/>
      <c r="GA331" s="527"/>
      <c r="GB331" s="527"/>
      <c r="GC331" s="527"/>
      <c r="GD331" s="527"/>
      <c r="GE331" s="527"/>
      <c r="GF331" s="527"/>
      <c r="GG331" s="527"/>
      <c r="GH331" s="527"/>
      <c r="GI331" s="527"/>
      <c r="GJ331" s="527"/>
      <c r="GK331" s="527"/>
      <c r="GL331" s="527"/>
      <c r="GM331" s="527"/>
      <c r="GN331" s="527"/>
      <c r="GV331" s="527"/>
      <c r="GW331" s="527"/>
      <c r="GX331" s="527"/>
      <c r="GY331" s="527"/>
      <c r="GZ331" s="527"/>
      <c r="HA331" s="527"/>
      <c r="HB331" s="527"/>
      <c r="HC331" s="527"/>
      <c r="HD331" s="527"/>
      <c r="HE331" s="844"/>
      <c r="HF331" s="844"/>
      <c r="HG331" s="844"/>
      <c r="HH331" s="844"/>
      <c r="HI331" s="844"/>
      <c r="HJ331" s="844"/>
      <c r="HK331" s="844"/>
      <c r="HL331" s="844"/>
      <c r="HM331" s="844"/>
      <c r="HN331" s="844"/>
      <c r="HP331" s="466"/>
      <c r="HQ331" s="466"/>
      <c r="HR331" s="466"/>
      <c r="HS331" s="415"/>
      <c r="HT331" s="2292"/>
    </row>
    <row r="332" spans="3:228">
      <c r="C332" s="466"/>
      <c r="D332" s="466"/>
      <c r="E332" s="466"/>
      <c r="F332" s="466"/>
      <c r="G332" s="466"/>
      <c r="H332" s="466"/>
      <c r="I332" s="466"/>
      <c r="J332" s="466"/>
      <c r="K332" s="466"/>
      <c r="L332" s="466"/>
      <c r="M332" s="466"/>
      <c r="N332" s="466"/>
      <c r="O332" s="466"/>
      <c r="P332" s="510"/>
      <c r="Q332" s="510"/>
      <c r="R332" s="510"/>
      <c r="S332" s="510"/>
      <c r="T332" s="510"/>
      <c r="U332" s="510"/>
      <c r="V332" s="510"/>
      <c r="W332" s="510"/>
      <c r="X332" s="510"/>
      <c r="Y332" s="510"/>
      <c r="Z332" s="510"/>
      <c r="AA332" s="510"/>
      <c r="AB332" s="510"/>
      <c r="AC332" s="510"/>
      <c r="AD332" s="510"/>
      <c r="AE332" s="510"/>
      <c r="AF332" s="510"/>
      <c r="AG332" s="510"/>
      <c r="AH332" s="510"/>
      <c r="AI332" s="510"/>
      <c r="AJ332" s="510"/>
      <c r="AK332" s="510"/>
      <c r="AL332" s="510"/>
      <c r="AM332" s="510"/>
      <c r="AN332" s="510"/>
      <c r="AO332" s="510"/>
      <c r="AP332" s="510"/>
      <c r="AQ332" s="510"/>
      <c r="AR332" s="510"/>
      <c r="AS332" s="510"/>
      <c r="AT332" s="510"/>
      <c r="AU332" s="510"/>
      <c r="AV332" s="510"/>
      <c r="AW332" s="510"/>
      <c r="AX332" s="510"/>
      <c r="AY332" s="510"/>
      <c r="AZ332" s="466"/>
      <c r="BA332" s="466"/>
      <c r="BB332" s="466"/>
      <c r="BC332" s="466"/>
      <c r="BD332" s="466"/>
      <c r="BE332" s="466"/>
      <c r="BF332" s="466"/>
      <c r="BG332" s="466"/>
      <c r="BH332" s="466"/>
      <c r="BI332" s="466"/>
      <c r="BJ332" s="466"/>
      <c r="BK332" s="466"/>
      <c r="BL332" s="466"/>
      <c r="BM332" s="466"/>
      <c r="BN332" s="466"/>
      <c r="BO332" s="466"/>
      <c r="BP332" s="466"/>
      <c r="BQ332" s="466"/>
      <c r="BR332" s="466"/>
      <c r="BS332" s="466"/>
      <c r="BT332" s="466"/>
      <c r="BU332" s="466"/>
      <c r="BV332" s="466"/>
      <c r="BW332" s="466"/>
      <c r="BX332" s="466"/>
      <c r="BY332" s="466"/>
      <c r="BZ332" s="466"/>
      <c r="CA332" s="466"/>
      <c r="CB332" s="466"/>
      <c r="CC332" s="466"/>
      <c r="CD332" s="466"/>
      <c r="CE332" s="466"/>
      <c r="CF332" s="466"/>
      <c r="CG332" s="466"/>
      <c r="CH332" s="466"/>
      <c r="CI332" s="466"/>
      <c r="CJ332" s="466"/>
      <c r="CK332" s="466"/>
      <c r="CL332" s="466"/>
      <c r="CM332" s="466"/>
      <c r="CN332" s="466"/>
      <c r="CO332" s="466"/>
      <c r="CP332" s="466"/>
      <c r="CQ332" s="466"/>
      <c r="CR332" s="466"/>
      <c r="CS332" s="466"/>
      <c r="CT332" s="466"/>
      <c r="CU332" s="466"/>
      <c r="CV332" s="466"/>
      <c r="CW332" s="466"/>
      <c r="CX332" s="466"/>
      <c r="CY332" s="466"/>
      <c r="CZ332" s="466"/>
      <c r="DA332" s="466"/>
      <c r="DB332" s="466"/>
      <c r="DC332" s="466"/>
      <c r="DD332" s="466"/>
      <c r="DE332" s="466"/>
      <c r="DF332" s="466"/>
      <c r="DG332" s="466"/>
      <c r="FE332" s="527"/>
      <c r="FF332" s="466"/>
      <c r="FG332" s="466"/>
      <c r="FH332" s="466"/>
      <c r="FI332" s="466"/>
      <c r="FJ332" s="466"/>
      <c r="FK332" s="466"/>
      <c r="FL332" s="466"/>
      <c r="FM332" s="466"/>
      <c r="FN332" s="466"/>
      <c r="FO332" s="466"/>
      <c r="FP332" s="466"/>
      <c r="FQ332" s="466"/>
      <c r="FR332" s="466"/>
      <c r="FS332" s="466"/>
      <c r="FT332" s="466"/>
      <c r="FU332" s="466"/>
      <c r="FV332" s="466"/>
      <c r="FW332" s="466"/>
      <c r="FX332" s="466"/>
      <c r="FY332" s="466"/>
      <c r="FZ332" s="527"/>
      <c r="GA332" s="527"/>
      <c r="GB332" s="527"/>
      <c r="GC332" s="527"/>
      <c r="GD332" s="527"/>
      <c r="GE332" s="527"/>
      <c r="GF332" s="527"/>
      <c r="GG332" s="527"/>
      <c r="GH332" s="527"/>
      <c r="GI332" s="527"/>
      <c r="GJ332" s="527"/>
      <c r="GK332" s="527"/>
      <c r="GL332" s="527"/>
      <c r="GM332" s="527"/>
      <c r="GN332" s="527"/>
      <c r="GV332" s="527"/>
      <c r="GW332" s="527"/>
      <c r="GX332" s="527"/>
      <c r="GY332" s="527"/>
      <c r="GZ332" s="527"/>
      <c r="HA332" s="527"/>
      <c r="HB332" s="527"/>
      <c r="HC332" s="527"/>
      <c r="HD332" s="527"/>
      <c r="HE332" s="844"/>
      <c r="HF332" s="844"/>
      <c r="HG332" s="844"/>
      <c r="HH332" s="844"/>
      <c r="HI332" s="844"/>
      <c r="HJ332" s="844"/>
      <c r="HK332" s="844"/>
      <c r="HL332" s="844"/>
      <c r="HM332" s="844"/>
      <c r="HN332" s="844"/>
      <c r="HP332" s="466"/>
      <c r="HQ332" s="466"/>
      <c r="HR332" s="466"/>
      <c r="HS332" s="415"/>
      <c r="HT332" s="2292"/>
    </row>
    <row r="333" spans="3:228">
      <c r="C333" s="466"/>
      <c r="D333" s="466"/>
      <c r="E333" s="466"/>
      <c r="F333" s="466"/>
      <c r="G333" s="466"/>
      <c r="H333" s="466"/>
      <c r="I333" s="466"/>
      <c r="J333" s="466"/>
      <c r="K333" s="466"/>
      <c r="L333" s="466"/>
      <c r="M333" s="466"/>
      <c r="N333" s="466"/>
      <c r="O333" s="466"/>
      <c r="P333" s="510"/>
      <c r="Q333" s="510"/>
      <c r="R333" s="510"/>
      <c r="S333" s="510"/>
      <c r="T333" s="510"/>
      <c r="U333" s="510"/>
      <c r="V333" s="510"/>
      <c r="W333" s="510"/>
      <c r="X333" s="510"/>
      <c r="Y333" s="510"/>
      <c r="Z333" s="510"/>
      <c r="AA333" s="510"/>
      <c r="AB333" s="510"/>
      <c r="AC333" s="510"/>
      <c r="AD333" s="510"/>
      <c r="AE333" s="510"/>
      <c r="AF333" s="510"/>
      <c r="AG333" s="510"/>
      <c r="AH333" s="510"/>
      <c r="AI333" s="510"/>
      <c r="AJ333" s="510"/>
      <c r="AK333" s="510"/>
      <c r="AL333" s="510"/>
      <c r="AM333" s="510"/>
      <c r="AN333" s="510"/>
      <c r="AO333" s="510"/>
      <c r="AP333" s="510"/>
      <c r="AQ333" s="510"/>
      <c r="AR333" s="510"/>
      <c r="AS333" s="510"/>
      <c r="AT333" s="510"/>
      <c r="AU333" s="510"/>
      <c r="AV333" s="510"/>
      <c r="AW333" s="510"/>
      <c r="AX333" s="510"/>
      <c r="AY333" s="510"/>
      <c r="AZ333" s="466"/>
      <c r="BA333" s="466"/>
      <c r="BB333" s="466"/>
      <c r="BC333" s="466"/>
      <c r="BD333" s="466"/>
      <c r="BE333" s="466"/>
      <c r="BF333" s="466"/>
      <c r="BG333" s="466"/>
      <c r="BH333" s="466"/>
      <c r="BI333" s="466"/>
      <c r="BJ333" s="466"/>
      <c r="BK333" s="466"/>
      <c r="BL333" s="466"/>
      <c r="BM333" s="466"/>
      <c r="BN333" s="466"/>
      <c r="BO333" s="466"/>
      <c r="BP333" s="466"/>
      <c r="BQ333" s="466"/>
      <c r="BR333" s="466"/>
      <c r="BS333" s="466"/>
      <c r="BT333" s="466"/>
      <c r="BU333" s="466"/>
      <c r="BV333" s="466"/>
      <c r="BW333" s="466"/>
      <c r="BX333" s="466"/>
      <c r="BY333" s="466"/>
      <c r="BZ333" s="466"/>
      <c r="CA333" s="466"/>
      <c r="CB333" s="466"/>
      <c r="CC333" s="466"/>
      <c r="CD333" s="466"/>
      <c r="CE333" s="466"/>
      <c r="CF333" s="466"/>
      <c r="CG333" s="466"/>
      <c r="CH333" s="466"/>
      <c r="CI333" s="466"/>
      <c r="CJ333" s="466"/>
      <c r="CK333" s="466"/>
      <c r="CL333" s="466"/>
      <c r="CM333" s="466"/>
      <c r="CN333" s="466"/>
      <c r="CO333" s="466"/>
      <c r="CP333" s="466"/>
      <c r="CQ333" s="466"/>
      <c r="CR333" s="466"/>
      <c r="CS333" s="466"/>
      <c r="CT333" s="466"/>
      <c r="CU333" s="466"/>
      <c r="CV333" s="466"/>
      <c r="CW333" s="466"/>
      <c r="CX333" s="466"/>
      <c r="CY333" s="466"/>
      <c r="CZ333" s="466"/>
      <c r="DA333" s="466"/>
      <c r="DB333" s="466"/>
      <c r="DC333" s="466"/>
      <c r="DD333" s="466"/>
      <c r="DE333" s="466"/>
      <c r="DF333" s="466"/>
      <c r="DG333" s="466"/>
      <c r="FE333" s="527"/>
      <c r="FF333" s="466"/>
      <c r="FG333" s="466"/>
      <c r="FH333" s="466"/>
      <c r="FI333" s="466"/>
      <c r="FJ333" s="466"/>
      <c r="FK333" s="466"/>
      <c r="FL333" s="466"/>
      <c r="FM333" s="466"/>
      <c r="FN333" s="466"/>
      <c r="FO333" s="466"/>
      <c r="FP333" s="466"/>
      <c r="FQ333" s="466"/>
      <c r="FR333" s="466"/>
      <c r="FS333" s="466"/>
      <c r="FT333" s="466"/>
      <c r="FU333" s="466"/>
      <c r="FV333" s="466"/>
      <c r="FW333" s="466"/>
      <c r="FX333" s="466"/>
      <c r="FY333" s="466"/>
      <c r="FZ333" s="527"/>
      <c r="GA333" s="527"/>
      <c r="GB333" s="527"/>
      <c r="GC333" s="527"/>
      <c r="GD333" s="527"/>
      <c r="GE333" s="527"/>
      <c r="GF333" s="527"/>
      <c r="GG333" s="527"/>
      <c r="GH333" s="527"/>
      <c r="GI333" s="527"/>
      <c r="GJ333" s="527"/>
      <c r="GK333" s="527"/>
      <c r="GL333" s="527"/>
      <c r="GM333" s="527"/>
      <c r="GN333" s="527"/>
      <c r="GV333" s="527"/>
      <c r="GW333" s="527"/>
      <c r="GX333" s="527"/>
      <c r="GY333" s="527"/>
      <c r="GZ333" s="527"/>
      <c r="HA333" s="527"/>
      <c r="HB333" s="527"/>
      <c r="HC333" s="527"/>
      <c r="HD333" s="527"/>
      <c r="HE333" s="844"/>
      <c r="HF333" s="844"/>
      <c r="HG333" s="844"/>
      <c r="HH333" s="844"/>
      <c r="HI333" s="844"/>
      <c r="HJ333" s="844"/>
      <c r="HK333" s="844"/>
      <c r="HL333" s="844"/>
      <c r="HM333" s="844"/>
      <c r="HN333" s="844"/>
      <c r="HP333" s="466"/>
      <c r="HQ333" s="466"/>
      <c r="HR333" s="466"/>
      <c r="HS333" s="415"/>
      <c r="HT333" s="2292"/>
    </row>
    <row r="334" spans="3:228">
      <c r="C334" s="466"/>
      <c r="D334" s="466"/>
      <c r="E334" s="466"/>
      <c r="F334" s="466"/>
      <c r="G334" s="466"/>
      <c r="H334" s="466"/>
      <c r="I334" s="466"/>
      <c r="J334" s="466"/>
      <c r="K334" s="466"/>
      <c r="L334" s="466"/>
      <c r="M334" s="466"/>
      <c r="N334" s="466"/>
      <c r="O334" s="466"/>
      <c r="P334" s="510"/>
      <c r="Q334" s="510"/>
      <c r="R334" s="510"/>
      <c r="S334" s="510"/>
      <c r="T334" s="510"/>
      <c r="U334" s="510"/>
      <c r="V334" s="510"/>
      <c r="W334" s="510"/>
      <c r="X334" s="510"/>
      <c r="Y334" s="510"/>
      <c r="Z334" s="510"/>
      <c r="AA334" s="510"/>
      <c r="AB334" s="510"/>
      <c r="AC334" s="510"/>
      <c r="AD334" s="510"/>
      <c r="AE334" s="510"/>
      <c r="AF334" s="510"/>
      <c r="AG334" s="510"/>
      <c r="AH334" s="510"/>
      <c r="AI334" s="510"/>
      <c r="AJ334" s="510"/>
      <c r="AK334" s="510"/>
      <c r="AL334" s="510"/>
      <c r="AM334" s="510"/>
      <c r="AN334" s="510"/>
      <c r="AO334" s="510"/>
      <c r="AP334" s="510"/>
      <c r="AQ334" s="510"/>
      <c r="AR334" s="510"/>
      <c r="AS334" s="510"/>
      <c r="AT334" s="510"/>
      <c r="AU334" s="510"/>
      <c r="AV334" s="510"/>
      <c r="AW334" s="510"/>
      <c r="AX334" s="510"/>
      <c r="AY334" s="510"/>
      <c r="AZ334" s="466"/>
      <c r="BA334" s="466"/>
      <c r="BB334" s="466"/>
      <c r="BC334" s="466"/>
      <c r="BD334" s="466"/>
      <c r="BE334" s="466"/>
      <c r="BF334" s="466"/>
      <c r="BG334" s="466"/>
      <c r="BH334" s="466"/>
      <c r="BI334" s="466"/>
      <c r="BJ334" s="466"/>
      <c r="BK334" s="466"/>
      <c r="BL334" s="466"/>
      <c r="BM334" s="466"/>
      <c r="BN334" s="466"/>
      <c r="BO334" s="466"/>
      <c r="BP334" s="466"/>
      <c r="BQ334" s="466"/>
      <c r="BR334" s="466"/>
      <c r="BS334" s="466"/>
      <c r="BT334" s="466"/>
      <c r="BU334" s="466"/>
      <c r="BV334" s="466"/>
      <c r="BW334" s="466"/>
      <c r="BX334" s="466"/>
      <c r="BY334" s="466"/>
      <c r="BZ334" s="466"/>
      <c r="CA334" s="466"/>
      <c r="CB334" s="466"/>
      <c r="CC334" s="466"/>
      <c r="CD334" s="466"/>
      <c r="CE334" s="466"/>
      <c r="CF334" s="466"/>
      <c r="CG334" s="466"/>
      <c r="CH334" s="466"/>
      <c r="CI334" s="466"/>
      <c r="CJ334" s="466"/>
      <c r="CK334" s="466"/>
      <c r="CL334" s="466"/>
      <c r="CM334" s="466"/>
      <c r="CN334" s="466"/>
      <c r="CO334" s="466"/>
      <c r="CP334" s="466"/>
      <c r="CQ334" s="466"/>
      <c r="CR334" s="466"/>
      <c r="CS334" s="466"/>
      <c r="CT334" s="466"/>
      <c r="CU334" s="466"/>
      <c r="CV334" s="466"/>
      <c r="CW334" s="466"/>
      <c r="CX334" s="466"/>
      <c r="CY334" s="466"/>
      <c r="CZ334" s="466"/>
      <c r="DA334" s="466"/>
      <c r="DB334" s="466"/>
      <c r="DC334" s="466"/>
      <c r="DD334" s="466"/>
      <c r="DE334" s="466"/>
      <c r="DF334" s="466"/>
      <c r="DG334" s="466"/>
      <c r="FE334" s="527"/>
      <c r="FF334" s="466"/>
      <c r="FG334" s="466"/>
      <c r="FH334" s="466"/>
      <c r="FI334" s="466"/>
      <c r="FJ334" s="466"/>
      <c r="FK334" s="466"/>
      <c r="FL334" s="466"/>
      <c r="FM334" s="466"/>
      <c r="FN334" s="466"/>
      <c r="FO334" s="466"/>
      <c r="FP334" s="466"/>
      <c r="FQ334" s="466"/>
      <c r="FR334" s="466"/>
      <c r="FS334" s="466"/>
      <c r="FT334" s="466"/>
      <c r="FU334" s="466"/>
      <c r="FV334" s="466"/>
      <c r="FW334" s="466"/>
      <c r="FX334" s="466"/>
      <c r="FY334" s="466"/>
      <c r="FZ334" s="527"/>
      <c r="GA334" s="527"/>
      <c r="GB334" s="527"/>
      <c r="GC334" s="527"/>
      <c r="GD334" s="527"/>
      <c r="GE334" s="527"/>
      <c r="GF334" s="527"/>
      <c r="GG334" s="527"/>
      <c r="GH334" s="527"/>
      <c r="GI334" s="527"/>
      <c r="GJ334" s="527"/>
      <c r="GK334" s="527"/>
      <c r="GL334" s="527"/>
      <c r="GM334" s="527"/>
      <c r="GN334" s="527"/>
      <c r="GV334" s="527"/>
      <c r="GW334" s="527"/>
      <c r="GX334" s="527"/>
      <c r="GY334" s="527"/>
      <c r="GZ334" s="527"/>
      <c r="HA334" s="527"/>
      <c r="HB334" s="527"/>
      <c r="HC334" s="527"/>
      <c r="HD334" s="527"/>
      <c r="HE334" s="844"/>
      <c r="HF334" s="844"/>
      <c r="HG334" s="844"/>
      <c r="HH334" s="844"/>
      <c r="HI334" s="844"/>
      <c r="HJ334" s="844"/>
      <c r="HK334" s="844"/>
      <c r="HL334" s="844"/>
      <c r="HM334" s="844"/>
      <c r="HN334" s="844"/>
      <c r="HP334" s="466"/>
      <c r="HQ334" s="466"/>
      <c r="HR334" s="466"/>
      <c r="HS334" s="415"/>
      <c r="HT334" s="2292"/>
    </row>
    <row r="335" spans="3:228">
      <c r="C335" s="466"/>
      <c r="D335" s="466"/>
      <c r="E335" s="466"/>
      <c r="F335" s="466"/>
      <c r="G335" s="466"/>
      <c r="H335" s="466"/>
      <c r="I335" s="466"/>
      <c r="J335" s="466"/>
      <c r="K335" s="466"/>
      <c r="L335" s="466"/>
      <c r="M335" s="466"/>
      <c r="N335" s="466"/>
      <c r="O335" s="466"/>
      <c r="P335" s="510"/>
      <c r="Q335" s="510"/>
      <c r="R335" s="510"/>
      <c r="S335" s="510"/>
      <c r="T335" s="510"/>
      <c r="U335" s="510"/>
      <c r="V335" s="510"/>
      <c r="W335" s="510"/>
      <c r="X335" s="510"/>
      <c r="Y335" s="510"/>
      <c r="Z335" s="510"/>
      <c r="AA335" s="510"/>
      <c r="AB335" s="510"/>
      <c r="AC335" s="510"/>
      <c r="AD335" s="510"/>
      <c r="AE335" s="510"/>
      <c r="AF335" s="510"/>
      <c r="AG335" s="510"/>
      <c r="AH335" s="510"/>
      <c r="AI335" s="510"/>
      <c r="AJ335" s="510"/>
      <c r="AK335" s="510"/>
      <c r="AL335" s="510"/>
      <c r="AM335" s="510"/>
      <c r="AN335" s="510"/>
      <c r="AO335" s="510"/>
      <c r="AP335" s="510"/>
      <c r="AQ335" s="510"/>
      <c r="AR335" s="510"/>
      <c r="AS335" s="510"/>
      <c r="AT335" s="510"/>
      <c r="AU335" s="510"/>
      <c r="AV335" s="510"/>
      <c r="AW335" s="510"/>
      <c r="AX335" s="510"/>
      <c r="AY335" s="510"/>
      <c r="AZ335" s="466"/>
      <c r="BA335" s="466"/>
      <c r="BB335" s="466"/>
      <c r="BC335" s="466"/>
      <c r="BD335" s="466"/>
      <c r="BE335" s="466"/>
      <c r="BF335" s="466"/>
      <c r="BG335" s="466"/>
      <c r="BH335" s="466"/>
      <c r="BI335" s="466"/>
      <c r="BJ335" s="466"/>
      <c r="BK335" s="466"/>
      <c r="BL335" s="466"/>
      <c r="BM335" s="466"/>
      <c r="BN335" s="466"/>
      <c r="BO335" s="466"/>
      <c r="BP335" s="466"/>
      <c r="BQ335" s="466"/>
      <c r="BR335" s="466"/>
      <c r="BS335" s="466"/>
      <c r="BT335" s="466"/>
      <c r="BU335" s="466"/>
      <c r="BV335" s="466"/>
      <c r="BW335" s="466"/>
      <c r="BX335" s="466"/>
      <c r="BY335" s="466"/>
      <c r="BZ335" s="466"/>
      <c r="CA335" s="466"/>
      <c r="CB335" s="466"/>
      <c r="CC335" s="466"/>
      <c r="CD335" s="466"/>
      <c r="CE335" s="466"/>
      <c r="CF335" s="466"/>
      <c r="CG335" s="466"/>
      <c r="CH335" s="466"/>
      <c r="CI335" s="466"/>
      <c r="CJ335" s="466"/>
      <c r="CK335" s="466"/>
      <c r="CL335" s="466"/>
      <c r="CM335" s="466"/>
      <c r="CN335" s="466"/>
      <c r="CO335" s="466"/>
      <c r="CP335" s="466"/>
      <c r="CQ335" s="466"/>
      <c r="CR335" s="466"/>
      <c r="CS335" s="466"/>
      <c r="CT335" s="466"/>
      <c r="CU335" s="466"/>
      <c r="CV335" s="466"/>
      <c r="CW335" s="466"/>
      <c r="CX335" s="466"/>
      <c r="CY335" s="466"/>
      <c r="CZ335" s="466"/>
      <c r="DA335" s="466"/>
      <c r="DB335" s="466"/>
      <c r="DC335" s="466"/>
      <c r="DD335" s="466"/>
      <c r="DE335" s="466"/>
      <c r="DF335" s="466"/>
      <c r="DG335" s="466"/>
      <c r="FE335" s="527"/>
      <c r="FF335" s="466"/>
      <c r="FG335" s="466"/>
      <c r="FH335" s="466"/>
      <c r="FI335" s="466"/>
      <c r="FJ335" s="466"/>
      <c r="FK335" s="466"/>
      <c r="FL335" s="466"/>
      <c r="FM335" s="466"/>
      <c r="FN335" s="466"/>
      <c r="FO335" s="466"/>
      <c r="FP335" s="466"/>
      <c r="FQ335" s="466"/>
      <c r="FR335" s="466"/>
      <c r="FS335" s="466"/>
      <c r="FT335" s="466"/>
      <c r="FU335" s="466"/>
      <c r="FV335" s="466"/>
      <c r="FW335" s="466"/>
      <c r="FX335" s="466"/>
      <c r="FY335" s="466"/>
      <c r="FZ335" s="527"/>
      <c r="GA335" s="527"/>
      <c r="GB335" s="527"/>
      <c r="GC335" s="527"/>
      <c r="GD335" s="527"/>
      <c r="GE335" s="527"/>
      <c r="GF335" s="527"/>
      <c r="GG335" s="527"/>
      <c r="GH335" s="527"/>
      <c r="GI335" s="527"/>
      <c r="GJ335" s="527"/>
      <c r="GK335" s="527"/>
      <c r="GL335" s="527"/>
      <c r="GM335" s="527"/>
      <c r="GN335" s="527"/>
      <c r="GV335" s="527"/>
      <c r="GW335" s="527"/>
      <c r="GX335" s="527"/>
      <c r="GY335" s="527"/>
      <c r="GZ335" s="527"/>
      <c r="HA335" s="527"/>
      <c r="HB335" s="527"/>
      <c r="HC335" s="527"/>
      <c r="HD335" s="527"/>
      <c r="HE335" s="844"/>
      <c r="HF335" s="844"/>
      <c r="HG335" s="844"/>
      <c r="HH335" s="844"/>
      <c r="HI335" s="844"/>
      <c r="HJ335" s="844"/>
      <c r="HK335" s="844"/>
      <c r="HL335" s="844"/>
      <c r="HM335" s="844"/>
      <c r="HN335" s="844"/>
      <c r="HP335" s="466"/>
      <c r="HQ335" s="466"/>
      <c r="HR335" s="466"/>
      <c r="HS335" s="415"/>
      <c r="HT335" s="2292"/>
    </row>
    <row r="336" spans="3:228">
      <c r="C336" s="466"/>
      <c r="D336" s="466"/>
      <c r="E336" s="466"/>
      <c r="F336" s="466"/>
      <c r="G336" s="466"/>
      <c r="H336" s="466"/>
      <c r="I336" s="466"/>
      <c r="J336" s="466"/>
      <c r="K336" s="466"/>
      <c r="L336" s="466"/>
      <c r="M336" s="466"/>
      <c r="N336" s="466"/>
      <c r="O336" s="466"/>
      <c r="P336" s="510"/>
      <c r="Q336" s="510"/>
      <c r="R336" s="510"/>
      <c r="S336" s="510"/>
      <c r="T336" s="510"/>
      <c r="U336" s="510"/>
      <c r="V336" s="510"/>
      <c r="W336" s="510"/>
      <c r="X336" s="510"/>
      <c r="Y336" s="510"/>
      <c r="Z336" s="510"/>
      <c r="AA336" s="510"/>
      <c r="AB336" s="510"/>
      <c r="AC336" s="510"/>
      <c r="AD336" s="510"/>
      <c r="AE336" s="510"/>
      <c r="AF336" s="510"/>
      <c r="AG336" s="510"/>
      <c r="AH336" s="510"/>
      <c r="AI336" s="510"/>
      <c r="AJ336" s="510"/>
      <c r="AK336" s="510"/>
      <c r="AL336" s="510"/>
      <c r="AM336" s="510"/>
      <c r="AN336" s="510"/>
      <c r="AO336" s="510"/>
      <c r="AP336" s="510"/>
      <c r="AQ336" s="510"/>
      <c r="AR336" s="510"/>
      <c r="AS336" s="510"/>
      <c r="AT336" s="510"/>
      <c r="AU336" s="510"/>
      <c r="AV336" s="510"/>
      <c r="AW336" s="510"/>
      <c r="AX336" s="510"/>
      <c r="AY336" s="510"/>
      <c r="AZ336" s="466"/>
      <c r="BA336" s="466"/>
      <c r="BB336" s="466"/>
      <c r="BC336" s="466"/>
      <c r="BD336" s="466"/>
      <c r="BE336" s="466"/>
      <c r="BF336" s="466"/>
      <c r="BG336" s="466"/>
      <c r="BH336" s="466"/>
      <c r="BI336" s="466"/>
      <c r="BJ336" s="466"/>
      <c r="BK336" s="466"/>
      <c r="BL336" s="466"/>
      <c r="BM336" s="466"/>
      <c r="BN336" s="466"/>
      <c r="BO336" s="466"/>
      <c r="BP336" s="466"/>
      <c r="BQ336" s="466"/>
      <c r="BR336" s="466"/>
      <c r="BS336" s="466"/>
      <c r="BT336" s="466"/>
      <c r="BU336" s="466"/>
      <c r="BV336" s="466"/>
      <c r="BW336" s="466"/>
      <c r="BX336" s="466"/>
      <c r="BY336" s="466"/>
      <c r="BZ336" s="466"/>
      <c r="CA336" s="466"/>
      <c r="CB336" s="466"/>
      <c r="CC336" s="466"/>
      <c r="CD336" s="466"/>
      <c r="CE336" s="466"/>
      <c r="CF336" s="466"/>
      <c r="CG336" s="466"/>
      <c r="CH336" s="466"/>
      <c r="CI336" s="466"/>
      <c r="CJ336" s="466"/>
      <c r="CK336" s="466"/>
      <c r="CL336" s="466"/>
      <c r="CM336" s="466"/>
      <c r="CN336" s="466"/>
      <c r="CO336" s="466"/>
      <c r="CP336" s="466"/>
      <c r="CQ336" s="466"/>
      <c r="CR336" s="466"/>
      <c r="CS336" s="466"/>
      <c r="CT336" s="466"/>
      <c r="CU336" s="466"/>
      <c r="CV336" s="466"/>
      <c r="CW336" s="466"/>
      <c r="CX336" s="466"/>
      <c r="CY336" s="466"/>
      <c r="CZ336" s="466"/>
      <c r="DA336" s="466"/>
      <c r="DB336" s="466"/>
      <c r="DC336" s="466"/>
      <c r="DD336" s="466"/>
      <c r="DE336" s="466"/>
      <c r="DF336" s="466"/>
      <c r="DG336" s="466"/>
      <c r="FE336" s="527"/>
      <c r="FF336" s="466"/>
      <c r="FG336" s="466"/>
      <c r="FH336" s="466"/>
      <c r="FI336" s="466"/>
      <c r="FJ336" s="466"/>
      <c r="FK336" s="466"/>
      <c r="FL336" s="466"/>
      <c r="FM336" s="466"/>
      <c r="FN336" s="466"/>
      <c r="FO336" s="466"/>
      <c r="FP336" s="466"/>
      <c r="FQ336" s="466"/>
      <c r="FR336" s="466"/>
      <c r="FS336" s="466"/>
      <c r="FT336" s="466"/>
      <c r="FU336" s="466"/>
      <c r="FV336" s="466"/>
      <c r="FW336" s="466"/>
      <c r="FX336" s="466"/>
      <c r="FY336" s="466"/>
      <c r="FZ336" s="527"/>
      <c r="GA336" s="527"/>
      <c r="GB336" s="527"/>
      <c r="GC336" s="527"/>
      <c r="GD336" s="527"/>
      <c r="GE336" s="527"/>
      <c r="GF336" s="527"/>
      <c r="GG336" s="527"/>
      <c r="GH336" s="527"/>
      <c r="GI336" s="527"/>
      <c r="GJ336" s="527"/>
      <c r="GK336" s="527"/>
      <c r="GL336" s="527"/>
      <c r="GM336" s="527"/>
      <c r="GN336" s="527"/>
      <c r="GV336" s="527"/>
      <c r="GW336" s="527"/>
      <c r="GX336" s="527"/>
      <c r="GY336" s="527"/>
      <c r="GZ336" s="527"/>
      <c r="HA336" s="527"/>
      <c r="HB336" s="527"/>
      <c r="HC336" s="527"/>
      <c r="HD336" s="527"/>
      <c r="HE336" s="844"/>
      <c r="HF336" s="844"/>
      <c r="HG336" s="844"/>
      <c r="HH336" s="844"/>
      <c r="HI336" s="844"/>
      <c r="HJ336" s="844"/>
      <c r="HK336" s="844"/>
      <c r="HL336" s="844"/>
      <c r="HM336" s="844"/>
      <c r="HN336" s="844"/>
      <c r="HP336" s="466"/>
      <c r="HQ336" s="466"/>
      <c r="HR336" s="466"/>
      <c r="HS336" s="415"/>
      <c r="HT336" s="2292"/>
    </row>
    <row r="337" spans="3:228">
      <c r="C337" s="466"/>
      <c r="D337" s="466"/>
      <c r="E337" s="466"/>
      <c r="F337" s="466"/>
      <c r="G337" s="466"/>
      <c r="H337" s="466"/>
      <c r="I337" s="466"/>
      <c r="J337" s="466"/>
      <c r="K337" s="466"/>
      <c r="L337" s="466"/>
      <c r="M337" s="466"/>
      <c r="N337" s="466"/>
      <c r="O337" s="466"/>
      <c r="P337" s="510"/>
      <c r="Q337" s="510"/>
      <c r="R337" s="510"/>
      <c r="S337" s="510"/>
      <c r="T337" s="510"/>
      <c r="U337" s="510"/>
      <c r="V337" s="510"/>
      <c r="W337" s="510"/>
      <c r="X337" s="510"/>
      <c r="Y337" s="510"/>
      <c r="Z337" s="510"/>
      <c r="AA337" s="510"/>
      <c r="AB337" s="510"/>
      <c r="AC337" s="510"/>
      <c r="AD337" s="510"/>
      <c r="AE337" s="510"/>
      <c r="AF337" s="510"/>
      <c r="AG337" s="510"/>
      <c r="AH337" s="510"/>
      <c r="AI337" s="510"/>
      <c r="AJ337" s="510"/>
      <c r="AK337" s="510"/>
      <c r="AL337" s="510"/>
      <c r="AM337" s="510"/>
      <c r="AN337" s="510"/>
      <c r="AO337" s="510"/>
      <c r="AP337" s="510"/>
      <c r="AQ337" s="510"/>
      <c r="AR337" s="510"/>
      <c r="AS337" s="510"/>
      <c r="AT337" s="510"/>
      <c r="AU337" s="510"/>
      <c r="AV337" s="510"/>
      <c r="AW337" s="510"/>
      <c r="AX337" s="510"/>
      <c r="AY337" s="510"/>
      <c r="AZ337" s="466"/>
      <c r="BA337" s="466"/>
      <c r="BB337" s="466"/>
      <c r="BC337" s="466"/>
      <c r="BD337" s="466"/>
      <c r="BE337" s="466"/>
      <c r="BF337" s="466"/>
      <c r="BG337" s="466"/>
      <c r="BH337" s="466"/>
      <c r="BI337" s="466"/>
      <c r="BJ337" s="466"/>
      <c r="BK337" s="466"/>
      <c r="BL337" s="466"/>
      <c r="BM337" s="466"/>
      <c r="BN337" s="466"/>
      <c r="BO337" s="466"/>
      <c r="BP337" s="466"/>
      <c r="BQ337" s="466"/>
      <c r="BR337" s="466"/>
      <c r="BS337" s="466"/>
      <c r="BT337" s="466"/>
      <c r="BU337" s="466"/>
      <c r="BV337" s="466"/>
      <c r="BW337" s="466"/>
      <c r="BX337" s="466"/>
      <c r="BY337" s="466"/>
      <c r="BZ337" s="466"/>
      <c r="CA337" s="466"/>
      <c r="CB337" s="466"/>
      <c r="CC337" s="466"/>
      <c r="CD337" s="466"/>
      <c r="CE337" s="466"/>
      <c r="CF337" s="466"/>
      <c r="CG337" s="466"/>
      <c r="CH337" s="466"/>
      <c r="CI337" s="466"/>
      <c r="CJ337" s="466"/>
      <c r="CK337" s="466"/>
      <c r="CL337" s="466"/>
      <c r="CM337" s="466"/>
      <c r="CN337" s="466"/>
      <c r="CO337" s="466"/>
      <c r="CP337" s="466"/>
      <c r="CQ337" s="466"/>
      <c r="CR337" s="466"/>
      <c r="CS337" s="466"/>
      <c r="CT337" s="466"/>
      <c r="CU337" s="466"/>
      <c r="CV337" s="466"/>
      <c r="CW337" s="466"/>
      <c r="CX337" s="466"/>
      <c r="CY337" s="466"/>
      <c r="CZ337" s="466"/>
      <c r="DA337" s="466"/>
      <c r="DB337" s="466"/>
      <c r="DC337" s="466"/>
      <c r="DD337" s="466"/>
      <c r="DE337" s="466"/>
      <c r="DF337" s="466"/>
      <c r="DG337" s="466"/>
      <c r="FE337" s="527"/>
      <c r="FF337" s="466"/>
      <c r="FG337" s="466"/>
      <c r="FH337" s="466"/>
      <c r="FI337" s="466"/>
      <c r="FJ337" s="466"/>
      <c r="FK337" s="466"/>
      <c r="FL337" s="466"/>
      <c r="FM337" s="466"/>
      <c r="FN337" s="466"/>
      <c r="FO337" s="466"/>
      <c r="FP337" s="466"/>
      <c r="FQ337" s="466"/>
      <c r="FR337" s="466"/>
      <c r="FS337" s="466"/>
      <c r="FT337" s="466"/>
      <c r="FU337" s="466"/>
      <c r="FV337" s="466"/>
      <c r="FW337" s="466"/>
      <c r="FX337" s="466"/>
      <c r="FY337" s="466"/>
      <c r="FZ337" s="527"/>
      <c r="GA337" s="527"/>
      <c r="GB337" s="527"/>
      <c r="GC337" s="527"/>
      <c r="GD337" s="527"/>
      <c r="GE337" s="527"/>
      <c r="GF337" s="527"/>
      <c r="GG337" s="527"/>
      <c r="GH337" s="527"/>
      <c r="GI337" s="527"/>
      <c r="GJ337" s="527"/>
      <c r="GK337" s="527"/>
      <c r="GL337" s="527"/>
      <c r="GM337" s="527"/>
      <c r="GN337" s="527"/>
      <c r="GV337" s="527"/>
      <c r="GW337" s="527"/>
      <c r="GX337" s="527"/>
      <c r="GY337" s="527"/>
      <c r="GZ337" s="527"/>
      <c r="HA337" s="527"/>
      <c r="HB337" s="527"/>
      <c r="HC337" s="527"/>
      <c r="HD337" s="527"/>
      <c r="HE337" s="844"/>
      <c r="HF337" s="844"/>
      <c r="HG337" s="844"/>
      <c r="HH337" s="844"/>
      <c r="HI337" s="844"/>
      <c r="HJ337" s="844"/>
      <c r="HK337" s="844"/>
      <c r="HL337" s="844"/>
      <c r="HM337" s="844"/>
      <c r="HN337" s="844"/>
      <c r="HP337" s="466"/>
      <c r="HQ337" s="466"/>
      <c r="HR337" s="466"/>
      <c r="HS337" s="415"/>
      <c r="HT337" s="2292"/>
    </row>
    <row r="338" spans="3:228">
      <c r="C338" s="466"/>
      <c r="D338" s="466"/>
      <c r="E338" s="466"/>
      <c r="F338" s="466"/>
      <c r="G338" s="466"/>
      <c r="H338" s="466"/>
      <c r="I338" s="466"/>
      <c r="J338" s="466"/>
      <c r="K338" s="466"/>
      <c r="L338" s="466"/>
      <c r="M338" s="466"/>
      <c r="N338" s="466"/>
      <c r="O338" s="466"/>
      <c r="P338" s="510"/>
      <c r="Q338" s="510"/>
      <c r="R338" s="510"/>
      <c r="S338" s="510"/>
      <c r="T338" s="510"/>
      <c r="U338" s="510"/>
      <c r="V338" s="510"/>
      <c r="W338" s="510"/>
      <c r="X338" s="510"/>
      <c r="Y338" s="510"/>
      <c r="Z338" s="510"/>
      <c r="AA338" s="510"/>
      <c r="AB338" s="510"/>
      <c r="AC338" s="510"/>
      <c r="AD338" s="510"/>
      <c r="AE338" s="510"/>
      <c r="AF338" s="510"/>
      <c r="AG338" s="510"/>
      <c r="AH338" s="510"/>
      <c r="AI338" s="510"/>
      <c r="AJ338" s="510"/>
      <c r="AK338" s="510"/>
      <c r="AL338" s="510"/>
      <c r="AM338" s="510"/>
      <c r="AN338" s="510"/>
      <c r="AO338" s="510"/>
      <c r="AP338" s="510"/>
      <c r="AQ338" s="510"/>
      <c r="AR338" s="510"/>
      <c r="AS338" s="510"/>
      <c r="AT338" s="510"/>
      <c r="AU338" s="510"/>
      <c r="AV338" s="510"/>
      <c r="AW338" s="510"/>
      <c r="AX338" s="510"/>
      <c r="AY338" s="510"/>
      <c r="AZ338" s="466"/>
      <c r="BA338" s="466"/>
      <c r="BB338" s="466"/>
      <c r="BC338" s="466"/>
      <c r="BD338" s="466"/>
      <c r="BE338" s="466"/>
      <c r="BF338" s="466"/>
      <c r="BG338" s="466"/>
      <c r="BH338" s="466"/>
      <c r="BI338" s="466"/>
      <c r="BJ338" s="466"/>
      <c r="BK338" s="466"/>
      <c r="BL338" s="466"/>
      <c r="BM338" s="466"/>
      <c r="BN338" s="466"/>
      <c r="BO338" s="466"/>
      <c r="BP338" s="466"/>
      <c r="BQ338" s="466"/>
      <c r="BR338" s="466"/>
      <c r="BS338" s="466"/>
      <c r="BT338" s="466"/>
      <c r="BU338" s="466"/>
      <c r="BV338" s="466"/>
      <c r="BW338" s="466"/>
      <c r="BX338" s="466"/>
      <c r="BY338" s="466"/>
      <c r="BZ338" s="466"/>
      <c r="CA338" s="466"/>
      <c r="CB338" s="466"/>
      <c r="CC338" s="466"/>
      <c r="CD338" s="466"/>
      <c r="CE338" s="466"/>
      <c r="CF338" s="466"/>
      <c r="CG338" s="466"/>
      <c r="CH338" s="466"/>
      <c r="CI338" s="466"/>
      <c r="CJ338" s="466"/>
      <c r="CK338" s="466"/>
      <c r="CL338" s="466"/>
      <c r="CM338" s="466"/>
      <c r="CN338" s="466"/>
      <c r="CO338" s="466"/>
      <c r="CP338" s="466"/>
      <c r="CQ338" s="466"/>
      <c r="CR338" s="466"/>
      <c r="CS338" s="466"/>
      <c r="CT338" s="466"/>
      <c r="CU338" s="466"/>
      <c r="CV338" s="466"/>
      <c r="CW338" s="466"/>
      <c r="CX338" s="466"/>
      <c r="CY338" s="466"/>
      <c r="CZ338" s="466"/>
      <c r="DA338" s="466"/>
      <c r="DB338" s="466"/>
      <c r="DC338" s="466"/>
      <c r="DD338" s="466"/>
      <c r="DE338" s="466"/>
      <c r="DF338" s="466"/>
      <c r="DG338" s="466"/>
      <c r="FE338" s="527"/>
      <c r="FF338" s="466"/>
      <c r="FG338" s="466"/>
      <c r="FH338" s="466"/>
      <c r="FI338" s="466"/>
      <c r="FJ338" s="466"/>
      <c r="FK338" s="466"/>
      <c r="FL338" s="466"/>
      <c r="FM338" s="466"/>
      <c r="FN338" s="466"/>
      <c r="FO338" s="466"/>
      <c r="FP338" s="466"/>
      <c r="FQ338" s="466"/>
      <c r="FR338" s="466"/>
      <c r="FS338" s="466"/>
      <c r="FT338" s="466"/>
      <c r="FU338" s="466"/>
      <c r="FV338" s="466"/>
      <c r="FW338" s="466"/>
      <c r="FX338" s="466"/>
      <c r="FY338" s="466"/>
      <c r="FZ338" s="527"/>
      <c r="GA338" s="527"/>
      <c r="GB338" s="527"/>
      <c r="GC338" s="527"/>
      <c r="GD338" s="527"/>
      <c r="GE338" s="527"/>
      <c r="GF338" s="527"/>
      <c r="GG338" s="527"/>
      <c r="GH338" s="527"/>
      <c r="GI338" s="527"/>
      <c r="GJ338" s="527"/>
      <c r="GK338" s="527"/>
      <c r="GL338" s="527"/>
      <c r="GM338" s="527"/>
      <c r="GN338" s="527"/>
      <c r="GV338" s="527"/>
      <c r="GW338" s="527"/>
      <c r="GX338" s="527"/>
      <c r="GY338" s="527"/>
      <c r="GZ338" s="527"/>
      <c r="HA338" s="527"/>
      <c r="HB338" s="527"/>
      <c r="HC338" s="527"/>
      <c r="HD338" s="527"/>
      <c r="HE338" s="844"/>
      <c r="HF338" s="844"/>
      <c r="HG338" s="844"/>
      <c r="HH338" s="844"/>
      <c r="HI338" s="844"/>
      <c r="HJ338" s="844"/>
      <c r="HK338" s="844"/>
      <c r="HL338" s="844"/>
      <c r="HM338" s="844"/>
      <c r="HN338" s="844"/>
      <c r="HP338" s="466"/>
      <c r="HQ338" s="466"/>
      <c r="HR338" s="466"/>
      <c r="HS338" s="415"/>
      <c r="HT338" s="2292"/>
    </row>
    <row r="339" spans="3:228">
      <c r="C339" s="466"/>
      <c r="D339" s="466"/>
      <c r="E339" s="466"/>
      <c r="F339" s="466"/>
      <c r="G339" s="466"/>
      <c r="H339" s="466"/>
      <c r="I339" s="466"/>
      <c r="J339" s="466"/>
      <c r="K339" s="466"/>
      <c r="L339" s="466"/>
      <c r="M339" s="466"/>
      <c r="N339" s="466"/>
      <c r="O339" s="466"/>
      <c r="P339" s="510"/>
      <c r="Q339" s="510"/>
      <c r="R339" s="510"/>
      <c r="S339" s="510"/>
      <c r="T339" s="510"/>
      <c r="U339" s="510"/>
      <c r="V339" s="510"/>
      <c r="W339" s="510"/>
      <c r="X339" s="510"/>
      <c r="Y339" s="510"/>
      <c r="Z339" s="510"/>
      <c r="AA339" s="510"/>
      <c r="AB339" s="510"/>
      <c r="AC339" s="510"/>
      <c r="AD339" s="510"/>
      <c r="AE339" s="510"/>
      <c r="AF339" s="510"/>
      <c r="AG339" s="510"/>
      <c r="AH339" s="510"/>
      <c r="AI339" s="510"/>
      <c r="AJ339" s="510"/>
      <c r="AK339" s="510"/>
      <c r="AL339" s="510"/>
      <c r="AM339" s="510"/>
      <c r="AN339" s="510"/>
      <c r="AO339" s="510"/>
      <c r="AP339" s="510"/>
      <c r="AQ339" s="510"/>
      <c r="AR339" s="510"/>
      <c r="AS339" s="510"/>
      <c r="AT339" s="510"/>
      <c r="AU339" s="510"/>
      <c r="AV339" s="510"/>
      <c r="AW339" s="510"/>
      <c r="AX339" s="510"/>
      <c r="AY339" s="510"/>
      <c r="AZ339" s="466"/>
      <c r="BA339" s="466"/>
      <c r="BB339" s="466"/>
      <c r="BC339" s="466"/>
      <c r="BD339" s="466"/>
      <c r="BE339" s="466"/>
      <c r="BF339" s="466"/>
      <c r="BG339" s="466"/>
      <c r="BH339" s="466"/>
      <c r="BI339" s="466"/>
      <c r="BJ339" s="466"/>
      <c r="BK339" s="466"/>
      <c r="BL339" s="466"/>
      <c r="BM339" s="466"/>
      <c r="BN339" s="466"/>
      <c r="BO339" s="466"/>
      <c r="BP339" s="466"/>
      <c r="BQ339" s="466"/>
      <c r="BR339" s="466"/>
      <c r="BS339" s="466"/>
      <c r="BT339" s="466"/>
      <c r="BU339" s="466"/>
      <c r="BV339" s="466"/>
      <c r="BW339" s="466"/>
      <c r="BX339" s="466"/>
      <c r="BY339" s="466"/>
      <c r="BZ339" s="466"/>
      <c r="CA339" s="466"/>
      <c r="CB339" s="466"/>
      <c r="CC339" s="466"/>
      <c r="CD339" s="466"/>
      <c r="CE339" s="466"/>
      <c r="CF339" s="466"/>
      <c r="CG339" s="466"/>
      <c r="CH339" s="466"/>
      <c r="CI339" s="466"/>
      <c r="CJ339" s="466"/>
      <c r="CK339" s="466"/>
      <c r="CL339" s="466"/>
      <c r="CM339" s="466"/>
      <c r="CN339" s="466"/>
      <c r="CO339" s="466"/>
      <c r="CP339" s="466"/>
      <c r="CQ339" s="466"/>
      <c r="CR339" s="466"/>
      <c r="CS339" s="466"/>
      <c r="CT339" s="466"/>
      <c r="CU339" s="466"/>
      <c r="CV339" s="466"/>
      <c r="CW339" s="466"/>
      <c r="CX339" s="466"/>
      <c r="CY339" s="466"/>
      <c r="CZ339" s="466"/>
      <c r="DA339" s="466"/>
      <c r="DB339" s="466"/>
      <c r="DC339" s="466"/>
      <c r="DD339" s="466"/>
      <c r="DE339" s="466"/>
      <c r="DF339" s="466"/>
      <c r="DG339" s="466"/>
      <c r="FE339" s="527"/>
      <c r="FF339" s="466"/>
      <c r="FG339" s="466"/>
      <c r="FH339" s="466"/>
      <c r="FI339" s="466"/>
      <c r="FJ339" s="466"/>
      <c r="FK339" s="466"/>
      <c r="FL339" s="466"/>
      <c r="FM339" s="466"/>
      <c r="FN339" s="466"/>
      <c r="FO339" s="466"/>
      <c r="FP339" s="466"/>
      <c r="FQ339" s="466"/>
      <c r="FR339" s="466"/>
      <c r="FS339" s="466"/>
      <c r="FT339" s="466"/>
      <c r="FU339" s="466"/>
      <c r="FV339" s="466"/>
      <c r="FW339" s="466"/>
      <c r="FX339" s="466"/>
      <c r="FY339" s="466"/>
      <c r="FZ339" s="527"/>
      <c r="GA339" s="527"/>
      <c r="GB339" s="527"/>
      <c r="GC339" s="527"/>
      <c r="GD339" s="527"/>
      <c r="GE339" s="527"/>
      <c r="GF339" s="527"/>
      <c r="GG339" s="527"/>
      <c r="GH339" s="527"/>
      <c r="GI339" s="527"/>
      <c r="GJ339" s="527"/>
      <c r="GK339" s="527"/>
      <c r="GL339" s="527"/>
      <c r="GM339" s="527"/>
      <c r="GN339" s="527"/>
      <c r="GV339" s="527"/>
      <c r="GW339" s="527"/>
      <c r="GX339" s="527"/>
      <c r="GY339" s="527"/>
      <c r="GZ339" s="527"/>
      <c r="HA339" s="527"/>
      <c r="HB339" s="527"/>
      <c r="HC339" s="527"/>
      <c r="HD339" s="527"/>
      <c r="HE339" s="844"/>
      <c r="HF339" s="844"/>
      <c r="HG339" s="844"/>
      <c r="HH339" s="844"/>
      <c r="HI339" s="844"/>
      <c r="HJ339" s="844"/>
      <c r="HK339" s="844"/>
      <c r="HL339" s="844"/>
      <c r="HM339" s="844"/>
      <c r="HN339" s="844"/>
      <c r="HP339" s="466"/>
      <c r="HQ339" s="466"/>
      <c r="HR339" s="466"/>
      <c r="HS339" s="415"/>
      <c r="HT339" s="2292"/>
    </row>
    <row r="340" spans="3:228">
      <c r="C340" s="466"/>
      <c r="D340" s="466"/>
      <c r="E340" s="466"/>
      <c r="F340" s="466"/>
      <c r="G340" s="466"/>
      <c r="H340" s="466"/>
      <c r="I340" s="466"/>
      <c r="J340" s="466"/>
      <c r="K340" s="466"/>
      <c r="L340" s="466"/>
      <c r="M340" s="466"/>
      <c r="N340" s="466"/>
      <c r="O340" s="466"/>
      <c r="P340" s="510"/>
      <c r="Q340" s="510"/>
      <c r="R340" s="510"/>
      <c r="S340" s="510"/>
      <c r="T340" s="510"/>
      <c r="U340" s="510"/>
      <c r="V340" s="510"/>
      <c r="W340" s="510"/>
      <c r="X340" s="510"/>
      <c r="Y340" s="510"/>
      <c r="Z340" s="510"/>
      <c r="AA340" s="510"/>
      <c r="AB340" s="510"/>
      <c r="AC340" s="510"/>
      <c r="AD340" s="510"/>
      <c r="AE340" s="510"/>
      <c r="AF340" s="510"/>
      <c r="AG340" s="510"/>
      <c r="AH340" s="510"/>
      <c r="AI340" s="510"/>
      <c r="AJ340" s="510"/>
      <c r="AK340" s="510"/>
      <c r="AL340" s="510"/>
      <c r="AM340" s="510"/>
      <c r="AN340" s="510"/>
      <c r="AO340" s="510"/>
      <c r="AP340" s="510"/>
      <c r="AQ340" s="510"/>
      <c r="AR340" s="510"/>
      <c r="AS340" s="510"/>
      <c r="AT340" s="510"/>
      <c r="AU340" s="510"/>
      <c r="AV340" s="510"/>
      <c r="AW340" s="510"/>
      <c r="AX340" s="510"/>
      <c r="AY340" s="510"/>
      <c r="AZ340" s="466"/>
      <c r="BA340" s="466"/>
      <c r="BB340" s="466"/>
      <c r="BC340" s="466"/>
      <c r="BD340" s="466"/>
      <c r="BE340" s="466"/>
      <c r="BF340" s="466"/>
      <c r="BG340" s="466"/>
      <c r="BH340" s="466"/>
      <c r="BI340" s="466"/>
      <c r="BJ340" s="466"/>
      <c r="BK340" s="466"/>
      <c r="BL340" s="466"/>
      <c r="BM340" s="466"/>
      <c r="BN340" s="466"/>
      <c r="BO340" s="466"/>
      <c r="BP340" s="466"/>
      <c r="BQ340" s="466"/>
      <c r="BR340" s="466"/>
      <c r="BS340" s="466"/>
      <c r="BT340" s="466"/>
      <c r="BU340" s="466"/>
      <c r="BV340" s="466"/>
      <c r="BW340" s="466"/>
      <c r="BX340" s="466"/>
      <c r="BY340" s="466"/>
      <c r="BZ340" s="466"/>
      <c r="CA340" s="466"/>
      <c r="CB340" s="466"/>
      <c r="CC340" s="466"/>
      <c r="CD340" s="466"/>
      <c r="CE340" s="466"/>
      <c r="CF340" s="466"/>
      <c r="CG340" s="466"/>
      <c r="CH340" s="466"/>
      <c r="CI340" s="466"/>
      <c r="CJ340" s="466"/>
      <c r="CK340" s="466"/>
      <c r="CL340" s="466"/>
      <c r="CM340" s="466"/>
      <c r="CN340" s="466"/>
      <c r="CO340" s="466"/>
      <c r="CP340" s="466"/>
      <c r="CQ340" s="466"/>
      <c r="CR340" s="466"/>
      <c r="CS340" s="466"/>
      <c r="CT340" s="466"/>
      <c r="CU340" s="466"/>
      <c r="CV340" s="466"/>
      <c r="CW340" s="466"/>
      <c r="CX340" s="466"/>
      <c r="CY340" s="466"/>
      <c r="CZ340" s="466"/>
      <c r="DA340" s="466"/>
      <c r="DB340" s="466"/>
      <c r="DC340" s="466"/>
      <c r="DD340" s="466"/>
      <c r="DE340" s="466"/>
      <c r="DF340" s="466"/>
      <c r="DG340" s="466"/>
      <c r="FE340" s="527"/>
      <c r="FF340" s="466"/>
      <c r="FG340" s="466"/>
      <c r="FH340" s="466"/>
      <c r="FI340" s="466"/>
      <c r="FJ340" s="466"/>
      <c r="FK340" s="466"/>
      <c r="FL340" s="466"/>
      <c r="FM340" s="466"/>
      <c r="FN340" s="466"/>
      <c r="FO340" s="466"/>
      <c r="FP340" s="466"/>
      <c r="FQ340" s="466"/>
      <c r="FR340" s="466"/>
      <c r="FS340" s="466"/>
      <c r="FT340" s="466"/>
      <c r="FU340" s="466"/>
      <c r="FV340" s="466"/>
      <c r="FW340" s="466"/>
      <c r="FX340" s="466"/>
      <c r="FY340" s="466"/>
      <c r="FZ340" s="527"/>
      <c r="GA340" s="527"/>
      <c r="GB340" s="527"/>
      <c r="GC340" s="527"/>
      <c r="GD340" s="527"/>
      <c r="GE340" s="527"/>
      <c r="GF340" s="527"/>
      <c r="GG340" s="527"/>
      <c r="GH340" s="527"/>
      <c r="GI340" s="527"/>
      <c r="GJ340" s="527"/>
      <c r="GK340" s="527"/>
      <c r="GL340" s="527"/>
      <c r="GM340" s="527"/>
      <c r="GN340" s="527"/>
      <c r="GV340" s="527"/>
      <c r="GW340" s="527"/>
      <c r="GX340" s="527"/>
      <c r="GY340" s="527"/>
      <c r="GZ340" s="527"/>
      <c r="HA340" s="527"/>
      <c r="HB340" s="527"/>
      <c r="HC340" s="527"/>
      <c r="HD340" s="527"/>
      <c r="HE340" s="844"/>
      <c r="HF340" s="844"/>
      <c r="HG340" s="844"/>
      <c r="HH340" s="844"/>
      <c r="HI340" s="844"/>
      <c r="HJ340" s="844"/>
      <c r="HK340" s="844"/>
      <c r="HL340" s="844"/>
      <c r="HM340" s="844"/>
      <c r="HN340" s="844"/>
      <c r="HP340" s="466"/>
      <c r="HQ340" s="466"/>
      <c r="HR340" s="466"/>
      <c r="HS340" s="415"/>
      <c r="HT340" s="2292"/>
    </row>
    <row r="341" spans="3:228">
      <c r="C341" s="466"/>
      <c r="D341" s="466"/>
      <c r="E341" s="466"/>
      <c r="F341" s="466"/>
      <c r="G341" s="466"/>
      <c r="H341" s="466"/>
      <c r="I341" s="466"/>
      <c r="J341" s="466"/>
      <c r="K341" s="466"/>
      <c r="L341" s="466"/>
      <c r="M341" s="466"/>
      <c r="N341" s="466"/>
      <c r="O341" s="466"/>
      <c r="P341" s="510"/>
      <c r="Q341" s="510"/>
      <c r="R341" s="510"/>
      <c r="S341" s="510"/>
      <c r="T341" s="510"/>
      <c r="U341" s="510"/>
      <c r="V341" s="510"/>
      <c r="W341" s="510"/>
      <c r="X341" s="510"/>
      <c r="Y341" s="510"/>
      <c r="Z341" s="510"/>
      <c r="AA341" s="510"/>
      <c r="AB341" s="510"/>
      <c r="AC341" s="510"/>
      <c r="AD341" s="510"/>
      <c r="AE341" s="510"/>
      <c r="AF341" s="510"/>
      <c r="AG341" s="510"/>
      <c r="AH341" s="510"/>
      <c r="AI341" s="510"/>
      <c r="AJ341" s="510"/>
      <c r="AK341" s="510"/>
      <c r="AL341" s="510"/>
      <c r="AM341" s="510"/>
      <c r="AN341" s="510"/>
      <c r="AO341" s="510"/>
      <c r="AP341" s="510"/>
      <c r="AQ341" s="510"/>
      <c r="AR341" s="510"/>
      <c r="AS341" s="510"/>
      <c r="AT341" s="510"/>
      <c r="AU341" s="510"/>
      <c r="AV341" s="510"/>
      <c r="AW341" s="510"/>
      <c r="AX341" s="510"/>
      <c r="AY341" s="510"/>
      <c r="AZ341" s="466"/>
      <c r="BA341" s="466"/>
      <c r="BB341" s="466"/>
      <c r="BC341" s="466"/>
      <c r="BD341" s="466"/>
      <c r="BE341" s="466"/>
      <c r="BF341" s="466"/>
      <c r="BG341" s="466"/>
      <c r="BH341" s="466"/>
      <c r="BI341" s="466"/>
      <c r="BJ341" s="466"/>
      <c r="BK341" s="466"/>
      <c r="BL341" s="466"/>
      <c r="BM341" s="466"/>
      <c r="BN341" s="466"/>
      <c r="BO341" s="466"/>
      <c r="BP341" s="466"/>
      <c r="BQ341" s="466"/>
      <c r="BR341" s="466"/>
      <c r="BS341" s="466"/>
      <c r="BT341" s="466"/>
      <c r="BU341" s="466"/>
      <c r="BV341" s="466"/>
      <c r="BW341" s="466"/>
      <c r="BX341" s="466"/>
      <c r="BY341" s="466"/>
      <c r="BZ341" s="466"/>
      <c r="CA341" s="466"/>
      <c r="CB341" s="466"/>
      <c r="CC341" s="466"/>
      <c r="CD341" s="466"/>
      <c r="CE341" s="466"/>
      <c r="CF341" s="466"/>
      <c r="CG341" s="466"/>
      <c r="CH341" s="466"/>
      <c r="CI341" s="466"/>
      <c r="CJ341" s="466"/>
      <c r="CK341" s="466"/>
      <c r="CL341" s="466"/>
      <c r="CM341" s="466"/>
      <c r="CN341" s="466"/>
      <c r="CO341" s="466"/>
      <c r="CP341" s="466"/>
      <c r="CQ341" s="466"/>
      <c r="CR341" s="466"/>
      <c r="CS341" s="466"/>
      <c r="CT341" s="466"/>
      <c r="CU341" s="466"/>
      <c r="CV341" s="466"/>
      <c r="CW341" s="466"/>
      <c r="CX341" s="466"/>
      <c r="CY341" s="466"/>
      <c r="CZ341" s="466"/>
      <c r="DA341" s="466"/>
      <c r="DB341" s="466"/>
      <c r="DC341" s="466"/>
      <c r="DD341" s="466"/>
      <c r="DE341" s="466"/>
      <c r="DF341" s="466"/>
      <c r="DG341" s="466"/>
      <c r="FE341" s="527"/>
      <c r="FF341" s="466"/>
      <c r="FG341" s="466"/>
      <c r="FH341" s="466"/>
      <c r="FI341" s="466"/>
      <c r="FJ341" s="466"/>
      <c r="FK341" s="466"/>
      <c r="FL341" s="466"/>
      <c r="FM341" s="466"/>
      <c r="FN341" s="466"/>
      <c r="FO341" s="466"/>
      <c r="FP341" s="466"/>
      <c r="FQ341" s="466"/>
      <c r="FR341" s="466"/>
      <c r="FS341" s="466"/>
      <c r="FT341" s="466"/>
      <c r="FU341" s="466"/>
      <c r="FV341" s="466"/>
      <c r="FW341" s="466"/>
      <c r="FX341" s="466"/>
      <c r="FY341" s="466"/>
      <c r="FZ341" s="527"/>
      <c r="GA341" s="527"/>
      <c r="GB341" s="527"/>
      <c r="GC341" s="527"/>
      <c r="GD341" s="527"/>
      <c r="GE341" s="527"/>
      <c r="GF341" s="527"/>
      <c r="GG341" s="527"/>
      <c r="GH341" s="527"/>
      <c r="GI341" s="527"/>
      <c r="GJ341" s="527"/>
      <c r="GK341" s="527"/>
      <c r="GL341" s="527"/>
      <c r="GM341" s="527"/>
      <c r="GN341" s="527"/>
      <c r="GV341" s="527"/>
      <c r="GW341" s="527"/>
      <c r="GX341" s="527"/>
      <c r="GY341" s="527"/>
      <c r="GZ341" s="527"/>
      <c r="HA341" s="527"/>
      <c r="HB341" s="527"/>
      <c r="HC341" s="527"/>
      <c r="HD341" s="527"/>
      <c r="HE341" s="844"/>
      <c r="HF341" s="844"/>
      <c r="HG341" s="844"/>
      <c r="HH341" s="844"/>
      <c r="HI341" s="844"/>
      <c r="HJ341" s="844"/>
      <c r="HK341" s="844"/>
      <c r="HL341" s="844"/>
      <c r="HM341" s="844"/>
      <c r="HN341" s="844"/>
      <c r="HP341" s="466"/>
      <c r="HQ341" s="466"/>
      <c r="HR341" s="466"/>
      <c r="HS341" s="415"/>
      <c r="HT341" s="2292"/>
    </row>
    <row r="342" spans="3:228">
      <c r="C342" s="466"/>
      <c r="D342" s="466"/>
      <c r="E342" s="466"/>
      <c r="F342" s="466"/>
      <c r="G342" s="466"/>
      <c r="H342" s="466"/>
      <c r="I342" s="466"/>
      <c r="J342" s="466"/>
      <c r="K342" s="466"/>
      <c r="L342" s="466"/>
      <c r="M342" s="466"/>
      <c r="N342" s="466"/>
      <c r="O342" s="466"/>
      <c r="P342" s="510"/>
      <c r="Q342" s="510"/>
      <c r="R342" s="510"/>
      <c r="S342" s="510"/>
      <c r="T342" s="510"/>
      <c r="U342" s="510"/>
      <c r="V342" s="510"/>
      <c r="W342" s="510"/>
      <c r="X342" s="510"/>
      <c r="Y342" s="510"/>
      <c r="Z342" s="510"/>
      <c r="AA342" s="510"/>
      <c r="AB342" s="510"/>
      <c r="AC342" s="510"/>
      <c r="AD342" s="510"/>
      <c r="AE342" s="510"/>
      <c r="AF342" s="510"/>
      <c r="AG342" s="510"/>
      <c r="AH342" s="510"/>
      <c r="AI342" s="510"/>
      <c r="AJ342" s="510"/>
      <c r="AK342" s="510"/>
      <c r="AL342" s="510"/>
      <c r="AM342" s="510"/>
      <c r="AN342" s="510"/>
      <c r="AO342" s="510"/>
      <c r="AP342" s="510"/>
      <c r="AQ342" s="510"/>
      <c r="AR342" s="510"/>
      <c r="AS342" s="510"/>
      <c r="AT342" s="510"/>
      <c r="AU342" s="510"/>
      <c r="AV342" s="510"/>
      <c r="AW342" s="510"/>
      <c r="AX342" s="510"/>
      <c r="AY342" s="510"/>
      <c r="AZ342" s="466"/>
      <c r="BA342" s="466"/>
      <c r="BB342" s="466"/>
      <c r="BC342" s="466"/>
      <c r="BD342" s="466"/>
      <c r="BE342" s="466"/>
      <c r="BF342" s="466"/>
      <c r="BG342" s="466"/>
      <c r="BH342" s="466"/>
      <c r="BI342" s="466"/>
      <c r="BJ342" s="466"/>
      <c r="BK342" s="466"/>
      <c r="BL342" s="466"/>
      <c r="BM342" s="466"/>
      <c r="BN342" s="466"/>
      <c r="BO342" s="466"/>
      <c r="BP342" s="466"/>
      <c r="BQ342" s="466"/>
      <c r="BR342" s="466"/>
      <c r="BS342" s="466"/>
      <c r="BT342" s="466"/>
      <c r="BU342" s="466"/>
      <c r="BV342" s="466"/>
      <c r="BW342" s="466"/>
      <c r="BX342" s="466"/>
      <c r="BY342" s="466"/>
      <c r="BZ342" s="466"/>
      <c r="CA342" s="466"/>
      <c r="CB342" s="466"/>
      <c r="CC342" s="466"/>
      <c r="CD342" s="466"/>
      <c r="CE342" s="466"/>
      <c r="CF342" s="466"/>
      <c r="CG342" s="466"/>
      <c r="CH342" s="466"/>
      <c r="CI342" s="466"/>
      <c r="CJ342" s="466"/>
      <c r="CK342" s="466"/>
      <c r="CL342" s="466"/>
      <c r="CM342" s="466"/>
      <c r="CN342" s="466"/>
      <c r="CO342" s="466"/>
      <c r="CP342" s="466"/>
      <c r="CQ342" s="466"/>
      <c r="CR342" s="466"/>
      <c r="CS342" s="466"/>
      <c r="CT342" s="466"/>
      <c r="CU342" s="466"/>
      <c r="CV342" s="466"/>
      <c r="CW342" s="466"/>
      <c r="CX342" s="466"/>
      <c r="CY342" s="466"/>
      <c r="CZ342" s="466"/>
      <c r="DA342" s="466"/>
      <c r="DB342" s="466"/>
      <c r="DC342" s="466"/>
      <c r="DD342" s="466"/>
      <c r="DE342" s="466"/>
      <c r="DF342" s="466"/>
      <c r="DG342" s="466"/>
      <c r="FE342" s="527"/>
      <c r="FF342" s="466"/>
      <c r="FG342" s="466"/>
      <c r="FH342" s="466"/>
      <c r="FI342" s="466"/>
      <c r="FJ342" s="466"/>
      <c r="FK342" s="466"/>
      <c r="FL342" s="466"/>
      <c r="FM342" s="466"/>
      <c r="FN342" s="466"/>
      <c r="FO342" s="466"/>
      <c r="FP342" s="466"/>
      <c r="FQ342" s="466"/>
      <c r="FR342" s="466"/>
      <c r="FS342" s="466"/>
      <c r="FT342" s="466"/>
      <c r="FU342" s="466"/>
      <c r="FV342" s="466"/>
      <c r="FW342" s="466"/>
      <c r="FX342" s="466"/>
      <c r="FY342" s="466"/>
      <c r="FZ342" s="527"/>
      <c r="GA342" s="527"/>
      <c r="GB342" s="527"/>
      <c r="GC342" s="527"/>
      <c r="GD342" s="527"/>
      <c r="GE342" s="527"/>
      <c r="GF342" s="527"/>
      <c r="GG342" s="527"/>
      <c r="GH342" s="527"/>
      <c r="GI342" s="527"/>
      <c r="GJ342" s="527"/>
      <c r="GK342" s="527"/>
      <c r="GL342" s="527"/>
      <c r="GM342" s="527"/>
      <c r="GN342" s="527"/>
      <c r="GV342" s="527"/>
      <c r="GW342" s="527"/>
      <c r="GX342" s="527"/>
      <c r="GY342" s="527"/>
      <c r="GZ342" s="527"/>
      <c r="HA342" s="527"/>
      <c r="HB342" s="527"/>
      <c r="HC342" s="527"/>
      <c r="HD342" s="527"/>
      <c r="HE342" s="844"/>
      <c r="HF342" s="844"/>
      <c r="HG342" s="844"/>
      <c r="HH342" s="844"/>
      <c r="HI342" s="844"/>
      <c r="HJ342" s="844"/>
      <c r="HK342" s="844"/>
      <c r="HL342" s="844"/>
      <c r="HM342" s="844"/>
      <c r="HN342" s="844"/>
      <c r="HP342" s="466"/>
      <c r="HQ342" s="466"/>
      <c r="HR342" s="466"/>
      <c r="HS342" s="415"/>
      <c r="HT342" s="2292"/>
    </row>
    <row r="343" spans="3:228">
      <c r="C343" s="466"/>
      <c r="D343" s="466"/>
      <c r="E343" s="466"/>
      <c r="F343" s="466"/>
      <c r="G343" s="466"/>
      <c r="H343" s="466"/>
      <c r="I343" s="466"/>
      <c r="J343" s="466"/>
      <c r="K343" s="466"/>
      <c r="L343" s="466"/>
      <c r="M343" s="466"/>
      <c r="N343" s="466"/>
      <c r="O343" s="466"/>
      <c r="P343" s="510"/>
      <c r="Q343" s="510"/>
      <c r="R343" s="510"/>
      <c r="S343" s="510"/>
      <c r="T343" s="510"/>
      <c r="U343" s="510"/>
      <c r="V343" s="510"/>
      <c r="W343" s="510"/>
      <c r="X343" s="510"/>
      <c r="Y343" s="510"/>
      <c r="Z343" s="510"/>
      <c r="AA343" s="510"/>
      <c r="AB343" s="510"/>
      <c r="AC343" s="510"/>
      <c r="AD343" s="510"/>
      <c r="AE343" s="510"/>
      <c r="AF343" s="510"/>
      <c r="AG343" s="510"/>
      <c r="AH343" s="510"/>
      <c r="AI343" s="510"/>
      <c r="AJ343" s="510"/>
      <c r="AK343" s="510"/>
      <c r="AL343" s="510"/>
      <c r="AM343" s="510"/>
      <c r="AN343" s="510"/>
      <c r="AO343" s="510"/>
      <c r="AP343" s="510"/>
      <c r="AQ343" s="510"/>
      <c r="AR343" s="510"/>
      <c r="AS343" s="510"/>
      <c r="AT343" s="510"/>
      <c r="AU343" s="510"/>
      <c r="AV343" s="510"/>
      <c r="AW343" s="510"/>
      <c r="AX343" s="510"/>
      <c r="AY343" s="510"/>
      <c r="AZ343" s="466"/>
      <c r="BA343" s="466"/>
      <c r="BB343" s="466"/>
      <c r="BC343" s="466"/>
      <c r="BD343" s="466"/>
      <c r="BE343" s="466"/>
      <c r="BF343" s="466"/>
      <c r="BG343" s="466"/>
      <c r="BH343" s="466"/>
      <c r="BI343" s="466"/>
      <c r="BJ343" s="466"/>
      <c r="BK343" s="466"/>
      <c r="BL343" s="466"/>
      <c r="BM343" s="466"/>
      <c r="BN343" s="466"/>
      <c r="BO343" s="466"/>
      <c r="BP343" s="466"/>
      <c r="BQ343" s="466"/>
      <c r="BR343" s="466"/>
      <c r="BS343" s="466"/>
      <c r="BT343" s="466"/>
      <c r="BU343" s="466"/>
      <c r="BV343" s="466"/>
      <c r="BW343" s="466"/>
      <c r="BX343" s="466"/>
      <c r="BY343" s="466"/>
      <c r="BZ343" s="466"/>
      <c r="CA343" s="466"/>
      <c r="CB343" s="466"/>
      <c r="CC343" s="466"/>
      <c r="CD343" s="466"/>
      <c r="CE343" s="466"/>
      <c r="CF343" s="466"/>
      <c r="CG343" s="466"/>
      <c r="CH343" s="466"/>
      <c r="CI343" s="466"/>
      <c r="CJ343" s="466"/>
      <c r="CK343" s="466"/>
      <c r="CL343" s="466"/>
      <c r="CM343" s="466"/>
      <c r="CN343" s="466"/>
      <c r="CO343" s="466"/>
      <c r="CP343" s="466"/>
      <c r="CQ343" s="466"/>
      <c r="CR343" s="466"/>
      <c r="CS343" s="466"/>
      <c r="CT343" s="466"/>
      <c r="CU343" s="466"/>
      <c r="CV343" s="466"/>
      <c r="CW343" s="466"/>
      <c r="CX343" s="466"/>
      <c r="CY343" s="466"/>
      <c r="CZ343" s="466"/>
      <c r="DA343" s="466"/>
      <c r="DB343" s="466"/>
      <c r="DC343" s="466"/>
      <c r="DD343" s="466"/>
      <c r="DE343" s="466"/>
      <c r="DF343" s="466"/>
      <c r="DG343" s="466"/>
      <c r="FE343" s="527"/>
      <c r="FF343" s="466"/>
      <c r="FG343" s="466"/>
      <c r="FH343" s="466"/>
      <c r="FI343" s="466"/>
      <c r="FJ343" s="466"/>
      <c r="FK343" s="466"/>
      <c r="FL343" s="466"/>
      <c r="FM343" s="466"/>
      <c r="FN343" s="466"/>
      <c r="FO343" s="466"/>
      <c r="FP343" s="466"/>
      <c r="FQ343" s="466"/>
      <c r="FR343" s="466"/>
      <c r="FS343" s="466"/>
      <c r="FT343" s="466"/>
      <c r="FU343" s="466"/>
      <c r="FV343" s="466"/>
      <c r="FW343" s="466"/>
      <c r="FX343" s="466"/>
      <c r="FY343" s="466"/>
      <c r="FZ343" s="527"/>
      <c r="GA343" s="527"/>
      <c r="GB343" s="527"/>
      <c r="GC343" s="527"/>
      <c r="GD343" s="527"/>
      <c r="GE343" s="527"/>
      <c r="GF343" s="527"/>
      <c r="GG343" s="527"/>
      <c r="GH343" s="527"/>
      <c r="GI343" s="527"/>
      <c r="GJ343" s="527"/>
      <c r="GK343" s="527"/>
      <c r="GL343" s="527"/>
      <c r="GM343" s="527"/>
      <c r="GN343" s="527"/>
      <c r="GV343" s="527"/>
      <c r="GW343" s="527"/>
      <c r="GX343" s="527"/>
      <c r="GY343" s="527"/>
      <c r="GZ343" s="527"/>
      <c r="HA343" s="527"/>
      <c r="HB343" s="527"/>
      <c r="HC343" s="527"/>
      <c r="HD343" s="527"/>
      <c r="HE343" s="844"/>
      <c r="HF343" s="844"/>
      <c r="HG343" s="844"/>
      <c r="HH343" s="844"/>
      <c r="HI343" s="844"/>
      <c r="HJ343" s="844"/>
      <c r="HK343" s="844"/>
      <c r="HL343" s="844"/>
      <c r="HM343" s="844"/>
      <c r="HN343" s="844"/>
      <c r="HP343" s="466"/>
      <c r="HQ343" s="466"/>
      <c r="HR343" s="466"/>
      <c r="HS343" s="415"/>
      <c r="HT343" s="2292"/>
    </row>
    <row r="344" spans="3:228">
      <c r="C344" s="466"/>
      <c r="D344" s="466"/>
      <c r="E344" s="466"/>
      <c r="F344" s="466"/>
      <c r="G344" s="466"/>
      <c r="H344" s="466"/>
      <c r="I344" s="466"/>
      <c r="J344" s="466"/>
      <c r="K344" s="466"/>
      <c r="L344" s="466"/>
      <c r="M344" s="466"/>
      <c r="N344" s="466"/>
      <c r="O344" s="466"/>
      <c r="P344" s="510"/>
      <c r="Q344" s="510"/>
      <c r="R344" s="510"/>
      <c r="S344" s="510"/>
      <c r="T344" s="510"/>
      <c r="U344" s="510"/>
      <c r="V344" s="510"/>
      <c r="W344" s="510"/>
      <c r="X344" s="510"/>
      <c r="Y344" s="510"/>
      <c r="Z344" s="510"/>
      <c r="AA344" s="510"/>
      <c r="AB344" s="510"/>
      <c r="AC344" s="510"/>
      <c r="AD344" s="510"/>
      <c r="AE344" s="510"/>
      <c r="AF344" s="510"/>
      <c r="AG344" s="510"/>
      <c r="AH344" s="510"/>
      <c r="AI344" s="510"/>
      <c r="AJ344" s="510"/>
      <c r="AK344" s="510"/>
      <c r="AL344" s="510"/>
      <c r="AM344" s="510"/>
      <c r="AN344" s="510"/>
      <c r="AO344" s="510"/>
      <c r="AP344" s="510"/>
      <c r="AQ344" s="510"/>
      <c r="AR344" s="510"/>
      <c r="AS344" s="510"/>
      <c r="AT344" s="510"/>
      <c r="AU344" s="510"/>
      <c r="AV344" s="510"/>
      <c r="AW344" s="510"/>
      <c r="AX344" s="510"/>
      <c r="AY344" s="510"/>
      <c r="AZ344" s="466"/>
      <c r="BA344" s="466"/>
      <c r="BB344" s="466"/>
      <c r="BC344" s="466"/>
      <c r="BD344" s="466"/>
      <c r="BE344" s="466"/>
      <c r="BF344" s="466"/>
      <c r="BG344" s="466"/>
      <c r="BH344" s="466"/>
      <c r="BI344" s="466"/>
      <c r="BJ344" s="466"/>
      <c r="BK344" s="466"/>
      <c r="BL344" s="466"/>
      <c r="BM344" s="466"/>
      <c r="BN344" s="466"/>
      <c r="BO344" s="466"/>
      <c r="BP344" s="466"/>
      <c r="BQ344" s="466"/>
      <c r="BR344" s="466"/>
      <c r="BS344" s="466"/>
      <c r="BT344" s="466"/>
      <c r="BU344" s="466"/>
      <c r="BV344" s="466"/>
      <c r="BW344" s="466"/>
      <c r="BX344" s="466"/>
      <c r="BY344" s="466"/>
      <c r="BZ344" s="466"/>
      <c r="CA344" s="466"/>
      <c r="CB344" s="466"/>
      <c r="CC344" s="466"/>
      <c r="CD344" s="466"/>
      <c r="CE344" s="466"/>
      <c r="CF344" s="466"/>
      <c r="CG344" s="466"/>
      <c r="CH344" s="466"/>
      <c r="CI344" s="466"/>
      <c r="CJ344" s="466"/>
      <c r="CK344" s="466"/>
      <c r="CL344" s="466"/>
      <c r="CM344" s="466"/>
      <c r="CN344" s="466"/>
      <c r="CO344" s="466"/>
      <c r="CP344" s="466"/>
      <c r="CQ344" s="466"/>
      <c r="CR344" s="466"/>
      <c r="CS344" s="466"/>
      <c r="CT344" s="466"/>
      <c r="CU344" s="466"/>
      <c r="CV344" s="466"/>
      <c r="CW344" s="466"/>
      <c r="CX344" s="466"/>
      <c r="CY344" s="466"/>
      <c r="CZ344" s="466"/>
      <c r="DA344" s="466"/>
      <c r="DB344" s="466"/>
      <c r="DC344" s="466"/>
      <c r="DD344" s="466"/>
      <c r="DE344" s="466"/>
      <c r="DF344" s="466"/>
      <c r="DG344" s="466"/>
      <c r="FE344" s="527"/>
      <c r="FF344" s="466"/>
      <c r="FG344" s="466"/>
      <c r="FH344" s="466"/>
      <c r="FI344" s="466"/>
      <c r="FJ344" s="466"/>
      <c r="FK344" s="466"/>
      <c r="FL344" s="466"/>
      <c r="FM344" s="466"/>
      <c r="FN344" s="466"/>
      <c r="FO344" s="466"/>
      <c r="FP344" s="466"/>
      <c r="FQ344" s="466"/>
      <c r="FR344" s="466"/>
      <c r="FS344" s="466"/>
      <c r="FT344" s="466"/>
      <c r="FU344" s="466"/>
      <c r="FV344" s="466"/>
      <c r="FW344" s="466"/>
      <c r="FX344" s="466"/>
      <c r="FY344" s="466"/>
      <c r="FZ344" s="527"/>
      <c r="GA344" s="527"/>
      <c r="GB344" s="527"/>
      <c r="GC344" s="527"/>
      <c r="GD344" s="527"/>
      <c r="GE344" s="527"/>
      <c r="GF344" s="527"/>
      <c r="GG344" s="527"/>
      <c r="GH344" s="527"/>
      <c r="GI344" s="527"/>
      <c r="GJ344" s="527"/>
      <c r="GK344" s="527"/>
      <c r="GL344" s="527"/>
      <c r="GM344" s="527"/>
      <c r="GN344" s="527"/>
      <c r="GV344" s="527"/>
      <c r="GW344" s="527"/>
      <c r="GX344" s="527"/>
      <c r="GY344" s="527"/>
      <c r="GZ344" s="527"/>
      <c r="HA344" s="527"/>
      <c r="HB344" s="527"/>
      <c r="HC344" s="527"/>
      <c r="HD344" s="527"/>
      <c r="HE344" s="844"/>
      <c r="HF344" s="844"/>
      <c r="HG344" s="844"/>
      <c r="HH344" s="844"/>
      <c r="HI344" s="844"/>
      <c r="HJ344" s="844"/>
      <c r="HK344" s="844"/>
      <c r="HL344" s="844"/>
      <c r="HM344" s="844"/>
      <c r="HN344" s="844"/>
      <c r="HP344" s="466"/>
      <c r="HQ344" s="466"/>
      <c r="HR344" s="466"/>
      <c r="HS344" s="415"/>
      <c r="HT344" s="2292"/>
    </row>
    <row r="345" spans="3:228">
      <c r="C345" s="466"/>
      <c r="D345" s="466"/>
      <c r="E345" s="466"/>
      <c r="F345" s="466"/>
      <c r="G345" s="466"/>
      <c r="H345" s="466"/>
      <c r="I345" s="466"/>
      <c r="J345" s="466"/>
      <c r="K345" s="466"/>
      <c r="L345" s="466"/>
      <c r="M345" s="466"/>
      <c r="N345" s="466"/>
      <c r="O345" s="466"/>
      <c r="P345" s="510"/>
      <c r="Q345" s="510"/>
      <c r="R345" s="510"/>
      <c r="S345" s="510"/>
      <c r="T345" s="510"/>
      <c r="U345" s="510"/>
      <c r="V345" s="510"/>
      <c r="W345" s="510"/>
      <c r="X345" s="510"/>
      <c r="Y345" s="510"/>
      <c r="Z345" s="510"/>
      <c r="AA345" s="510"/>
      <c r="AB345" s="510"/>
      <c r="AC345" s="510"/>
      <c r="AD345" s="510"/>
      <c r="AE345" s="510"/>
      <c r="AF345" s="510"/>
      <c r="AG345" s="510"/>
      <c r="AH345" s="510"/>
      <c r="AI345" s="510"/>
      <c r="AJ345" s="510"/>
      <c r="AK345" s="510"/>
      <c r="AL345" s="510"/>
      <c r="AM345" s="510"/>
      <c r="AN345" s="510"/>
      <c r="AO345" s="510"/>
      <c r="AP345" s="510"/>
      <c r="AQ345" s="510"/>
      <c r="AR345" s="510"/>
      <c r="AS345" s="510"/>
      <c r="AT345" s="510"/>
      <c r="AU345" s="510"/>
      <c r="AV345" s="510"/>
      <c r="AW345" s="510"/>
      <c r="AX345" s="510"/>
      <c r="AY345" s="510"/>
      <c r="AZ345" s="466"/>
      <c r="BA345" s="466"/>
      <c r="BB345" s="466"/>
      <c r="BC345" s="466"/>
      <c r="BD345" s="466"/>
      <c r="BE345" s="466"/>
      <c r="BF345" s="466"/>
      <c r="BG345" s="466"/>
      <c r="BH345" s="466"/>
      <c r="BI345" s="466"/>
      <c r="BJ345" s="466"/>
      <c r="BK345" s="466"/>
      <c r="BL345" s="466"/>
      <c r="BM345" s="466"/>
      <c r="BN345" s="466"/>
      <c r="BO345" s="466"/>
      <c r="BP345" s="466"/>
      <c r="BQ345" s="466"/>
      <c r="BR345" s="466"/>
      <c r="BS345" s="466"/>
      <c r="BT345" s="466"/>
      <c r="BU345" s="466"/>
      <c r="BV345" s="466"/>
      <c r="BW345" s="466"/>
      <c r="BX345" s="466"/>
      <c r="BY345" s="466"/>
      <c r="BZ345" s="466"/>
      <c r="CA345" s="466"/>
      <c r="CB345" s="466"/>
      <c r="CC345" s="466"/>
      <c r="CD345" s="466"/>
      <c r="CE345" s="466"/>
      <c r="CF345" s="466"/>
      <c r="CG345" s="466"/>
      <c r="CH345" s="466"/>
      <c r="CI345" s="466"/>
      <c r="CJ345" s="466"/>
      <c r="CK345" s="466"/>
      <c r="CL345" s="466"/>
      <c r="CM345" s="466"/>
      <c r="CN345" s="466"/>
      <c r="CO345" s="466"/>
      <c r="CP345" s="466"/>
      <c r="CQ345" s="466"/>
      <c r="CR345" s="466"/>
      <c r="CS345" s="466"/>
      <c r="CT345" s="466"/>
      <c r="CU345" s="466"/>
      <c r="CV345" s="466"/>
      <c r="CW345" s="466"/>
      <c r="CX345" s="466"/>
      <c r="CY345" s="466"/>
      <c r="CZ345" s="466"/>
      <c r="DA345" s="466"/>
      <c r="DB345" s="466"/>
      <c r="DC345" s="466"/>
      <c r="DD345" s="466"/>
      <c r="DE345" s="466"/>
      <c r="DF345" s="466"/>
      <c r="DG345" s="466"/>
      <c r="FE345" s="527"/>
      <c r="FF345" s="466"/>
      <c r="FG345" s="466"/>
      <c r="FH345" s="466"/>
      <c r="FI345" s="466"/>
      <c r="FJ345" s="466"/>
      <c r="FK345" s="466"/>
      <c r="FL345" s="466"/>
      <c r="FM345" s="466"/>
      <c r="FN345" s="466"/>
      <c r="FO345" s="466"/>
      <c r="FP345" s="466"/>
      <c r="FQ345" s="466"/>
      <c r="FR345" s="466"/>
      <c r="FS345" s="466"/>
      <c r="FT345" s="466"/>
      <c r="FU345" s="466"/>
      <c r="FV345" s="466"/>
      <c r="FW345" s="466"/>
      <c r="FX345" s="466"/>
      <c r="FY345" s="466"/>
      <c r="FZ345" s="527"/>
      <c r="GA345" s="527"/>
      <c r="GB345" s="527"/>
      <c r="GC345" s="527"/>
      <c r="GD345" s="527"/>
      <c r="GE345" s="527"/>
      <c r="GF345" s="527"/>
      <c r="GG345" s="527"/>
      <c r="GH345" s="527"/>
      <c r="GI345" s="527"/>
      <c r="GJ345" s="527"/>
      <c r="GK345" s="527"/>
      <c r="GL345" s="527"/>
      <c r="GM345" s="527"/>
      <c r="GN345" s="527"/>
      <c r="GV345" s="527"/>
      <c r="GW345" s="527"/>
      <c r="GX345" s="527"/>
      <c r="GY345" s="527"/>
      <c r="GZ345" s="527"/>
      <c r="HA345" s="527"/>
      <c r="HB345" s="527"/>
      <c r="HC345" s="527"/>
      <c r="HD345" s="527"/>
      <c r="HE345" s="844"/>
      <c r="HF345" s="844"/>
      <c r="HG345" s="844"/>
      <c r="HH345" s="844"/>
      <c r="HI345" s="844"/>
      <c r="HJ345" s="844"/>
      <c r="HK345" s="844"/>
      <c r="HL345" s="844"/>
      <c r="HM345" s="844"/>
      <c r="HN345" s="844"/>
      <c r="HP345" s="466"/>
      <c r="HQ345" s="466"/>
      <c r="HR345" s="466"/>
      <c r="HS345" s="415"/>
      <c r="HT345" s="2292"/>
    </row>
    <row r="346" spans="3:228">
      <c r="C346" s="466"/>
      <c r="D346" s="466"/>
      <c r="E346" s="466"/>
      <c r="F346" s="466"/>
      <c r="G346" s="466"/>
      <c r="H346" s="466"/>
      <c r="I346" s="466"/>
      <c r="J346" s="466"/>
      <c r="K346" s="466"/>
      <c r="L346" s="466"/>
      <c r="M346" s="466"/>
      <c r="N346" s="466"/>
      <c r="O346" s="466"/>
      <c r="P346" s="510"/>
      <c r="Q346" s="510"/>
      <c r="R346" s="510"/>
      <c r="S346" s="510"/>
      <c r="T346" s="510"/>
      <c r="U346" s="510"/>
      <c r="V346" s="510"/>
      <c r="W346" s="510"/>
      <c r="X346" s="510"/>
      <c r="Y346" s="510"/>
      <c r="Z346" s="510"/>
      <c r="AA346" s="510"/>
      <c r="AB346" s="510"/>
      <c r="AC346" s="510"/>
      <c r="AD346" s="510"/>
      <c r="AE346" s="510"/>
      <c r="AF346" s="510"/>
      <c r="AG346" s="510"/>
      <c r="AH346" s="510"/>
      <c r="AI346" s="510"/>
      <c r="AJ346" s="510"/>
      <c r="AK346" s="510"/>
      <c r="AL346" s="510"/>
      <c r="AM346" s="510"/>
      <c r="AN346" s="510"/>
      <c r="AO346" s="510"/>
      <c r="AP346" s="510"/>
      <c r="AQ346" s="510"/>
      <c r="AR346" s="510"/>
      <c r="AS346" s="510"/>
      <c r="AT346" s="510"/>
      <c r="AU346" s="510"/>
      <c r="AV346" s="510"/>
      <c r="AW346" s="510"/>
      <c r="AX346" s="510"/>
      <c r="AY346" s="510"/>
      <c r="AZ346" s="466"/>
      <c r="BA346" s="466"/>
      <c r="BB346" s="466"/>
      <c r="BC346" s="466"/>
      <c r="BD346" s="466"/>
      <c r="BE346" s="466"/>
      <c r="BF346" s="466"/>
      <c r="BG346" s="466"/>
      <c r="BH346" s="466"/>
      <c r="BI346" s="466"/>
      <c r="BJ346" s="466"/>
      <c r="BK346" s="466"/>
      <c r="BL346" s="466"/>
      <c r="BM346" s="466"/>
      <c r="BN346" s="466"/>
      <c r="BO346" s="466"/>
      <c r="BP346" s="466"/>
      <c r="BQ346" s="466"/>
      <c r="BR346" s="466"/>
      <c r="BS346" s="466"/>
      <c r="BT346" s="466"/>
      <c r="BU346" s="466"/>
      <c r="BV346" s="466"/>
      <c r="BW346" s="466"/>
      <c r="BX346" s="466"/>
      <c r="BY346" s="466"/>
      <c r="BZ346" s="466"/>
      <c r="CA346" s="466"/>
      <c r="CB346" s="466"/>
      <c r="CC346" s="466"/>
      <c r="CD346" s="466"/>
      <c r="CE346" s="466"/>
      <c r="CF346" s="466"/>
      <c r="CG346" s="466"/>
      <c r="CH346" s="466"/>
      <c r="CI346" s="466"/>
      <c r="CJ346" s="466"/>
      <c r="CK346" s="466"/>
      <c r="CL346" s="466"/>
      <c r="CM346" s="466"/>
      <c r="CN346" s="466"/>
      <c r="CO346" s="466"/>
      <c r="CP346" s="466"/>
      <c r="CQ346" s="466"/>
      <c r="CR346" s="466"/>
      <c r="CS346" s="466"/>
      <c r="CT346" s="466"/>
      <c r="CU346" s="466"/>
      <c r="CV346" s="466"/>
      <c r="CW346" s="466"/>
      <c r="CX346" s="466"/>
      <c r="CY346" s="466"/>
      <c r="CZ346" s="466"/>
      <c r="DA346" s="466"/>
      <c r="DB346" s="466"/>
      <c r="DC346" s="466"/>
      <c r="DD346" s="466"/>
      <c r="DE346" s="466"/>
      <c r="DF346" s="466"/>
      <c r="DG346" s="466"/>
      <c r="FE346" s="527"/>
      <c r="FF346" s="466"/>
      <c r="FG346" s="466"/>
      <c r="FH346" s="466"/>
      <c r="FI346" s="466"/>
      <c r="FJ346" s="466"/>
      <c r="FK346" s="466"/>
      <c r="FL346" s="466"/>
      <c r="FM346" s="466"/>
      <c r="FN346" s="466"/>
      <c r="FO346" s="466"/>
      <c r="FP346" s="466"/>
      <c r="FQ346" s="466"/>
      <c r="FR346" s="466"/>
      <c r="FS346" s="466"/>
      <c r="FT346" s="466"/>
      <c r="FU346" s="466"/>
      <c r="FV346" s="466"/>
      <c r="FW346" s="466"/>
      <c r="FX346" s="466"/>
      <c r="FY346" s="466"/>
      <c r="FZ346" s="527"/>
      <c r="GA346" s="527"/>
      <c r="GB346" s="527"/>
      <c r="GC346" s="527"/>
      <c r="GD346" s="527"/>
      <c r="GE346" s="527"/>
      <c r="GF346" s="527"/>
      <c r="GG346" s="527"/>
      <c r="GH346" s="527"/>
      <c r="GI346" s="527"/>
      <c r="GJ346" s="527"/>
      <c r="GK346" s="527"/>
      <c r="GL346" s="527"/>
      <c r="GM346" s="527"/>
      <c r="GN346" s="527"/>
      <c r="GV346" s="527"/>
      <c r="GW346" s="527"/>
      <c r="GX346" s="527"/>
      <c r="GY346" s="527"/>
      <c r="GZ346" s="527"/>
      <c r="HA346" s="527"/>
      <c r="HB346" s="527"/>
      <c r="HC346" s="527"/>
      <c r="HD346" s="527"/>
      <c r="HE346" s="844"/>
      <c r="HF346" s="844"/>
      <c r="HG346" s="844"/>
      <c r="HH346" s="844"/>
      <c r="HI346" s="844"/>
      <c r="HJ346" s="844"/>
      <c r="HK346" s="844"/>
      <c r="HL346" s="844"/>
      <c r="HM346" s="844"/>
      <c r="HN346" s="844"/>
      <c r="HP346" s="466"/>
      <c r="HQ346" s="466"/>
      <c r="HR346" s="466"/>
      <c r="HS346" s="415"/>
      <c r="HT346" s="2292"/>
    </row>
    <row r="347" spans="3:228">
      <c r="C347" s="466"/>
      <c r="D347" s="466"/>
      <c r="E347" s="466"/>
      <c r="F347" s="466"/>
      <c r="G347" s="466"/>
      <c r="H347" s="466"/>
      <c r="I347" s="466"/>
      <c r="J347" s="466"/>
      <c r="K347" s="466"/>
      <c r="L347" s="466"/>
      <c r="M347" s="466"/>
      <c r="N347" s="466"/>
      <c r="O347" s="466"/>
      <c r="P347" s="510"/>
      <c r="Q347" s="510"/>
      <c r="R347" s="510"/>
      <c r="S347" s="510"/>
      <c r="T347" s="510"/>
      <c r="U347" s="510"/>
      <c r="V347" s="510"/>
      <c r="W347" s="510"/>
      <c r="X347" s="510"/>
      <c r="Y347" s="510"/>
      <c r="Z347" s="510"/>
      <c r="AA347" s="510"/>
      <c r="AB347" s="510"/>
      <c r="AC347" s="510"/>
      <c r="AD347" s="510"/>
      <c r="AE347" s="510"/>
      <c r="AF347" s="510"/>
      <c r="AG347" s="510"/>
      <c r="AH347" s="510"/>
      <c r="AI347" s="510"/>
      <c r="AJ347" s="510"/>
      <c r="AK347" s="510"/>
      <c r="AL347" s="510"/>
      <c r="AM347" s="510"/>
      <c r="AN347" s="510"/>
      <c r="AO347" s="510"/>
      <c r="AP347" s="510"/>
      <c r="AQ347" s="510"/>
      <c r="AR347" s="510"/>
      <c r="AS347" s="510"/>
      <c r="AT347" s="510"/>
      <c r="AU347" s="510"/>
      <c r="AV347" s="510"/>
      <c r="AW347" s="510"/>
      <c r="AX347" s="510"/>
      <c r="AY347" s="510"/>
      <c r="AZ347" s="466"/>
      <c r="BA347" s="466"/>
      <c r="BB347" s="466"/>
      <c r="BC347" s="466"/>
      <c r="BD347" s="466"/>
      <c r="BE347" s="466"/>
      <c r="BF347" s="466"/>
      <c r="BG347" s="466"/>
      <c r="BH347" s="466"/>
      <c r="BI347" s="466"/>
      <c r="BJ347" s="466"/>
      <c r="BK347" s="466"/>
      <c r="BL347" s="466"/>
      <c r="BM347" s="466"/>
      <c r="BN347" s="466"/>
      <c r="BO347" s="466"/>
      <c r="BP347" s="466"/>
      <c r="BQ347" s="466"/>
      <c r="BR347" s="466"/>
      <c r="BS347" s="466"/>
      <c r="BT347" s="466"/>
      <c r="BU347" s="466"/>
      <c r="BV347" s="466"/>
      <c r="BW347" s="466"/>
      <c r="BX347" s="466"/>
      <c r="BY347" s="466"/>
      <c r="BZ347" s="466"/>
      <c r="CA347" s="466"/>
      <c r="CB347" s="466"/>
      <c r="CC347" s="466"/>
      <c r="CD347" s="466"/>
      <c r="CE347" s="466"/>
      <c r="CF347" s="466"/>
      <c r="CG347" s="466"/>
      <c r="CH347" s="466"/>
      <c r="CI347" s="466"/>
      <c r="CJ347" s="466"/>
      <c r="CK347" s="466"/>
      <c r="CL347" s="466"/>
      <c r="CM347" s="466"/>
      <c r="CN347" s="466"/>
      <c r="CO347" s="466"/>
      <c r="CP347" s="466"/>
      <c r="CQ347" s="466"/>
      <c r="CR347" s="466"/>
      <c r="CS347" s="466"/>
      <c r="CT347" s="466"/>
      <c r="CU347" s="466"/>
      <c r="CV347" s="466"/>
      <c r="CW347" s="466"/>
      <c r="CX347" s="466"/>
      <c r="CY347" s="466"/>
      <c r="CZ347" s="466"/>
      <c r="DA347" s="466"/>
      <c r="DB347" s="466"/>
      <c r="DC347" s="466"/>
      <c r="DD347" s="466"/>
      <c r="DE347" s="466"/>
      <c r="DF347" s="466"/>
      <c r="DG347" s="466"/>
      <c r="FE347" s="527"/>
      <c r="FF347" s="466"/>
      <c r="FG347" s="466"/>
      <c r="FH347" s="466"/>
      <c r="FI347" s="466"/>
      <c r="FJ347" s="466"/>
      <c r="FK347" s="466"/>
      <c r="FL347" s="466"/>
      <c r="FM347" s="466"/>
      <c r="FN347" s="466"/>
      <c r="FO347" s="466"/>
      <c r="FP347" s="466"/>
      <c r="FQ347" s="466"/>
      <c r="FR347" s="466"/>
      <c r="FS347" s="466"/>
      <c r="FT347" s="466"/>
      <c r="FU347" s="466"/>
      <c r="FV347" s="466"/>
      <c r="FW347" s="466"/>
      <c r="FX347" s="466"/>
      <c r="FY347" s="466"/>
      <c r="FZ347" s="527"/>
      <c r="GA347" s="527"/>
      <c r="GB347" s="527"/>
      <c r="GC347" s="527"/>
      <c r="GD347" s="527"/>
      <c r="GE347" s="527"/>
      <c r="GF347" s="527"/>
      <c r="GG347" s="527"/>
      <c r="GH347" s="527"/>
      <c r="GI347" s="527"/>
      <c r="GJ347" s="527"/>
      <c r="GK347" s="527"/>
      <c r="GL347" s="527"/>
      <c r="GM347" s="527"/>
      <c r="GN347" s="527"/>
      <c r="GV347" s="527"/>
      <c r="GW347" s="527"/>
      <c r="GX347" s="527"/>
      <c r="GY347" s="527"/>
      <c r="GZ347" s="527"/>
      <c r="HA347" s="527"/>
      <c r="HB347" s="527"/>
      <c r="HC347" s="527"/>
      <c r="HD347" s="527"/>
      <c r="HE347" s="844"/>
      <c r="HF347" s="844"/>
      <c r="HG347" s="844"/>
      <c r="HH347" s="844"/>
      <c r="HI347" s="844"/>
      <c r="HJ347" s="844"/>
      <c r="HK347" s="844"/>
      <c r="HL347" s="844"/>
      <c r="HM347" s="844"/>
      <c r="HN347" s="844"/>
      <c r="HP347" s="466"/>
      <c r="HQ347" s="466"/>
      <c r="HR347" s="466"/>
      <c r="HS347" s="415"/>
      <c r="HT347" s="2292"/>
    </row>
    <row r="348" spans="3:228">
      <c r="C348" s="466"/>
      <c r="D348" s="466"/>
      <c r="E348" s="466"/>
      <c r="F348" s="466"/>
      <c r="G348" s="466"/>
      <c r="H348" s="466"/>
      <c r="I348" s="466"/>
      <c r="J348" s="466"/>
      <c r="K348" s="466"/>
      <c r="L348" s="466"/>
      <c r="M348" s="466"/>
      <c r="N348" s="466"/>
      <c r="O348" s="466"/>
      <c r="P348" s="510"/>
      <c r="Q348" s="510"/>
      <c r="R348" s="510"/>
      <c r="S348" s="510"/>
      <c r="T348" s="510"/>
      <c r="U348" s="510"/>
      <c r="V348" s="510"/>
      <c r="W348" s="510"/>
      <c r="X348" s="510"/>
      <c r="Y348" s="510"/>
      <c r="Z348" s="510"/>
      <c r="AA348" s="510"/>
      <c r="AB348" s="510"/>
      <c r="AC348" s="510"/>
      <c r="AD348" s="510"/>
      <c r="AE348" s="510"/>
      <c r="AF348" s="510"/>
      <c r="AG348" s="510"/>
      <c r="AH348" s="510"/>
      <c r="AI348" s="510"/>
      <c r="AJ348" s="510"/>
      <c r="AK348" s="510"/>
      <c r="AL348" s="510"/>
      <c r="AM348" s="510"/>
      <c r="AN348" s="510"/>
      <c r="AO348" s="510"/>
      <c r="AP348" s="510"/>
      <c r="AQ348" s="510"/>
      <c r="AR348" s="510"/>
      <c r="AS348" s="510"/>
      <c r="AT348" s="510"/>
      <c r="AU348" s="510"/>
      <c r="AV348" s="510"/>
      <c r="AW348" s="510"/>
      <c r="AX348" s="510"/>
      <c r="AY348" s="510"/>
      <c r="AZ348" s="466"/>
      <c r="BA348" s="466"/>
      <c r="BB348" s="466"/>
      <c r="BC348" s="466"/>
      <c r="BD348" s="466"/>
      <c r="BE348" s="466"/>
      <c r="BF348" s="466"/>
      <c r="BG348" s="466"/>
      <c r="BH348" s="466"/>
      <c r="BI348" s="466"/>
      <c r="BJ348" s="466"/>
      <c r="BK348" s="466"/>
      <c r="BL348" s="466"/>
      <c r="BM348" s="466"/>
      <c r="BN348" s="466"/>
      <c r="BO348" s="466"/>
      <c r="BP348" s="466"/>
      <c r="BQ348" s="466"/>
      <c r="BR348" s="466"/>
      <c r="BS348" s="466"/>
      <c r="BT348" s="466"/>
      <c r="BU348" s="466"/>
      <c r="BV348" s="466"/>
      <c r="BW348" s="466"/>
      <c r="BX348" s="466"/>
      <c r="BY348" s="466"/>
      <c r="BZ348" s="466"/>
      <c r="CA348" s="466"/>
      <c r="CB348" s="466"/>
      <c r="CC348" s="466"/>
      <c r="CD348" s="466"/>
      <c r="CE348" s="466"/>
      <c r="CF348" s="466"/>
      <c r="CG348" s="466"/>
      <c r="CH348" s="466"/>
      <c r="CI348" s="466"/>
      <c r="CJ348" s="466"/>
      <c r="CK348" s="466"/>
      <c r="CL348" s="466"/>
      <c r="CM348" s="466"/>
      <c r="CN348" s="466"/>
      <c r="CO348" s="466"/>
      <c r="CP348" s="466"/>
      <c r="CQ348" s="466"/>
      <c r="CR348" s="466"/>
      <c r="CS348" s="466"/>
      <c r="CT348" s="466"/>
      <c r="CU348" s="466"/>
      <c r="CV348" s="466"/>
      <c r="CW348" s="466"/>
      <c r="CX348" s="466"/>
      <c r="CY348" s="466"/>
      <c r="CZ348" s="466"/>
      <c r="DA348" s="466"/>
      <c r="DB348" s="466"/>
      <c r="DC348" s="466"/>
      <c r="DD348" s="466"/>
      <c r="DE348" s="466"/>
      <c r="DF348" s="466"/>
      <c r="DG348" s="466"/>
      <c r="FE348" s="527"/>
      <c r="FF348" s="466"/>
      <c r="FG348" s="466"/>
      <c r="FH348" s="466"/>
      <c r="FI348" s="466"/>
      <c r="FJ348" s="466"/>
      <c r="FK348" s="466"/>
      <c r="FL348" s="466"/>
      <c r="FM348" s="466"/>
      <c r="FN348" s="466"/>
      <c r="FO348" s="466"/>
      <c r="FP348" s="466"/>
      <c r="FQ348" s="466"/>
      <c r="FR348" s="466"/>
      <c r="FS348" s="466"/>
      <c r="FT348" s="466"/>
      <c r="FU348" s="466"/>
      <c r="FV348" s="466"/>
      <c r="FW348" s="466"/>
      <c r="FX348" s="466"/>
      <c r="FY348" s="466"/>
      <c r="FZ348" s="527"/>
      <c r="GA348" s="527"/>
      <c r="GB348" s="527"/>
      <c r="GC348" s="527"/>
      <c r="GD348" s="527"/>
      <c r="GE348" s="527"/>
      <c r="GF348" s="527"/>
      <c r="GG348" s="527"/>
      <c r="GH348" s="527"/>
      <c r="GI348" s="527"/>
      <c r="GJ348" s="527"/>
      <c r="GK348" s="527"/>
      <c r="GL348" s="527"/>
      <c r="GM348" s="527"/>
      <c r="GN348" s="527"/>
      <c r="GV348" s="527"/>
      <c r="GW348" s="527"/>
      <c r="GX348" s="527"/>
      <c r="GY348" s="527"/>
      <c r="GZ348" s="527"/>
      <c r="HA348" s="527"/>
      <c r="HB348" s="527"/>
      <c r="HC348" s="527"/>
      <c r="HD348" s="527"/>
      <c r="HE348" s="844"/>
      <c r="HF348" s="844"/>
      <c r="HG348" s="844"/>
      <c r="HH348" s="844"/>
      <c r="HI348" s="844"/>
      <c r="HJ348" s="844"/>
      <c r="HK348" s="844"/>
      <c r="HL348" s="844"/>
      <c r="HM348" s="844"/>
      <c r="HN348" s="844"/>
      <c r="HP348" s="466"/>
      <c r="HQ348" s="466"/>
      <c r="HR348" s="466"/>
      <c r="HS348" s="415"/>
      <c r="HT348" s="2292"/>
    </row>
    <row r="349" spans="3:228">
      <c r="C349" s="466"/>
      <c r="D349" s="466"/>
      <c r="E349" s="466"/>
      <c r="F349" s="466"/>
      <c r="G349" s="466"/>
      <c r="H349" s="466"/>
      <c r="I349" s="466"/>
      <c r="J349" s="466"/>
      <c r="K349" s="466"/>
      <c r="L349" s="466"/>
      <c r="M349" s="466"/>
      <c r="N349" s="466"/>
      <c r="O349" s="466"/>
      <c r="P349" s="510"/>
      <c r="Q349" s="510"/>
      <c r="R349" s="510"/>
      <c r="S349" s="510"/>
      <c r="T349" s="510"/>
      <c r="U349" s="510"/>
      <c r="V349" s="510"/>
      <c r="W349" s="510"/>
      <c r="X349" s="510"/>
      <c r="Y349" s="510"/>
      <c r="Z349" s="510"/>
      <c r="AA349" s="510"/>
      <c r="AB349" s="510"/>
      <c r="AC349" s="510"/>
      <c r="AD349" s="510"/>
      <c r="AE349" s="510"/>
      <c r="AF349" s="510"/>
      <c r="AG349" s="510"/>
      <c r="AH349" s="510"/>
      <c r="AI349" s="510"/>
      <c r="AJ349" s="510"/>
      <c r="AK349" s="510"/>
      <c r="AL349" s="510"/>
      <c r="AM349" s="510"/>
      <c r="AN349" s="510"/>
      <c r="AO349" s="510"/>
      <c r="AP349" s="510"/>
      <c r="AQ349" s="510"/>
      <c r="AR349" s="510"/>
      <c r="AS349" s="510"/>
      <c r="AT349" s="510"/>
      <c r="AU349" s="510"/>
      <c r="AV349" s="510"/>
      <c r="AW349" s="510"/>
      <c r="AX349" s="510"/>
      <c r="AY349" s="510"/>
      <c r="AZ349" s="466"/>
      <c r="BA349" s="466"/>
      <c r="BB349" s="466"/>
      <c r="BC349" s="466"/>
      <c r="BD349" s="466"/>
      <c r="BE349" s="466"/>
      <c r="BF349" s="466"/>
      <c r="BG349" s="466"/>
      <c r="BH349" s="466"/>
      <c r="BI349" s="466"/>
      <c r="BJ349" s="466"/>
      <c r="BK349" s="466"/>
      <c r="BL349" s="466"/>
      <c r="BM349" s="466"/>
      <c r="BN349" s="466"/>
      <c r="BO349" s="466"/>
      <c r="BP349" s="466"/>
      <c r="BQ349" s="466"/>
      <c r="BR349" s="466"/>
      <c r="BS349" s="466"/>
      <c r="BT349" s="466"/>
      <c r="BU349" s="466"/>
      <c r="BV349" s="466"/>
      <c r="BW349" s="466"/>
      <c r="BX349" s="466"/>
      <c r="BY349" s="466"/>
      <c r="BZ349" s="466"/>
      <c r="CA349" s="466"/>
      <c r="CB349" s="466"/>
      <c r="CC349" s="466"/>
      <c r="CD349" s="466"/>
      <c r="CE349" s="466"/>
      <c r="CF349" s="466"/>
      <c r="CG349" s="466"/>
      <c r="CH349" s="466"/>
      <c r="CI349" s="466"/>
      <c r="CJ349" s="466"/>
      <c r="CK349" s="466"/>
      <c r="CL349" s="466"/>
      <c r="CM349" s="466"/>
      <c r="CN349" s="466"/>
      <c r="CO349" s="466"/>
      <c r="CP349" s="466"/>
      <c r="CQ349" s="466"/>
      <c r="CR349" s="466"/>
      <c r="CS349" s="466"/>
      <c r="CT349" s="466"/>
      <c r="CU349" s="466"/>
      <c r="CV349" s="466"/>
      <c r="CW349" s="466"/>
      <c r="CX349" s="466"/>
      <c r="CY349" s="466"/>
      <c r="CZ349" s="466"/>
      <c r="DA349" s="466"/>
      <c r="DB349" s="466"/>
      <c r="DC349" s="466"/>
      <c r="DD349" s="466"/>
      <c r="DE349" s="466"/>
      <c r="DF349" s="466"/>
      <c r="DG349" s="466"/>
      <c r="FE349" s="527"/>
      <c r="FF349" s="466"/>
      <c r="FG349" s="466"/>
      <c r="FH349" s="466"/>
      <c r="FI349" s="466"/>
      <c r="FJ349" s="466"/>
      <c r="FK349" s="466"/>
      <c r="FL349" s="466"/>
      <c r="FM349" s="466"/>
      <c r="FN349" s="466"/>
      <c r="FO349" s="466"/>
      <c r="FP349" s="466"/>
      <c r="FQ349" s="466"/>
      <c r="FR349" s="466"/>
      <c r="FS349" s="466"/>
      <c r="FT349" s="466"/>
      <c r="FU349" s="466"/>
      <c r="FV349" s="466"/>
      <c r="FW349" s="466"/>
      <c r="FX349" s="466"/>
      <c r="FY349" s="466"/>
      <c r="FZ349" s="527"/>
      <c r="GA349" s="527"/>
      <c r="GB349" s="527"/>
      <c r="GC349" s="527"/>
      <c r="GD349" s="527"/>
      <c r="GE349" s="527"/>
      <c r="GF349" s="527"/>
      <c r="GG349" s="527"/>
      <c r="GH349" s="527"/>
      <c r="GI349" s="527"/>
      <c r="GJ349" s="527"/>
      <c r="GK349" s="527"/>
      <c r="GL349" s="527"/>
      <c r="GM349" s="527"/>
      <c r="GN349" s="527"/>
      <c r="GV349" s="527"/>
      <c r="GW349" s="527"/>
      <c r="GX349" s="527"/>
      <c r="GY349" s="527"/>
      <c r="GZ349" s="527"/>
      <c r="HA349" s="527"/>
      <c r="HB349" s="527"/>
      <c r="HC349" s="527"/>
      <c r="HD349" s="527"/>
      <c r="HE349" s="844"/>
      <c r="HF349" s="844"/>
      <c r="HG349" s="844"/>
      <c r="HH349" s="844"/>
      <c r="HI349" s="844"/>
      <c r="HJ349" s="844"/>
      <c r="HK349" s="844"/>
      <c r="HL349" s="844"/>
      <c r="HM349" s="844"/>
      <c r="HN349" s="844"/>
      <c r="HP349" s="466"/>
      <c r="HQ349" s="466"/>
      <c r="HR349" s="466"/>
      <c r="HS349" s="415"/>
      <c r="HT349" s="2292"/>
    </row>
    <row r="350" spans="3:228">
      <c r="C350" s="466"/>
      <c r="D350" s="466"/>
      <c r="E350" s="466"/>
      <c r="F350" s="466"/>
      <c r="G350" s="466"/>
      <c r="H350" s="466"/>
      <c r="I350" s="466"/>
      <c r="J350" s="466"/>
      <c r="K350" s="466"/>
      <c r="L350" s="466"/>
      <c r="M350" s="466"/>
      <c r="N350" s="466"/>
      <c r="O350" s="466"/>
      <c r="P350" s="510"/>
      <c r="Q350" s="510"/>
      <c r="R350" s="510"/>
      <c r="S350" s="510"/>
      <c r="T350" s="510"/>
      <c r="U350" s="510"/>
      <c r="V350" s="510"/>
      <c r="W350" s="510"/>
      <c r="X350" s="510"/>
      <c r="Y350" s="510"/>
      <c r="Z350" s="510"/>
      <c r="AA350" s="510"/>
      <c r="AB350" s="510"/>
      <c r="AC350" s="510"/>
      <c r="AD350" s="510"/>
      <c r="AE350" s="510"/>
      <c r="AF350" s="510"/>
      <c r="AG350" s="510"/>
      <c r="AH350" s="510"/>
      <c r="AI350" s="510"/>
      <c r="AJ350" s="510"/>
      <c r="AK350" s="510"/>
      <c r="AL350" s="510"/>
      <c r="AM350" s="510"/>
      <c r="AN350" s="510"/>
      <c r="AO350" s="510"/>
      <c r="AP350" s="510"/>
      <c r="AQ350" s="510"/>
      <c r="AR350" s="510"/>
      <c r="AS350" s="510"/>
      <c r="AT350" s="510"/>
      <c r="AU350" s="510"/>
      <c r="AV350" s="510"/>
      <c r="AW350" s="510"/>
      <c r="AX350" s="510"/>
      <c r="AY350" s="510"/>
      <c r="AZ350" s="466"/>
      <c r="BA350" s="466"/>
      <c r="BB350" s="466"/>
      <c r="BC350" s="466"/>
      <c r="BD350" s="466"/>
      <c r="BE350" s="466"/>
      <c r="BF350" s="466"/>
      <c r="BG350" s="466"/>
      <c r="BH350" s="466"/>
      <c r="BI350" s="466"/>
      <c r="BJ350" s="466"/>
      <c r="BK350" s="466"/>
      <c r="BL350" s="466"/>
      <c r="BM350" s="466"/>
      <c r="BN350" s="466"/>
      <c r="BO350" s="466"/>
      <c r="BP350" s="466"/>
      <c r="BQ350" s="466"/>
      <c r="BR350" s="466"/>
      <c r="BS350" s="466"/>
      <c r="BT350" s="466"/>
      <c r="BU350" s="466"/>
      <c r="BV350" s="466"/>
      <c r="BW350" s="466"/>
      <c r="BX350" s="466"/>
      <c r="BY350" s="466"/>
      <c r="BZ350" s="466"/>
      <c r="CA350" s="466"/>
      <c r="CB350" s="466"/>
      <c r="CC350" s="466"/>
      <c r="CD350" s="466"/>
      <c r="CE350" s="466"/>
      <c r="CF350" s="466"/>
      <c r="CG350" s="466"/>
      <c r="CH350" s="466"/>
      <c r="CI350" s="466"/>
      <c r="CJ350" s="466"/>
      <c r="CK350" s="466"/>
      <c r="CL350" s="466"/>
      <c r="CM350" s="466"/>
      <c r="CN350" s="466"/>
      <c r="CO350" s="466"/>
      <c r="CP350" s="466"/>
      <c r="CQ350" s="466"/>
      <c r="CR350" s="466"/>
      <c r="CS350" s="466"/>
      <c r="CT350" s="466"/>
      <c r="CU350" s="466"/>
      <c r="CV350" s="466"/>
      <c r="CW350" s="466"/>
      <c r="CX350" s="466"/>
      <c r="CY350" s="466"/>
      <c r="CZ350" s="466"/>
      <c r="DA350" s="466"/>
      <c r="DB350" s="466"/>
      <c r="DC350" s="466"/>
      <c r="DD350" s="466"/>
      <c r="DE350" s="466"/>
      <c r="DF350" s="466"/>
      <c r="DG350" s="466"/>
      <c r="FE350" s="527"/>
      <c r="FF350" s="466"/>
      <c r="FG350" s="466"/>
      <c r="FH350" s="466"/>
      <c r="FI350" s="466"/>
      <c r="FJ350" s="466"/>
      <c r="FK350" s="466"/>
      <c r="FL350" s="466"/>
      <c r="FM350" s="466"/>
      <c r="FN350" s="466"/>
      <c r="FO350" s="466"/>
      <c r="FP350" s="466"/>
      <c r="FQ350" s="466"/>
      <c r="FR350" s="466"/>
      <c r="FS350" s="466"/>
      <c r="FT350" s="466"/>
      <c r="FU350" s="466"/>
      <c r="FV350" s="466"/>
      <c r="FW350" s="466"/>
      <c r="FX350" s="466"/>
      <c r="FY350" s="466"/>
      <c r="FZ350" s="527"/>
      <c r="GA350" s="527"/>
      <c r="GB350" s="527"/>
      <c r="GC350" s="527"/>
      <c r="GD350" s="527"/>
      <c r="GE350" s="527"/>
      <c r="GF350" s="527"/>
      <c r="GG350" s="527"/>
      <c r="GH350" s="527"/>
      <c r="GI350" s="527"/>
      <c r="GJ350" s="527"/>
      <c r="GK350" s="527"/>
      <c r="GL350" s="527"/>
      <c r="GM350" s="527"/>
      <c r="GN350" s="527"/>
      <c r="GV350" s="527"/>
      <c r="GW350" s="527"/>
      <c r="GX350" s="527"/>
      <c r="GY350" s="527"/>
      <c r="GZ350" s="527"/>
      <c r="HA350" s="527"/>
      <c r="HB350" s="527"/>
      <c r="HC350" s="527"/>
      <c r="HD350" s="527"/>
      <c r="HE350" s="844"/>
      <c r="HF350" s="844"/>
      <c r="HG350" s="844"/>
      <c r="HH350" s="844"/>
      <c r="HI350" s="844"/>
      <c r="HJ350" s="844"/>
      <c r="HK350" s="844"/>
      <c r="HL350" s="844"/>
      <c r="HM350" s="844"/>
      <c r="HN350" s="844"/>
      <c r="HP350" s="466"/>
      <c r="HQ350" s="466"/>
      <c r="HR350" s="466"/>
      <c r="HS350" s="415"/>
      <c r="HT350" s="2292"/>
    </row>
    <row r="351" spans="3:228">
      <c r="C351" s="466"/>
      <c r="D351" s="466"/>
      <c r="E351" s="466"/>
      <c r="F351" s="466"/>
      <c r="G351" s="466"/>
      <c r="H351" s="466"/>
      <c r="I351" s="466"/>
      <c r="J351" s="466"/>
      <c r="K351" s="466"/>
      <c r="L351" s="466"/>
      <c r="M351" s="466"/>
      <c r="N351" s="466"/>
      <c r="O351" s="466"/>
      <c r="P351" s="510"/>
      <c r="Q351" s="510"/>
      <c r="R351" s="510"/>
      <c r="S351" s="510"/>
      <c r="T351" s="510"/>
      <c r="U351" s="510"/>
      <c r="V351" s="510"/>
      <c r="W351" s="510"/>
      <c r="X351" s="510"/>
      <c r="Y351" s="510"/>
      <c r="Z351" s="510"/>
      <c r="AA351" s="510"/>
      <c r="AB351" s="510"/>
      <c r="AC351" s="510"/>
      <c r="AD351" s="510"/>
      <c r="AE351" s="510"/>
      <c r="AF351" s="510"/>
      <c r="AG351" s="510"/>
      <c r="AH351" s="510"/>
      <c r="AI351" s="510"/>
      <c r="AJ351" s="510"/>
      <c r="AK351" s="510"/>
      <c r="AL351" s="510"/>
      <c r="AM351" s="510"/>
      <c r="AN351" s="510"/>
      <c r="AO351" s="510"/>
      <c r="AP351" s="510"/>
      <c r="AQ351" s="510"/>
      <c r="AR351" s="510"/>
      <c r="AS351" s="510"/>
      <c r="AT351" s="510"/>
      <c r="AU351" s="510"/>
      <c r="AV351" s="510"/>
      <c r="AW351" s="510"/>
      <c r="AX351" s="510"/>
      <c r="AY351" s="510"/>
      <c r="AZ351" s="466"/>
      <c r="BA351" s="466"/>
      <c r="BB351" s="466"/>
      <c r="BC351" s="466"/>
      <c r="BD351" s="466"/>
      <c r="BE351" s="466"/>
      <c r="BF351" s="466"/>
      <c r="BG351" s="466"/>
      <c r="BH351" s="466"/>
      <c r="BI351" s="466"/>
      <c r="BJ351" s="466"/>
      <c r="BK351" s="466"/>
      <c r="BL351" s="466"/>
      <c r="BM351" s="466"/>
      <c r="BN351" s="466"/>
      <c r="BO351" s="466"/>
      <c r="BP351" s="466"/>
      <c r="BQ351" s="466"/>
      <c r="BR351" s="466"/>
      <c r="BS351" s="466"/>
      <c r="BT351" s="466"/>
      <c r="BU351" s="466"/>
      <c r="BV351" s="466"/>
      <c r="BW351" s="466"/>
      <c r="BX351" s="466"/>
      <c r="BY351" s="466"/>
      <c r="BZ351" s="466"/>
      <c r="CA351" s="466"/>
      <c r="CB351" s="466"/>
      <c r="CC351" s="466"/>
      <c r="CD351" s="466"/>
      <c r="CE351" s="466"/>
      <c r="CF351" s="466"/>
      <c r="CG351" s="466"/>
      <c r="CH351" s="466"/>
      <c r="CI351" s="466"/>
      <c r="CJ351" s="466"/>
      <c r="CK351" s="466"/>
      <c r="CL351" s="466"/>
      <c r="CM351" s="466"/>
      <c r="CN351" s="466"/>
      <c r="CO351" s="466"/>
      <c r="CP351" s="466"/>
      <c r="CQ351" s="466"/>
      <c r="CR351" s="466"/>
      <c r="CS351" s="466"/>
      <c r="CT351" s="466"/>
      <c r="CU351" s="466"/>
      <c r="CV351" s="466"/>
      <c r="CW351" s="466"/>
      <c r="CX351" s="466"/>
      <c r="CY351" s="466"/>
      <c r="CZ351" s="466"/>
      <c r="DA351" s="466"/>
      <c r="DB351" s="466"/>
      <c r="DC351" s="466"/>
      <c r="DD351" s="466"/>
      <c r="DE351" s="466"/>
      <c r="DF351" s="466"/>
      <c r="DG351" s="466"/>
      <c r="FE351" s="527"/>
      <c r="FF351" s="466"/>
      <c r="FG351" s="466"/>
      <c r="FH351" s="466"/>
      <c r="FI351" s="466"/>
      <c r="FJ351" s="466"/>
      <c r="FK351" s="466"/>
      <c r="FL351" s="466"/>
      <c r="FM351" s="466"/>
      <c r="FN351" s="466"/>
      <c r="FO351" s="466"/>
      <c r="FP351" s="466"/>
      <c r="FQ351" s="466"/>
      <c r="FR351" s="466"/>
      <c r="FS351" s="466"/>
      <c r="FT351" s="466"/>
      <c r="FU351" s="466"/>
      <c r="FV351" s="466"/>
      <c r="FW351" s="466"/>
      <c r="FX351" s="466"/>
      <c r="FY351" s="466"/>
      <c r="FZ351" s="527"/>
      <c r="GA351" s="527"/>
      <c r="GB351" s="527"/>
      <c r="GC351" s="527"/>
      <c r="GD351" s="527"/>
      <c r="GE351" s="527"/>
      <c r="GF351" s="527"/>
      <c r="GG351" s="527"/>
      <c r="GH351" s="527"/>
      <c r="GI351" s="527"/>
      <c r="GJ351" s="527"/>
      <c r="GK351" s="527"/>
      <c r="GL351" s="527"/>
      <c r="GM351" s="527"/>
      <c r="GN351" s="527"/>
      <c r="GV351" s="527"/>
      <c r="GW351" s="527"/>
      <c r="GX351" s="527"/>
      <c r="GY351" s="527"/>
      <c r="GZ351" s="527"/>
      <c r="HA351" s="527"/>
      <c r="HB351" s="527"/>
      <c r="HC351" s="527"/>
      <c r="HD351" s="527"/>
      <c r="HE351" s="844"/>
      <c r="HF351" s="844"/>
      <c r="HG351" s="844"/>
      <c r="HH351" s="844"/>
      <c r="HI351" s="844"/>
      <c r="HJ351" s="844"/>
      <c r="HK351" s="844"/>
      <c r="HL351" s="844"/>
      <c r="HM351" s="844"/>
      <c r="HN351" s="844"/>
      <c r="HP351" s="466"/>
      <c r="HQ351" s="466"/>
      <c r="HR351" s="466"/>
      <c r="HS351" s="415"/>
      <c r="HT351" s="2292"/>
    </row>
    <row r="352" spans="3:228">
      <c r="C352" s="466"/>
      <c r="D352" s="466"/>
      <c r="E352" s="466"/>
      <c r="F352" s="466"/>
      <c r="G352" s="466"/>
      <c r="H352" s="466"/>
      <c r="I352" s="466"/>
      <c r="J352" s="466"/>
      <c r="K352" s="466"/>
      <c r="L352" s="466"/>
      <c r="M352" s="466"/>
      <c r="N352" s="466"/>
      <c r="O352" s="466"/>
      <c r="P352" s="510"/>
      <c r="Q352" s="510"/>
      <c r="R352" s="510"/>
      <c r="S352" s="510"/>
      <c r="T352" s="510"/>
      <c r="U352" s="510"/>
      <c r="V352" s="510"/>
      <c r="W352" s="510"/>
      <c r="X352" s="510"/>
      <c r="Y352" s="510"/>
      <c r="Z352" s="510"/>
      <c r="AA352" s="510"/>
      <c r="AB352" s="510"/>
      <c r="AC352" s="510"/>
      <c r="AD352" s="510"/>
      <c r="AE352" s="510"/>
      <c r="AF352" s="510"/>
      <c r="AG352" s="510"/>
      <c r="AH352" s="510"/>
      <c r="AI352" s="510"/>
      <c r="AJ352" s="510"/>
      <c r="AK352" s="510"/>
      <c r="AL352" s="510"/>
      <c r="AM352" s="510"/>
      <c r="AN352" s="510"/>
      <c r="AO352" s="510"/>
      <c r="AP352" s="510"/>
      <c r="AQ352" s="510"/>
      <c r="AR352" s="510"/>
      <c r="AS352" s="510"/>
      <c r="AT352" s="510"/>
      <c r="AU352" s="510"/>
      <c r="AV352" s="510"/>
      <c r="AW352" s="510"/>
      <c r="AX352" s="510"/>
      <c r="AY352" s="510"/>
      <c r="AZ352" s="466"/>
      <c r="BA352" s="466"/>
      <c r="BB352" s="466"/>
      <c r="BC352" s="466"/>
      <c r="BD352" s="466"/>
      <c r="BE352" s="466"/>
      <c r="BF352" s="466"/>
      <c r="BG352" s="466"/>
      <c r="BH352" s="466"/>
      <c r="BI352" s="466"/>
      <c r="BJ352" s="466"/>
      <c r="BK352" s="466"/>
      <c r="BL352" s="466"/>
      <c r="BM352" s="466"/>
      <c r="BN352" s="466"/>
      <c r="BO352" s="466"/>
      <c r="BP352" s="466"/>
      <c r="BQ352" s="466"/>
      <c r="BR352" s="466"/>
      <c r="BS352" s="466"/>
      <c r="BT352" s="466"/>
      <c r="BU352" s="466"/>
      <c r="BV352" s="466"/>
      <c r="BW352" s="466"/>
      <c r="BX352" s="466"/>
      <c r="BY352" s="466"/>
      <c r="BZ352" s="466"/>
      <c r="CA352" s="466"/>
      <c r="CB352" s="466"/>
      <c r="CC352" s="466"/>
      <c r="CD352" s="466"/>
      <c r="CE352" s="466"/>
      <c r="CF352" s="466"/>
      <c r="CG352" s="466"/>
      <c r="CH352" s="466"/>
      <c r="CI352" s="466"/>
      <c r="CJ352" s="466"/>
      <c r="CK352" s="466"/>
      <c r="CL352" s="466"/>
      <c r="CM352" s="466"/>
      <c r="CN352" s="466"/>
      <c r="CO352" s="466"/>
      <c r="CP352" s="466"/>
      <c r="CQ352" s="466"/>
      <c r="CR352" s="466"/>
      <c r="CS352" s="466"/>
      <c r="CT352" s="466"/>
      <c r="CU352" s="466"/>
      <c r="CV352" s="466"/>
      <c r="CW352" s="466"/>
      <c r="CX352" s="466"/>
      <c r="CY352" s="466"/>
      <c r="CZ352" s="466"/>
      <c r="DA352" s="466"/>
      <c r="DB352" s="466"/>
      <c r="DC352" s="466"/>
      <c r="DD352" s="466"/>
      <c r="DE352" s="466"/>
      <c r="DF352" s="466"/>
      <c r="DG352" s="466"/>
      <c r="FE352" s="527"/>
      <c r="FF352" s="466"/>
      <c r="FG352" s="466"/>
      <c r="FH352" s="466"/>
      <c r="FI352" s="466"/>
      <c r="FJ352" s="466"/>
      <c r="FK352" s="466"/>
      <c r="FL352" s="466"/>
      <c r="FM352" s="466"/>
      <c r="FN352" s="466"/>
      <c r="FO352" s="466"/>
      <c r="FP352" s="466"/>
      <c r="FQ352" s="466"/>
      <c r="FR352" s="466"/>
      <c r="FS352" s="466"/>
      <c r="FT352" s="466"/>
      <c r="FU352" s="466"/>
      <c r="FV352" s="466"/>
      <c r="FW352" s="466"/>
      <c r="FX352" s="466"/>
      <c r="FY352" s="466"/>
      <c r="FZ352" s="527"/>
      <c r="GA352" s="527"/>
      <c r="GB352" s="527"/>
      <c r="GC352" s="527"/>
      <c r="GD352" s="527"/>
      <c r="GE352" s="527"/>
      <c r="GF352" s="527"/>
      <c r="GG352" s="527"/>
      <c r="GH352" s="527"/>
      <c r="GI352" s="527"/>
      <c r="GJ352" s="527"/>
      <c r="GK352" s="527"/>
      <c r="GL352" s="527"/>
      <c r="GM352" s="527"/>
      <c r="GN352" s="527"/>
      <c r="GV352" s="527"/>
      <c r="GW352" s="527"/>
      <c r="GX352" s="527"/>
      <c r="GY352" s="527"/>
      <c r="GZ352" s="527"/>
      <c r="HA352" s="527"/>
      <c r="HB352" s="527"/>
      <c r="HC352" s="527"/>
      <c r="HD352" s="527"/>
      <c r="HE352" s="844"/>
      <c r="HF352" s="844"/>
      <c r="HG352" s="844"/>
      <c r="HH352" s="844"/>
      <c r="HI352" s="844"/>
      <c r="HJ352" s="844"/>
      <c r="HK352" s="844"/>
      <c r="HL352" s="844"/>
      <c r="HM352" s="844"/>
      <c r="HN352" s="844"/>
      <c r="HP352" s="466"/>
      <c r="HQ352" s="466"/>
      <c r="HR352" s="466"/>
      <c r="HS352" s="415"/>
      <c r="HT352" s="2292"/>
    </row>
    <row r="353" spans="3:228">
      <c r="C353" s="466"/>
      <c r="D353" s="466"/>
      <c r="E353" s="466"/>
      <c r="F353" s="466"/>
      <c r="G353" s="466"/>
      <c r="H353" s="466"/>
      <c r="I353" s="466"/>
      <c r="J353" s="466"/>
      <c r="K353" s="466"/>
      <c r="L353" s="466"/>
      <c r="M353" s="466"/>
      <c r="N353" s="466"/>
      <c r="O353" s="466"/>
      <c r="P353" s="510"/>
      <c r="Q353" s="510"/>
      <c r="R353" s="510"/>
      <c r="S353" s="510"/>
      <c r="T353" s="510"/>
      <c r="U353" s="510"/>
      <c r="V353" s="510"/>
      <c r="W353" s="510"/>
      <c r="X353" s="510"/>
      <c r="Y353" s="510"/>
      <c r="Z353" s="510"/>
      <c r="AA353" s="510"/>
      <c r="AB353" s="510"/>
      <c r="AC353" s="510"/>
      <c r="AD353" s="510"/>
      <c r="AE353" s="510"/>
      <c r="AF353" s="510"/>
      <c r="AG353" s="510"/>
      <c r="AH353" s="510"/>
      <c r="AI353" s="510"/>
      <c r="AJ353" s="510"/>
      <c r="AK353" s="510"/>
      <c r="AL353" s="510"/>
      <c r="AM353" s="510"/>
      <c r="AN353" s="510"/>
      <c r="AO353" s="510"/>
      <c r="AP353" s="510"/>
      <c r="AQ353" s="510"/>
      <c r="AR353" s="510"/>
      <c r="AS353" s="510"/>
      <c r="AT353" s="510"/>
      <c r="AU353" s="510"/>
      <c r="AV353" s="510"/>
      <c r="AW353" s="510"/>
      <c r="AX353" s="510"/>
      <c r="AY353" s="510"/>
      <c r="AZ353" s="466"/>
      <c r="BA353" s="466"/>
      <c r="BB353" s="466"/>
      <c r="BC353" s="466"/>
      <c r="BD353" s="466"/>
      <c r="BE353" s="466"/>
      <c r="BF353" s="466"/>
      <c r="BG353" s="466"/>
      <c r="BH353" s="466"/>
      <c r="BI353" s="466"/>
      <c r="BJ353" s="466"/>
      <c r="BK353" s="466"/>
      <c r="BL353" s="466"/>
      <c r="BM353" s="466"/>
      <c r="BN353" s="466"/>
      <c r="BO353" s="466"/>
      <c r="BP353" s="466"/>
      <c r="BQ353" s="466"/>
      <c r="BR353" s="466"/>
      <c r="BS353" s="466"/>
      <c r="BT353" s="466"/>
      <c r="BU353" s="466"/>
      <c r="BV353" s="466"/>
      <c r="BW353" s="466"/>
      <c r="BX353" s="466"/>
      <c r="BY353" s="466"/>
      <c r="BZ353" s="466"/>
      <c r="CA353" s="466"/>
      <c r="CB353" s="466"/>
      <c r="CC353" s="466"/>
      <c r="CD353" s="466"/>
      <c r="CE353" s="466"/>
      <c r="CF353" s="466"/>
      <c r="CG353" s="466"/>
      <c r="CH353" s="466"/>
      <c r="CI353" s="466"/>
      <c r="CJ353" s="466"/>
      <c r="CK353" s="466"/>
      <c r="CL353" s="466"/>
      <c r="CM353" s="466"/>
      <c r="CN353" s="466"/>
      <c r="CO353" s="466"/>
      <c r="CP353" s="466"/>
      <c r="CQ353" s="466"/>
      <c r="CR353" s="466"/>
      <c r="CS353" s="466"/>
      <c r="CT353" s="466"/>
      <c r="CU353" s="466"/>
      <c r="CV353" s="466"/>
      <c r="CW353" s="466"/>
      <c r="CX353" s="466"/>
      <c r="CY353" s="466"/>
      <c r="CZ353" s="466"/>
      <c r="DA353" s="466"/>
      <c r="DB353" s="466"/>
      <c r="DC353" s="466"/>
      <c r="DD353" s="466"/>
      <c r="DE353" s="466"/>
      <c r="DF353" s="466"/>
      <c r="DG353" s="466"/>
      <c r="FE353" s="527"/>
      <c r="FF353" s="466"/>
      <c r="FG353" s="466"/>
      <c r="FH353" s="466"/>
      <c r="FI353" s="466"/>
      <c r="FJ353" s="466"/>
      <c r="FK353" s="466"/>
      <c r="FL353" s="466"/>
      <c r="FM353" s="466"/>
      <c r="FN353" s="466"/>
      <c r="FO353" s="466"/>
      <c r="FP353" s="466"/>
      <c r="FQ353" s="466"/>
      <c r="FR353" s="466"/>
      <c r="FS353" s="466"/>
      <c r="FT353" s="466"/>
      <c r="FU353" s="466"/>
      <c r="FV353" s="466"/>
      <c r="FW353" s="466"/>
      <c r="FX353" s="466"/>
      <c r="FY353" s="466"/>
      <c r="FZ353" s="527"/>
      <c r="GA353" s="527"/>
      <c r="GB353" s="527"/>
      <c r="GC353" s="527"/>
      <c r="GD353" s="527"/>
      <c r="GE353" s="527"/>
      <c r="GF353" s="527"/>
      <c r="GG353" s="527"/>
      <c r="GH353" s="527"/>
      <c r="GI353" s="527"/>
      <c r="GJ353" s="527"/>
      <c r="GK353" s="527"/>
      <c r="GL353" s="527"/>
      <c r="GM353" s="527"/>
      <c r="GN353" s="527"/>
      <c r="GV353" s="527"/>
      <c r="GW353" s="527"/>
      <c r="GX353" s="527"/>
      <c r="GY353" s="527"/>
      <c r="GZ353" s="527"/>
      <c r="HA353" s="527"/>
      <c r="HB353" s="527"/>
      <c r="HC353" s="527"/>
      <c r="HD353" s="527"/>
      <c r="HE353" s="844"/>
      <c r="HF353" s="844"/>
      <c r="HG353" s="844"/>
      <c r="HH353" s="844"/>
      <c r="HI353" s="844"/>
      <c r="HJ353" s="844"/>
      <c r="HK353" s="844"/>
      <c r="HL353" s="844"/>
      <c r="HM353" s="844"/>
      <c r="HN353" s="844"/>
      <c r="HP353" s="466"/>
      <c r="HQ353" s="466"/>
      <c r="HR353" s="466"/>
      <c r="HS353" s="415"/>
      <c r="HT353" s="2292"/>
    </row>
    <row r="354" spans="3:228">
      <c r="C354" s="466"/>
      <c r="D354" s="466"/>
      <c r="E354" s="466"/>
      <c r="F354" s="466"/>
      <c r="G354" s="466"/>
      <c r="H354" s="466"/>
      <c r="I354" s="466"/>
      <c r="J354" s="466"/>
      <c r="K354" s="466"/>
      <c r="L354" s="466"/>
      <c r="M354" s="466"/>
      <c r="N354" s="466"/>
      <c r="O354" s="466"/>
      <c r="P354" s="510"/>
      <c r="Q354" s="510"/>
      <c r="R354" s="510"/>
      <c r="S354" s="510"/>
      <c r="T354" s="510"/>
      <c r="U354" s="510"/>
      <c r="V354" s="510"/>
      <c r="W354" s="510"/>
      <c r="X354" s="510"/>
      <c r="Y354" s="510"/>
      <c r="Z354" s="510"/>
      <c r="AA354" s="510"/>
      <c r="AB354" s="510"/>
      <c r="AC354" s="510"/>
      <c r="AD354" s="510"/>
      <c r="AE354" s="510"/>
      <c r="AF354" s="510"/>
      <c r="AG354" s="510"/>
      <c r="AH354" s="510"/>
      <c r="AI354" s="510"/>
      <c r="AJ354" s="510"/>
      <c r="AK354" s="510"/>
      <c r="AL354" s="510"/>
      <c r="AM354" s="510"/>
      <c r="AN354" s="510"/>
      <c r="AO354" s="510"/>
      <c r="AP354" s="510"/>
      <c r="AQ354" s="510"/>
      <c r="AR354" s="510"/>
      <c r="AS354" s="510"/>
      <c r="AT354" s="510"/>
      <c r="AU354" s="510"/>
      <c r="AV354" s="510"/>
      <c r="AW354" s="510"/>
      <c r="AX354" s="510"/>
      <c r="AY354" s="510"/>
      <c r="AZ354" s="466"/>
      <c r="BA354" s="466"/>
      <c r="BB354" s="466"/>
      <c r="BC354" s="466"/>
      <c r="BD354" s="466"/>
      <c r="BE354" s="466"/>
      <c r="BF354" s="466"/>
      <c r="BG354" s="466"/>
      <c r="BH354" s="466"/>
      <c r="BI354" s="466"/>
      <c r="BJ354" s="466"/>
      <c r="BK354" s="466"/>
      <c r="BL354" s="466"/>
      <c r="BM354" s="466"/>
      <c r="BN354" s="466"/>
      <c r="BO354" s="466"/>
      <c r="BP354" s="466"/>
      <c r="BQ354" s="466"/>
      <c r="BR354" s="466"/>
      <c r="BS354" s="466"/>
      <c r="BT354" s="466"/>
      <c r="BU354" s="466"/>
      <c r="BV354" s="466"/>
      <c r="BW354" s="466"/>
      <c r="BX354" s="466"/>
      <c r="BY354" s="466"/>
      <c r="BZ354" s="466"/>
      <c r="CA354" s="466"/>
      <c r="CB354" s="466"/>
      <c r="CC354" s="466"/>
      <c r="CD354" s="466"/>
      <c r="CE354" s="466"/>
      <c r="CF354" s="466"/>
      <c r="CG354" s="466"/>
      <c r="CH354" s="466"/>
      <c r="CI354" s="466"/>
      <c r="CJ354" s="466"/>
      <c r="CK354" s="466"/>
      <c r="CL354" s="466"/>
      <c r="CM354" s="466"/>
      <c r="CN354" s="466"/>
      <c r="CO354" s="466"/>
      <c r="CP354" s="466"/>
      <c r="CQ354" s="466"/>
      <c r="CR354" s="466"/>
      <c r="CS354" s="466"/>
      <c r="CT354" s="466"/>
      <c r="CU354" s="466"/>
      <c r="CV354" s="466"/>
      <c r="CW354" s="466"/>
      <c r="CX354" s="466"/>
      <c r="CY354" s="466"/>
      <c r="CZ354" s="466"/>
      <c r="DA354" s="466"/>
      <c r="DB354" s="466"/>
      <c r="DC354" s="466"/>
      <c r="DD354" s="466"/>
      <c r="DE354" s="466"/>
      <c r="DF354" s="466"/>
      <c r="DG354" s="466"/>
      <c r="FE354" s="527"/>
      <c r="FF354" s="466"/>
      <c r="FG354" s="466"/>
      <c r="FH354" s="466"/>
      <c r="FI354" s="466"/>
      <c r="FJ354" s="466"/>
      <c r="FK354" s="466"/>
      <c r="FL354" s="466"/>
      <c r="FM354" s="466"/>
      <c r="FN354" s="466"/>
      <c r="FO354" s="466"/>
      <c r="FP354" s="466"/>
      <c r="FQ354" s="466"/>
      <c r="FR354" s="466"/>
      <c r="FS354" s="466"/>
      <c r="FT354" s="466"/>
      <c r="FU354" s="466"/>
      <c r="FV354" s="466"/>
      <c r="FW354" s="466"/>
      <c r="FX354" s="466"/>
      <c r="FY354" s="466"/>
      <c r="FZ354" s="527"/>
      <c r="GA354" s="527"/>
      <c r="GB354" s="527"/>
      <c r="GC354" s="527"/>
      <c r="GD354" s="527"/>
      <c r="GE354" s="527"/>
      <c r="GF354" s="527"/>
      <c r="GG354" s="527"/>
      <c r="GH354" s="527"/>
      <c r="GI354" s="527"/>
      <c r="GJ354" s="527"/>
      <c r="GK354" s="527"/>
      <c r="GL354" s="527"/>
      <c r="GM354" s="527"/>
      <c r="GN354" s="527"/>
      <c r="GV354" s="527"/>
      <c r="GW354" s="527"/>
      <c r="GX354" s="527"/>
      <c r="GY354" s="527"/>
      <c r="GZ354" s="527"/>
      <c r="HA354" s="527"/>
      <c r="HB354" s="527"/>
      <c r="HC354" s="527"/>
      <c r="HD354" s="527"/>
      <c r="HE354" s="844"/>
      <c r="HF354" s="844"/>
      <c r="HG354" s="844"/>
      <c r="HH354" s="844"/>
      <c r="HI354" s="844"/>
      <c r="HJ354" s="844"/>
      <c r="HK354" s="844"/>
      <c r="HL354" s="844"/>
      <c r="HM354" s="844"/>
      <c r="HN354" s="844"/>
      <c r="HP354" s="466"/>
      <c r="HQ354" s="466"/>
      <c r="HR354" s="466"/>
      <c r="HS354" s="415"/>
      <c r="HT354" s="2292"/>
    </row>
    <row r="355" spans="3:228">
      <c r="C355" s="466"/>
      <c r="D355" s="466"/>
      <c r="E355" s="466"/>
      <c r="F355" s="466"/>
      <c r="G355" s="466"/>
      <c r="H355" s="466"/>
      <c r="I355" s="466"/>
      <c r="J355" s="466"/>
      <c r="K355" s="466"/>
      <c r="L355" s="466"/>
      <c r="M355" s="466"/>
      <c r="N355" s="466"/>
      <c r="O355" s="466"/>
      <c r="P355" s="510"/>
      <c r="Q355" s="510"/>
      <c r="R355" s="510"/>
      <c r="S355" s="510"/>
      <c r="T355" s="510"/>
      <c r="U355" s="510"/>
      <c r="V355" s="510"/>
      <c r="W355" s="510"/>
      <c r="X355" s="510"/>
      <c r="Y355" s="510"/>
      <c r="Z355" s="510"/>
      <c r="AA355" s="510"/>
      <c r="AB355" s="510"/>
      <c r="AC355" s="510"/>
      <c r="AD355" s="510"/>
      <c r="AE355" s="510"/>
      <c r="AF355" s="510"/>
      <c r="AG355" s="510"/>
      <c r="AH355" s="510"/>
      <c r="AI355" s="510"/>
      <c r="AJ355" s="510"/>
      <c r="AK355" s="510"/>
      <c r="AL355" s="510"/>
      <c r="AM355" s="510"/>
      <c r="AN355" s="510"/>
      <c r="AO355" s="510"/>
      <c r="AP355" s="510"/>
      <c r="AQ355" s="510"/>
      <c r="AR355" s="510"/>
      <c r="AS355" s="510"/>
      <c r="AT355" s="510"/>
      <c r="AU355" s="510"/>
      <c r="AV355" s="510"/>
      <c r="AW355" s="510"/>
      <c r="AX355" s="510"/>
      <c r="AY355" s="510"/>
      <c r="AZ355" s="466"/>
      <c r="BA355" s="466"/>
      <c r="BB355" s="466"/>
      <c r="BC355" s="466"/>
      <c r="BD355" s="466"/>
      <c r="BE355" s="466"/>
      <c r="BF355" s="466"/>
      <c r="BG355" s="466"/>
      <c r="BH355" s="466"/>
      <c r="BI355" s="466"/>
      <c r="BJ355" s="466"/>
      <c r="BK355" s="466"/>
      <c r="BL355" s="466"/>
      <c r="BM355" s="466"/>
      <c r="BN355" s="466"/>
      <c r="BO355" s="466"/>
      <c r="BP355" s="466"/>
      <c r="BQ355" s="466"/>
      <c r="BR355" s="466"/>
      <c r="BS355" s="466"/>
      <c r="BT355" s="466"/>
      <c r="BU355" s="466"/>
      <c r="BV355" s="466"/>
      <c r="BW355" s="466"/>
      <c r="BX355" s="466"/>
      <c r="BY355" s="466"/>
      <c r="BZ355" s="466"/>
      <c r="CA355" s="466"/>
      <c r="CB355" s="466"/>
      <c r="CC355" s="466"/>
      <c r="CD355" s="466"/>
      <c r="CE355" s="466"/>
      <c r="CF355" s="466"/>
      <c r="CG355" s="466"/>
      <c r="CH355" s="466"/>
      <c r="CI355" s="466"/>
      <c r="CJ355" s="466"/>
      <c r="CK355" s="466"/>
      <c r="CL355" s="466"/>
      <c r="CM355" s="466"/>
      <c r="CN355" s="466"/>
      <c r="CO355" s="466"/>
      <c r="CP355" s="466"/>
      <c r="CQ355" s="466"/>
      <c r="CR355" s="466"/>
      <c r="CS355" s="466"/>
      <c r="CT355" s="466"/>
      <c r="CU355" s="466"/>
      <c r="CV355" s="466"/>
      <c r="CW355" s="466"/>
      <c r="CX355" s="466"/>
      <c r="CY355" s="466"/>
      <c r="CZ355" s="466"/>
      <c r="DA355" s="466"/>
      <c r="DB355" s="466"/>
      <c r="DC355" s="466"/>
      <c r="DD355" s="466"/>
      <c r="DE355" s="466"/>
      <c r="DF355" s="466"/>
      <c r="DG355" s="466"/>
      <c r="FE355" s="527"/>
      <c r="FF355" s="466"/>
      <c r="FG355" s="466"/>
      <c r="FH355" s="466"/>
      <c r="FI355" s="466"/>
      <c r="FJ355" s="466"/>
      <c r="FK355" s="466"/>
      <c r="FL355" s="466"/>
      <c r="FM355" s="466"/>
      <c r="FN355" s="466"/>
      <c r="FO355" s="466"/>
      <c r="FP355" s="466"/>
      <c r="FQ355" s="466"/>
      <c r="FR355" s="466"/>
      <c r="FS355" s="466"/>
      <c r="FT355" s="466"/>
      <c r="FU355" s="466"/>
      <c r="FV355" s="466"/>
      <c r="FW355" s="466"/>
      <c r="FX355" s="466"/>
      <c r="FY355" s="466"/>
      <c r="FZ355" s="527"/>
      <c r="GA355" s="527"/>
      <c r="GB355" s="527"/>
      <c r="GC355" s="527"/>
      <c r="GD355" s="527"/>
      <c r="GE355" s="527"/>
      <c r="GF355" s="527"/>
      <c r="GG355" s="527"/>
      <c r="GH355" s="527"/>
      <c r="GI355" s="527"/>
      <c r="GJ355" s="527"/>
      <c r="GK355" s="527"/>
      <c r="GL355" s="527"/>
      <c r="GM355" s="527"/>
      <c r="GN355" s="527"/>
      <c r="GV355" s="527"/>
      <c r="GW355" s="527"/>
      <c r="GX355" s="527"/>
      <c r="GY355" s="527"/>
      <c r="GZ355" s="527"/>
      <c r="HA355" s="527"/>
      <c r="HB355" s="527"/>
      <c r="HC355" s="527"/>
      <c r="HD355" s="527"/>
      <c r="HE355" s="844"/>
      <c r="HF355" s="844"/>
      <c r="HG355" s="844"/>
      <c r="HH355" s="844"/>
      <c r="HI355" s="844"/>
      <c r="HJ355" s="844"/>
      <c r="HK355" s="844"/>
      <c r="HL355" s="844"/>
      <c r="HM355" s="844"/>
      <c r="HN355" s="844"/>
      <c r="HP355" s="466"/>
      <c r="HQ355" s="466"/>
      <c r="HR355" s="466"/>
      <c r="HS355" s="415"/>
      <c r="HT355" s="2292"/>
    </row>
    <row r="356" spans="3:228">
      <c r="C356" s="466"/>
      <c r="D356" s="466"/>
      <c r="E356" s="466"/>
      <c r="F356" s="466"/>
      <c r="G356" s="466"/>
      <c r="H356" s="466"/>
      <c r="I356" s="466"/>
      <c r="J356" s="466"/>
      <c r="K356" s="466"/>
      <c r="L356" s="466"/>
      <c r="M356" s="466"/>
      <c r="N356" s="466"/>
      <c r="O356" s="466"/>
      <c r="P356" s="510"/>
      <c r="Q356" s="510"/>
      <c r="R356" s="510"/>
      <c r="S356" s="510"/>
      <c r="T356" s="510"/>
      <c r="U356" s="510"/>
      <c r="V356" s="510"/>
      <c r="W356" s="510"/>
      <c r="X356" s="510"/>
      <c r="Y356" s="510"/>
      <c r="Z356" s="510"/>
      <c r="AA356" s="510"/>
      <c r="AB356" s="510"/>
      <c r="AC356" s="510"/>
      <c r="AD356" s="510"/>
      <c r="AE356" s="510"/>
      <c r="AF356" s="510"/>
      <c r="AG356" s="510"/>
      <c r="AH356" s="510"/>
      <c r="AI356" s="510"/>
      <c r="AJ356" s="510"/>
      <c r="AK356" s="510"/>
      <c r="AL356" s="510"/>
      <c r="AM356" s="510"/>
      <c r="AN356" s="510"/>
      <c r="AO356" s="510"/>
      <c r="AP356" s="510"/>
      <c r="AQ356" s="510"/>
      <c r="AR356" s="510"/>
      <c r="AS356" s="510"/>
      <c r="AT356" s="510"/>
      <c r="AU356" s="510"/>
      <c r="AV356" s="510"/>
      <c r="AW356" s="510"/>
      <c r="AX356" s="510"/>
      <c r="AY356" s="510"/>
      <c r="AZ356" s="466"/>
      <c r="BA356" s="466"/>
      <c r="BB356" s="466"/>
      <c r="BC356" s="466"/>
      <c r="BD356" s="466"/>
      <c r="BE356" s="466"/>
      <c r="BF356" s="466"/>
      <c r="BG356" s="466"/>
      <c r="BH356" s="466"/>
      <c r="BI356" s="466"/>
      <c r="BJ356" s="466"/>
      <c r="BK356" s="466"/>
      <c r="BL356" s="466"/>
      <c r="BM356" s="466"/>
      <c r="BN356" s="466"/>
      <c r="BO356" s="466"/>
      <c r="BP356" s="466"/>
      <c r="BQ356" s="466"/>
      <c r="BR356" s="466"/>
      <c r="BS356" s="466"/>
      <c r="BT356" s="466"/>
      <c r="BU356" s="466"/>
      <c r="BV356" s="466"/>
      <c r="BW356" s="466"/>
      <c r="BX356" s="466"/>
      <c r="BY356" s="466"/>
      <c r="BZ356" s="466"/>
      <c r="CA356" s="466"/>
      <c r="CB356" s="466"/>
      <c r="CC356" s="466"/>
      <c r="CD356" s="466"/>
      <c r="CE356" s="466"/>
      <c r="CF356" s="466"/>
      <c r="CG356" s="466"/>
      <c r="CH356" s="466"/>
      <c r="CI356" s="466"/>
      <c r="CJ356" s="466"/>
      <c r="CK356" s="466"/>
      <c r="CL356" s="466"/>
      <c r="CM356" s="466"/>
      <c r="CN356" s="466"/>
      <c r="CO356" s="466"/>
      <c r="CP356" s="466"/>
      <c r="CQ356" s="466"/>
      <c r="CR356" s="466"/>
      <c r="CS356" s="466"/>
      <c r="CT356" s="466"/>
      <c r="CU356" s="466"/>
      <c r="CV356" s="466"/>
      <c r="CW356" s="466"/>
      <c r="CX356" s="466"/>
      <c r="CY356" s="466"/>
      <c r="CZ356" s="466"/>
      <c r="DA356" s="466"/>
      <c r="DB356" s="466"/>
      <c r="DC356" s="466"/>
      <c r="DD356" s="466"/>
      <c r="DE356" s="466"/>
      <c r="DF356" s="466"/>
      <c r="DG356" s="466"/>
      <c r="FE356" s="527"/>
      <c r="FF356" s="466"/>
      <c r="FG356" s="466"/>
      <c r="FH356" s="466"/>
      <c r="FI356" s="466"/>
      <c r="FJ356" s="466"/>
      <c r="FK356" s="466"/>
      <c r="FL356" s="466"/>
      <c r="FM356" s="466"/>
      <c r="FN356" s="466"/>
      <c r="FO356" s="466"/>
      <c r="FP356" s="466"/>
      <c r="FQ356" s="466"/>
      <c r="FR356" s="466"/>
      <c r="FS356" s="466"/>
      <c r="FT356" s="466"/>
      <c r="FU356" s="466"/>
      <c r="FV356" s="466"/>
      <c r="FW356" s="466"/>
      <c r="FX356" s="466"/>
      <c r="FY356" s="466"/>
      <c r="FZ356" s="527"/>
      <c r="GA356" s="527"/>
      <c r="GB356" s="527"/>
      <c r="GC356" s="527"/>
      <c r="GD356" s="527"/>
      <c r="GE356" s="527"/>
      <c r="GF356" s="527"/>
      <c r="GG356" s="527"/>
      <c r="GH356" s="527"/>
      <c r="GI356" s="527"/>
      <c r="GJ356" s="527"/>
      <c r="GK356" s="527"/>
      <c r="GL356" s="527"/>
      <c r="GM356" s="527"/>
      <c r="GN356" s="527"/>
      <c r="GV356" s="527"/>
      <c r="GW356" s="527"/>
      <c r="GX356" s="527"/>
      <c r="GY356" s="527"/>
      <c r="GZ356" s="527"/>
      <c r="HA356" s="527"/>
      <c r="HB356" s="527"/>
      <c r="HC356" s="527"/>
      <c r="HD356" s="527"/>
      <c r="HE356" s="844"/>
      <c r="HF356" s="844"/>
      <c r="HG356" s="844"/>
      <c r="HH356" s="844"/>
      <c r="HI356" s="844"/>
      <c r="HJ356" s="844"/>
      <c r="HK356" s="844"/>
      <c r="HL356" s="844"/>
      <c r="HM356" s="844"/>
      <c r="HN356" s="844"/>
      <c r="HP356" s="466"/>
      <c r="HQ356" s="466"/>
      <c r="HR356" s="466"/>
      <c r="HS356" s="415"/>
      <c r="HT356" s="2292"/>
    </row>
    <row r="357" spans="3:228">
      <c r="C357" s="466"/>
      <c r="D357" s="466"/>
      <c r="E357" s="466"/>
      <c r="F357" s="466"/>
      <c r="G357" s="466"/>
      <c r="H357" s="466"/>
      <c r="I357" s="466"/>
      <c r="J357" s="466"/>
      <c r="K357" s="466"/>
      <c r="L357" s="466"/>
      <c r="M357" s="466"/>
      <c r="N357" s="466"/>
      <c r="O357" s="466"/>
      <c r="P357" s="510"/>
      <c r="Q357" s="510"/>
      <c r="R357" s="510"/>
      <c r="S357" s="510"/>
      <c r="T357" s="510"/>
      <c r="U357" s="510"/>
      <c r="V357" s="510"/>
      <c r="W357" s="510"/>
      <c r="X357" s="510"/>
      <c r="Y357" s="510"/>
      <c r="Z357" s="510"/>
      <c r="AA357" s="510"/>
      <c r="AB357" s="510"/>
      <c r="AC357" s="510"/>
      <c r="AD357" s="510"/>
      <c r="AE357" s="510"/>
      <c r="AF357" s="510"/>
      <c r="AG357" s="510"/>
      <c r="AH357" s="510"/>
      <c r="AI357" s="510"/>
      <c r="AJ357" s="510"/>
      <c r="AK357" s="510"/>
      <c r="AL357" s="510"/>
      <c r="AM357" s="510"/>
      <c r="AN357" s="510"/>
      <c r="AO357" s="510"/>
      <c r="AP357" s="510"/>
      <c r="AQ357" s="510"/>
      <c r="AR357" s="510"/>
      <c r="AS357" s="510"/>
      <c r="AT357" s="510"/>
      <c r="AU357" s="510"/>
      <c r="AV357" s="510"/>
      <c r="AW357" s="510"/>
      <c r="AX357" s="510"/>
      <c r="AY357" s="510"/>
      <c r="AZ357" s="466"/>
      <c r="BA357" s="466"/>
      <c r="BB357" s="466"/>
      <c r="BC357" s="466"/>
      <c r="BD357" s="466"/>
      <c r="BE357" s="466"/>
      <c r="BF357" s="466"/>
      <c r="BG357" s="466"/>
      <c r="BH357" s="466"/>
      <c r="BI357" s="466"/>
      <c r="BJ357" s="466"/>
      <c r="BK357" s="466"/>
      <c r="BL357" s="466"/>
      <c r="BM357" s="466"/>
      <c r="BN357" s="466"/>
      <c r="BO357" s="466"/>
      <c r="BP357" s="466"/>
      <c r="BQ357" s="466"/>
      <c r="BR357" s="466"/>
      <c r="BS357" s="466"/>
      <c r="BT357" s="466"/>
      <c r="BU357" s="466"/>
      <c r="BV357" s="466"/>
      <c r="BW357" s="466"/>
      <c r="BX357" s="466"/>
      <c r="BY357" s="466"/>
      <c r="BZ357" s="466"/>
      <c r="CA357" s="466"/>
      <c r="CB357" s="466"/>
      <c r="CC357" s="466"/>
      <c r="CD357" s="466"/>
      <c r="CE357" s="466"/>
      <c r="CF357" s="466"/>
      <c r="CG357" s="466"/>
      <c r="CH357" s="466"/>
      <c r="CI357" s="466"/>
      <c r="CJ357" s="466"/>
      <c r="CK357" s="466"/>
      <c r="CL357" s="466"/>
      <c r="CM357" s="466"/>
      <c r="CN357" s="466"/>
      <c r="CO357" s="466"/>
      <c r="CP357" s="466"/>
      <c r="CQ357" s="466"/>
      <c r="CR357" s="466"/>
      <c r="CS357" s="466"/>
      <c r="CT357" s="466"/>
      <c r="CU357" s="466"/>
      <c r="CV357" s="466"/>
      <c r="CW357" s="466"/>
      <c r="CX357" s="466"/>
      <c r="CY357" s="466"/>
      <c r="CZ357" s="466"/>
      <c r="DA357" s="466"/>
      <c r="DB357" s="466"/>
      <c r="DC357" s="466"/>
      <c r="DD357" s="466"/>
      <c r="DE357" s="466"/>
      <c r="DF357" s="466"/>
      <c r="DG357" s="466"/>
      <c r="FE357" s="527"/>
      <c r="FF357" s="466"/>
      <c r="FG357" s="466"/>
      <c r="FH357" s="466"/>
      <c r="FI357" s="466"/>
      <c r="FJ357" s="466"/>
      <c r="FK357" s="466"/>
      <c r="FL357" s="466"/>
      <c r="FM357" s="466"/>
      <c r="FN357" s="466"/>
      <c r="FO357" s="466"/>
      <c r="FP357" s="466"/>
      <c r="FQ357" s="466"/>
      <c r="FR357" s="466"/>
      <c r="FS357" s="466"/>
      <c r="FT357" s="466"/>
      <c r="FU357" s="466"/>
      <c r="FV357" s="466"/>
      <c r="FW357" s="466"/>
      <c r="FX357" s="466"/>
      <c r="FY357" s="466"/>
      <c r="FZ357" s="527"/>
      <c r="GA357" s="527"/>
      <c r="GB357" s="527"/>
      <c r="GC357" s="527"/>
      <c r="GD357" s="527"/>
      <c r="GE357" s="527"/>
      <c r="GF357" s="527"/>
      <c r="GG357" s="527"/>
      <c r="GH357" s="527"/>
      <c r="GI357" s="527"/>
      <c r="GJ357" s="527"/>
      <c r="GK357" s="527"/>
      <c r="GL357" s="527"/>
      <c r="GM357" s="527"/>
      <c r="GN357" s="527"/>
      <c r="GV357" s="527"/>
      <c r="GW357" s="527"/>
      <c r="GX357" s="527"/>
      <c r="GY357" s="527"/>
      <c r="GZ357" s="527"/>
      <c r="HA357" s="527"/>
      <c r="HB357" s="527"/>
      <c r="HC357" s="527"/>
      <c r="HD357" s="527"/>
      <c r="HE357" s="844"/>
      <c r="HF357" s="844"/>
      <c r="HG357" s="844"/>
      <c r="HH357" s="844"/>
      <c r="HI357" s="844"/>
      <c r="HJ357" s="844"/>
      <c r="HK357" s="844"/>
      <c r="HL357" s="844"/>
      <c r="HM357" s="844"/>
      <c r="HN357" s="844"/>
      <c r="HP357" s="466"/>
      <c r="HQ357" s="466"/>
      <c r="HR357" s="466"/>
      <c r="HS357" s="415"/>
      <c r="HT357" s="2292"/>
    </row>
    <row r="358" spans="3:228">
      <c r="C358" s="466"/>
      <c r="D358" s="466"/>
      <c r="E358" s="466"/>
      <c r="F358" s="466"/>
      <c r="G358" s="466"/>
      <c r="H358" s="466"/>
      <c r="I358" s="466"/>
      <c r="J358" s="466"/>
      <c r="K358" s="466"/>
      <c r="L358" s="466"/>
      <c r="M358" s="466"/>
      <c r="N358" s="466"/>
      <c r="O358" s="466"/>
      <c r="P358" s="510"/>
      <c r="Q358" s="510"/>
      <c r="R358" s="510"/>
      <c r="S358" s="510"/>
      <c r="T358" s="510"/>
      <c r="U358" s="510"/>
      <c r="V358" s="510"/>
      <c r="W358" s="510"/>
      <c r="X358" s="510"/>
      <c r="Y358" s="510"/>
      <c r="Z358" s="510"/>
      <c r="AA358" s="510"/>
      <c r="AB358" s="510"/>
      <c r="AC358" s="510"/>
      <c r="AD358" s="510"/>
      <c r="AE358" s="510"/>
      <c r="AF358" s="510"/>
      <c r="AG358" s="510"/>
      <c r="AH358" s="510"/>
      <c r="AI358" s="510"/>
      <c r="AJ358" s="510"/>
      <c r="AK358" s="510"/>
      <c r="AL358" s="510"/>
      <c r="AM358" s="510"/>
      <c r="AN358" s="510"/>
      <c r="AO358" s="510"/>
      <c r="AP358" s="510"/>
      <c r="AQ358" s="510"/>
      <c r="AR358" s="510"/>
      <c r="AS358" s="510"/>
      <c r="AT358" s="510"/>
      <c r="AU358" s="510"/>
      <c r="AV358" s="510"/>
      <c r="AW358" s="510"/>
      <c r="AX358" s="510"/>
      <c r="AY358" s="510"/>
      <c r="AZ358" s="466"/>
      <c r="BA358" s="466"/>
      <c r="BB358" s="466"/>
      <c r="BC358" s="466"/>
      <c r="BD358" s="466"/>
      <c r="BE358" s="466"/>
      <c r="BF358" s="466"/>
      <c r="BG358" s="466"/>
      <c r="BH358" s="466"/>
      <c r="BI358" s="466"/>
      <c r="BJ358" s="466"/>
      <c r="BK358" s="466"/>
      <c r="BL358" s="466"/>
      <c r="BM358" s="466"/>
      <c r="BN358" s="466"/>
      <c r="BO358" s="466"/>
      <c r="BP358" s="466"/>
      <c r="BQ358" s="466"/>
      <c r="BR358" s="466"/>
      <c r="BS358" s="466"/>
      <c r="BT358" s="466"/>
      <c r="BU358" s="466"/>
      <c r="BV358" s="466"/>
      <c r="BW358" s="466"/>
      <c r="BX358" s="466"/>
      <c r="BY358" s="466"/>
      <c r="BZ358" s="466"/>
      <c r="CA358" s="466"/>
      <c r="CB358" s="466"/>
      <c r="CC358" s="466"/>
      <c r="CD358" s="466"/>
      <c r="CE358" s="466"/>
      <c r="CF358" s="466"/>
      <c r="CG358" s="466"/>
      <c r="CH358" s="466"/>
      <c r="CI358" s="466"/>
      <c r="CJ358" s="466"/>
      <c r="CK358" s="466"/>
      <c r="CL358" s="466"/>
      <c r="CM358" s="466"/>
      <c r="CN358" s="466"/>
      <c r="CO358" s="466"/>
      <c r="CP358" s="466"/>
      <c r="CQ358" s="466"/>
      <c r="CR358" s="466"/>
      <c r="CS358" s="466"/>
      <c r="CT358" s="466"/>
      <c r="CU358" s="466"/>
      <c r="CV358" s="466"/>
      <c r="CW358" s="466"/>
      <c r="CX358" s="466"/>
      <c r="CY358" s="466"/>
      <c r="CZ358" s="466"/>
      <c r="DA358" s="466"/>
      <c r="DB358" s="466"/>
      <c r="DC358" s="466"/>
      <c r="DD358" s="466"/>
      <c r="DE358" s="466"/>
      <c r="DF358" s="466"/>
      <c r="DG358" s="466"/>
      <c r="FE358" s="527"/>
      <c r="FF358" s="466"/>
      <c r="FG358" s="466"/>
      <c r="FH358" s="466"/>
      <c r="FI358" s="466"/>
      <c r="FJ358" s="466"/>
      <c r="FK358" s="466"/>
      <c r="FL358" s="466"/>
      <c r="FM358" s="466"/>
      <c r="FN358" s="466"/>
      <c r="FO358" s="466"/>
      <c r="FP358" s="466"/>
      <c r="FQ358" s="466"/>
      <c r="FR358" s="466"/>
      <c r="FS358" s="466"/>
      <c r="FT358" s="466"/>
      <c r="FU358" s="466"/>
      <c r="FV358" s="466"/>
      <c r="FW358" s="466"/>
      <c r="FX358" s="466"/>
      <c r="FY358" s="466"/>
      <c r="FZ358" s="527"/>
      <c r="GA358" s="527"/>
      <c r="GB358" s="527"/>
      <c r="GC358" s="527"/>
      <c r="GD358" s="527"/>
      <c r="GE358" s="527"/>
      <c r="GF358" s="527"/>
      <c r="GG358" s="527"/>
      <c r="GH358" s="527"/>
      <c r="GI358" s="527"/>
      <c r="GJ358" s="527"/>
      <c r="GK358" s="527"/>
      <c r="GL358" s="527"/>
      <c r="GM358" s="527"/>
      <c r="GN358" s="527"/>
      <c r="GV358" s="527"/>
      <c r="GW358" s="527"/>
      <c r="GX358" s="527"/>
      <c r="GY358" s="527"/>
      <c r="GZ358" s="527"/>
      <c r="HA358" s="527"/>
      <c r="HB358" s="527"/>
      <c r="HC358" s="527"/>
      <c r="HD358" s="527"/>
      <c r="HE358" s="844"/>
      <c r="HF358" s="844"/>
      <c r="HG358" s="844"/>
      <c r="HH358" s="844"/>
      <c r="HI358" s="844"/>
      <c r="HJ358" s="844"/>
      <c r="HK358" s="844"/>
      <c r="HL358" s="844"/>
      <c r="HM358" s="844"/>
      <c r="HN358" s="844"/>
      <c r="HP358" s="466"/>
      <c r="HQ358" s="466"/>
      <c r="HR358" s="466"/>
      <c r="HS358" s="415"/>
      <c r="HT358" s="2292"/>
    </row>
    <row r="359" spans="3:228">
      <c r="C359" s="466"/>
      <c r="D359" s="466"/>
      <c r="E359" s="466"/>
      <c r="F359" s="466"/>
      <c r="G359" s="466"/>
      <c r="H359" s="466"/>
      <c r="I359" s="466"/>
      <c r="J359" s="466"/>
      <c r="K359" s="466"/>
      <c r="L359" s="466"/>
      <c r="M359" s="466"/>
      <c r="N359" s="466"/>
      <c r="O359" s="466"/>
      <c r="P359" s="510"/>
      <c r="Q359" s="510"/>
      <c r="R359" s="510"/>
      <c r="S359" s="510"/>
      <c r="T359" s="510"/>
      <c r="U359" s="510"/>
      <c r="V359" s="510"/>
      <c r="W359" s="510"/>
      <c r="X359" s="510"/>
      <c r="Y359" s="510"/>
      <c r="Z359" s="510"/>
      <c r="AA359" s="510"/>
      <c r="AB359" s="510"/>
      <c r="AC359" s="510"/>
      <c r="AD359" s="510"/>
      <c r="AE359" s="510"/>
      <c r="AF359" s="510"/>
      <c r="AG359" s="510"/>
      <c r="AH359" s="510"/>
      <c r="AI359" s="510"/>
      <c r="AJ359" s="510"/>
      <c r="AK359" s="510"/>
      <c r="AL359" s="510"/>
      <c r="AM359" s="510"/>
      <c r="AN359" s="510"/>
      <c r="AO359" s="510"/>
      <c r="AP359" s="510"/>
      <c r="AQ359" s="510"/>
      <c r="AR359" s="510"/>
      <c r="AS359" s="510"/>
      <c r="AT359" s="510"/>
      <c r="AU359" s="510"/>
      <c r="AV359" s="510"/>
      <c r="AW359" s="510"/>
      <c r="AX359" s="510"/>
      <c r="AY359" s="510"/>
      <c r="AZ359" s="466"/>
      <c r="BA359" s="466"/>
      <c r="BB359" s="466"/>
      <c r="BC359" s="466"/>
      <c r="BD359" s="466"/>
      <c r="BE359" s="466"/>
      <c r="BF359" s="466"/>
      <c r="BG359" s="466"/>
      <c r="BH359" s="466"/>
      <c r="BI359" s="466"/>
      <c r="BJ359" s="466"/>
      <c r="BK359" s="466"/>
      <c r="BL359" s="466"/>
      <c r="BM359" s="466"/>
      <c r="BN359" s="466"/>
      <c r="BO359" s="466"/>
      <c r="BP359" s="466"/>
      <c r="BQ359" s="466"/>
      <c r="BR359" s="466"/>
      <c r="BS359" s="466"/>
      <c r="BT359" s="466"/>
      <c r="BU359" s="466"/>
      <c r="BV359" s="466"/>
      <c r="BW359" s="466"/>
      <c r="BX359" s="466"/>
      <c r="BY359" s="466"/>
      <c r="BZ359" s="466"/>
      <c r="CA359" s="466"/>
      <c r="CB359" s="466"/>
      <c r="CC359" s="466"/>
      <c r="CD359" s="466"/>
      <c r="CE359" s="466"/>
      <c r="CF359" s="466"/>
      <c r="CG359" s="466"/>
      <c r="CH359" s="466"/>
      <c r="CI359" s="466"/>
      <c r="CJ359" s="466"/>
      <c r="CK359" s="466"/>
      <c r="CL359" s="466"/>
      <c r="CM359" s="466"/>
      <c r="CN359" s="466"/>
      <c r="CO359" s="466"/>
      <c r="CP359" s="466"/>
      <c r="CQ359" s="466"/>
      <c r="CR359" s="466"/>
      <c r="CS359" s="466"/>
      <c r="CT359" s="466"/>
      <c r="CU359" s="466"/>
      <c r="CV359" s="466"/>
      <c r="CW359" s="466"/>
      <c r="CX359" s="466"/>
      <c r="CY359" s="466"/>
      <c r="CZ359" s="466"/>
      <c r="DA359" s="466"/>
      <c r="DB359" s="466"/>
      <c r="DC359" s="466"/>
      <c r="DD359" s="466"/>
      <c r="DE359" s="466"/>
      <c r="DF359" s="466"/>
      <c r="DG359" s="466"/>
      <c r="FE359" s="527"/>
      <c r="FF359" s="466"/>
      <c r="FG359" s="466"/>
      <c r="FH359" s="466"/>
      <c r="FI359" s="466"/>
      <c r="FJ359" s="466"/>
      <c r="FK359" s="466"/>
      <c r="FL359" s="466"/>
      <c r="FM359" s="466"/>
      <c r="FN359" s="466"/>
      <c r="FO359" s="466"/>
      <c r="FP359" s="466"/>
      <c r="FQ359" s="466"/>
      <c r="FR359" s="466"/>
      <c r="FS359" s="466"/>
      <c r="FT359" s="466"/>
      <c r="FU359" s="466"/>
      <c r="FV359" s="466"/>
      <c r="FW359" s="466"/>
      <c r="FX359" s="466"/>
      <c r="FY359" s="466"/>
      <c r="FZ359" s="527"/>
      <c r="GA359" s="527"/>
      <c r="GB359" s="527"/>
      <c r="GC359" s="527"/>
      <c r="GD359" s="527"/>
      <c r="GE359" s="527"/>
      <c r="GF359" s="527"/>
      <c r="GG359" s="527"/>
      <c r="GH359" s="527"/>
      <c r="GI359" s="527"/>
      <c r="GJ359" s="527"/>
      <c r="GK359" s="527"/>
      <c r="GL359" s="527"/>
      <c r="GM359" s="527"/>
      <c r="GN359" s="527"/>
      <c r="GV359" s="527"/>
      <c r="GW359" s="527"/>
      <c r="GX359" s="527"/>
      <c r="GY359" s="527"/>
      <c r="GZ359" s="527"/>
      <c r="HA359" s="527"/>
      <c r="HB359" s="527"/>
      <c r="HC359" s="527"/>
      <c r="HD359" s="527"/>
      <c r="HE359" s="844"/>
      <c r="HF359" s="844"/>
      <c r="HG359" s="844"/>
      <c r="HH359" s="844"/>
      <c r="HI359" s="844"/>
      <c r="HJ359" s="844"/>
      <c r="HK359" s="844"/>
      <c r="HL359" s="844"/>
      <c r="HM359" s="844"/>
      <c r="HN359" s="844"/>
      <c r="HP359" s="466"/>
      <c r="HQ359" s="466"/>
      <c r="HR359" s="466"/>
      <c r="HS359" s="415"/>
      <c r="HT359" s="2292"/>
    </row>
    <row r="360" spans="3:228">
      <c r="C360" s="466"/>
      <c r="D360" s="466"/>
      <c r="E360" s="466"/>
      <c r="F360" s="466"/>
      <c r="G360" s="466"/>
      <c r="H360" s="466"/>
      <c r="I360" s="466"/>
      <c r="J360" s="466"/>
      <c r="K360" s="466"/>
      <c r="L360" s="466"/>
      <c r="M360" s="466"/>
      <c r="N360" s="466"/>
      <c r="O360" s="466"/>
      <c r="P360" s="510"/>
      <c r="Q360" s="510"/>
      <c r="R360" s="510"/>
      <c r="S360" s="510"/>
      <c r="T360" s="510"/>
      <c r="U360" s="510"/>
      <c r="V360" s="510"/>
      <c r="W360" s="510"/>
      <c r="X360" s="510"/>
      <c r="Y360" s="510"/>
      <c r="Z360" s="510"/>
      <c r="AA360" s="510"/>
      <c r="AB360" s="510"/>
      <c r="AC360" s="510"/>
      <c r="AD360" s="510"/>
      <c r="AE360" s="510"/>
      <c r="AF360" s="510"/>
      <c r="AG360" s="510"/>
      <c r="AH360" s="510"/>
      <c r="AI360" s="510"/>
      <c r="AJ360" s="510"/>
      <c r="AK360" s="510"/>
      <c r="AL360" s="510"/>
      <c r="AM360" s="510"/>
      <c r="AN360" s="510"/>
      <c r="AO360" s="510"/>
      <c r="AP360" s="510"/>
      <c r="AQ360" s="510"/>
      <c r="AR360" s="510"/>
      <c r="AS360" s="510"/>
      <c r="AT360" s="510"/>
      <c r="AU360" s="510"/>
      <c r="AV360" s="510"/>
      <c r="AW360" s="510"/>
      <c r="AX360" s="510"/>
      <c r="AY360" s="510"/>
      <c r="AZ360" s="466"/>
      <c r="BA360" s="466"/>
      <c r="BB360" s="466"/>
      <c r="BC360" s="466"/>
      <c r="BD360" s="466"/>
      <c r="BE360" s="466"/>
      <c r="BF360" s="466"/>
      <c r="BG360" s="466"/>
      <c r="BH360" s="466"/>
      <c r="BI360" s="466"/>
      <c r="BJ360" s="466"/>
      <c r="BK360" s="466"/>
      <c r="BL360" s="466"/>
      <c r="BM360" s="466"/>
      <c r="BN360" s="466"/>
      <c r="BO360" s="466"/>
      <c r="BP360" s="466"/>
      <c r="BQ360" s="466"/>
      <c r="BR360" s="466"/>
      <c r="BS360" s="466"/>
      <c r="BT360" s="466"/>
      <c r="BU360" s="466"/>
      <c r="BV360" s="466"/>
      <c r="BW360" s="466"/>
      <c r="BX360" s="466"/>
      <c r="BY360" s="466"/>
      <c r="BZ360" s="466"/>
      <c r="CA360" s="466"/>
      <c r="CB360" s="466"/>
      <c r="CC360" s="466"/>
      <c r="CD360" s="466"/>
      <c r="CE360" s="466"/>
      <c r="CF360" s="466"/>
      <c r="CG360" s="466"/>
      <c r="CH360" s="466"/>
      <c r="CI360" s="466"/>
      <c r="CJ360" s="466"/>
      <c r="CK360" s="466"/>
      <c r="CL360" s="466"/>
      <c r="CM360" s="466"/>
      <c r="CN360" s="466"/>
      <c r="CO360" s="466"/>
      <c r="CP360" s="466"/>
      <c r="CQ360" s="466"/>
      <c r="CR360" s="466"/>
      <c r="CS360" s="466"/>
      <c r="CT360" s="466"/>
      <c r="CU360" s="466"/>
      <c r="CV360" s="466"/>
      <c r="CW360" s="466"/>
      <c r="CX360" s="466"/>
      <c r="CY360" s="466"/>
      <c r="CZ360" s="466"/>
      <c r="DA360" s="466"/>
      <c r="DB360" s="466"/>
      <c r="DC360" s="466"/>
      <c r="DD360" s="466"/>
      <c r="DE360" s="466"/>
      <c r="DF360" s="466"/>
      <c r="DG360" s="466"/>
      <c r="FE360" s="527"/>
      <c r="FF360" s="466"/>
      <c r="FG360" s="466"/>
      <c r="FH360" s="466"/>
      <c r="FI360" s="466"/>
      <c r="FJ360" s="466"/>
      <c r="FK360" s="466"/>
      <c r="FL360" s="466"/>
      <c r="FM360" s="466"/>
      <c r="FN360" s="466"/>
      <c r="FO360" s="466"/>
      <c r="FP360" s="466"/>
      <c r="FQ360" s="466"/>
      <c r="FR360" s="466"/>
      <c r="FS360" s="466"/>
      <c r="FT360" s="466"/>
      <c r="FU360" s="466"/>
      <c r="FV360" s="466"/>
      <c r="FW360" s="466"/>
      <c r="FX360" s="466"/>
      <c r="FY360" s="466"/>
      <c r="FZ360" s="527"/>
      <c r="GA360" s="527"/>
      <c r="GB360" s="527"/>
      <c r="GC360" s="527"/>
      <c r="GD360" s="527"/>
      <c r="GE360" s="527"/>
      <c r="GF360" s="527"/>
      <c r="GG360" s="527"/>
      <c r="GH360" s="527"/>
      <c r="GI360" s="527"/>
      <c r="GJ360" s="527"/>
      <c r="GK360" s="527"/>
      <c r="GL360" s="527"/>
      <c r="GM360" s="527"/>
      <c r="GN360" s="527"/>
      <c r="GV360" s="527"/>
      <c r="GW360" s="527"/>
      <c r="GX360" s="527"/>
      <c r="GY360" s="527"/>
      <c r="GZ360" s="527"/>
      <c r="HA360" s="527"/>
      <c r="HB360" s="527"/>
      <c r="HC360" s="527"/>
      <c r="HD360" s="527"/>
      <c r="HE360" s="844"/>
      <c r="HF360" s="844"/>
      <c r="HG360" s="844"/>
      <c r="HH360" s="844"/>
      <c r="HI360" s="844"/>
      <c r="HJ360" s="844"/>
      <c r="HK360" s="844"/>
      <c r="HL360" s="844"/>
      <c r="HM360" s="844"/>
      <c r="HN360" s="844"/>
      <c r="HP360" s="466"/>
      <c r="HQ360" s="466"/>
      <c r="HR360" s="466"/>
      <c r="HS360" s="415"/>
      <c r="HT360" s="2292"/>
    </row>
    <row r="361" spans="3:228">
      <c r="C361" s="466"/>
      <c r="D361" s="466"/>
      <c r="E361" s="466"/>
      <c r="F361" s="466"/>
      <c r="G361" s="466"/>
      <c r="H361" s="466"/>
      <c r="I361" s="466"/>
      <c r="J361" s="466"/>
      <c r="K361" s="466"/>
      <c r="L361" s="466"/>
      <c r="M361" s="466"/>
      <c r="N361" s="466"/>
      <c r="O361" s="466"/>
      <c r="P361" s="510"/>
      <c r="Q361" s="510"/>
      <c r="R361" s="510"/>
      <c r="S361" s="510"/>
      <c r="T361" s="510"/>
      <c r="U361" s="510"/>
      <c r="V361" s="510"/>
      <c r="W361" s="510"/>
      <c r="X361" s="510"/>
      <c r="Y361" s="510"/>
      <c r="Z361" s="510"/>
      <c r="AA361" s="510"/>
      <c r="AB361" s="510"/>
      <c r="AC361" s="510"/>
      <c r="AD361" s="510"/>
      <c r="AE361" s="510"/>
      <c r="AF361" s="510"/>
      <c r="AG361" s="510"/>
      <c r="AH361" s="510"/>
      <c r="AI361" s="510"/>
      <c r="AJ361" s="510"/>
      <c r="AK361" s="510"/>
      <c r="AL361" s="510"/>
      <c r="AM361" s="510"/>
      <c r="AN361" s="510"/>
      <c r="AO361" s="510"/>
      <c r="AP361" s="510"/>
      <c r="AQ361" s="510"/>
      <c r="AR361" s="510"/>
      <c r="AS361" s="510"/>
      <c r="AT361" s="510"/>
      <c r="AU361" s="510"/>
      <c r="AV361" s="510"/>
      <c r="AW361" s="510"/>
      <c r="AX361" s="510"/>
      <c r="AY361" s="510"/>
      <c r="AZ361" s="466"/>
      <c r="BA361" s="466"/>
      <c r="BB361" s="466"/>
      <c r="BC361" s="466"/>
      <c r="BD361" s="466"/>
      <c r="BE361" s="466"/>
      <c r="BF361" s="466"/>
      <c r="BG361" s="466"/>
      <c r="BH361" s="466"/>
      <c r="BI361" s="466"/>
      <c r="BJ361" s="466"/>
      <c r="BK361" s="466"/>
      <c r="BL361" s="466"/>
      <c r="BM361" s="466"/>
      <c r="BN361" s="466"/>
      <c r="BO361" s="466"/>
      <c r="BP361" s="466"/>
      <c r="BQ361" s="466"/>
      <c r="BR361" s="466"/>
      <c r="BS361" s="466"/>
      <c r="BT361" s="466"/>
      <c r="BU361" s="466"/>
      <c r="BV361" s="466"/>
      <c r="BW361" s="466"/>
      <c r="BX361" s="466"/>
      <c r="BY361" s="466"/>
      <c r="BZ361" s="466"/>
      <c r="CA361" s="466"/>
      <c r="CB361" s="466"/>
      <c r="CC361" s="466"/>
      <c r="CD361" s="466"/>
      <c r="CE361" s="466"/>
      <c r="CF361" s="466"/>
      <c r="CG361" s="466"/>
      <c r="CH361" s="466"/>
      <c r="CI361" s="466"/>
      <c r="CJ361" s="466"/>
      <c r="CK361" s="466"/>
      <c r="CL361" s="466"/>
      <c r="CM361" s="466"/>
      <c r="CN361" s="466"/>
      <c r="CO361" s="466"/>
      <c r="CP361" s="466"/>
      <c r="CQ361" s="466"/>
      <c r="CR361" s="466"/>
      <c r="CS361" s="466"/>
      <c r="CT361" s="466"/>
      <c r="CU361" s="466"/>
      <c r="CV361" s="466"/>
      <c r="CW361" s="466"/>
      <c r="CX361" s="466"/>
      <c r="CY361" s="466"/>
      <c r="CZ361" s="466"/>
      <c r="DA361" s="466"/>
      <c r="DB361" s="466"/>
      <c r="DC361" s="466"/>
      <c r="DD361" s="466"/>
      <c r="DE361" s="466"/>
      <c r="DF361" s="466"/>
      <c r="DG361" s="466"/>
      <c r="FE361" s="527"/>
      <c r="FF361" s="466"/>
      <c r="FG361" s="466"/>
      <c r="FH361" s="466"/>
      <c r="FI361" s="466"/>
      <c r="FJ361" s="466"/>
      <c r="FK361" s="466"/>
      <c r="FL361" s="466"/>
      <c r="FM361" s="466"/>
      <c r="FN361" s="466"/>
      <c r="FO361" s="466"/>
      <c r="FP361" s="466"/>
      <c r="FQ361" s="466"/>
      <c r="FR361" s="466"/>
      <c r="FS361" s="466"/>
      <c r="FT361" s="466"/>
      <c r="FU361" s="466"/>
      <c r="FV361" s="466"/>
      <c r="FW361" s="466"/>
      <c r="FX361" s="466"/>
      <c r="FY361" s="466"/>
      <c r="FZ361" s="527"/>
      <c r="GA361" s="527"/>
      <c r="GB361" s="527"/>
      <c r="GC361" s="527"/>
      <c r="GD361" s="527"/>
      <c r="GE361" s="527"/>
      <c r="GF361" s="527"/>
      <c r="GG361" s="527"/>
      <c r="GH361" s="527"/>
      <c r="GI361" s="527"/>
      <c r="GJ361" s="527"/>
      <c r="GK361" s="527"/>
      <c r="GL361" s="527"/>
      <c r="GM361" s="527"/>
      <c r="GN361" s="527"/>
      <c r="GV361" s="527"/>
      <c r="GW361" s="527"/>
      <c r="GX361" s="527"/>
      <c r="GY361" s="527"/>
      <c r="GZ361" s="527"/>
      <c r="HA361" s="527"/>
      <c r="HB361" s="527"/>
      <c r="HC361" s="527"/>
      <c r="HD361" s="527"/>
      <c r="HE361" s="844"/>
      <c r="HF361" s="844"/>
      <c r="HG361" s="844"/>
      <c r="HH361" s="844"/>
      <c r="HI361" s="844"/>
      <c r="HJ361" s="844"/>
      <c r="HK361" s="844"/>
      <c r="HL361" s="844"/>
      <c r="HM361" s="844"/>
      <c r="HN361" s="844"/>
      <c r="HP361" s="466"/>
      <c r="HQ361" s="466"/>
      <c r="HR361" s="466"/>
      <c r="HS361" s="415"/>
      <c r="HT361" s="2292"/>
    </row>
    <row r="362" spans="3:228">
      <c r="C362" s="466"/>
      <c r="D362" s="466"/>
      <c r="E362" s="466"/>
      <c r="F362" s="466"/>
      <c r="G362" s="466"/>
      <c r="H362" s="466"/>
      <c r="I362" s="466"/>
      <c r="J362" s="466"/>
      <c r="K362" s="466"/>
      <c r="L362" s="466"/>
      <c r="M362" s="466"/>
      <c r="N362" s="466"/>
      <c r="O362" s="466"/>
      <c r="P362" s="510"/>
      <c r="Q362" s="510"/>
      <c r="R362" s="510"/>
      <c r="S362" s="510"/>
      <c r="T362" s="510"/>
      <c r="U362" s="510"/>
      <c r="V362" s="510"/>
      <c r="W362" s="510"/>
      <c r="X362" s="510"/>
      <c r="Y362" s="510"/>
      <c r="Z362" s="510"/>
      <c r="AA362" s="510"/>
      <c r="AB362" s="510"/>
      <c r="AC362" s="510"/>
      <c r="AD362" s="510"/>
      <c r="AE362" s="510"/>
      <c r="AF362" s="510"/>
      <c r="AG362" s="510"/>
      <c r="AH362" s="510"/>
      <c r="AI362" s="510"/>
      <c r="AJ362" s="510"/>
      <c r="AK362" s="510"/>
      <c r="AL362" s="510"/>
      <c r="AM362" s="510"/>
      <c r="AN362" s="510"/>
      <c r="AO362" s="510"/>
      <c r="AP362" s="510"/>
      <c r="AQ362" s="510"/>
      <c r="AR362" s="510"/>
      <c r="AS362" s="510"/>
      <c r="AT362" s="510"/>
      <c r="AU362" s="510"/>
      <c r="AV362" s="510"/>
      <c r="AW362" s="510"/>
      <c r="AX362" s="510"/>
      <c r="AY362" s="510"/>
      <c r="AZ362" s="466"/>
      <c r="BA362" s="466"/>
      <c r="BB362" s="466"/>
      <c r="BC362" s="466"/>
      <c r="BD362" s="466"/>
      <c r="BE362" s="466"/>
      <c r="BF362" s="466"/>
      <c r="BG362" s="466"/>
      <c r="BH362" s="466"/>
      <c r="BI362" s="466"/>
      <c r="BJ362" s="466"/>
      <c r="BK362" s="466"/>
      <c r="BL362" s="466"/>
      <c r="BM362" s="466"/>
      <c r="BN362" s="466"/>
      <c r="BO362" s="466"/>
      <c r="BP362" s="466"/>
      <c r="BQ362" s="466"/>
      <c r="BR362" s="466"/>
      <c r="BS362" s="466"/>
      <c r="BT362" s="466"/>
      <c r="BU362" s="466"/>
      <c r="BV362" s="466"/>
      <c r="BW362" s="466"/>
      <c r="BX362" s="466"/>
      <c r="BY362" s="466"/>
      <c r="BZ362" s="466"/>
      <c r="CA362" s="466"/>
      <c r="CB362" s="466"/>
      <c r="CC362" s="466"/>
      <c r="CD362" s="466"/>
      <c r="CE362" s="466"/>
      <c r="CF362" s="466"/>
      <c r="CG362" s="466"/>
      <c r="CH362" s="466"/>
      <c r="CI362" s="466"/>
      <c r="CJ362" s="466"/>
      <c r="CK362" s="466"/>
      <c r="CL362" s="466"/>
      <c r="CM362" s="466"/>
      <c r="CN362" s="466"/>
      <c r="CO362" s="466"/>
      <c r="CP362" s="466"/>
      <c r="CQ362" s="466"/>
      <c r="CR362" s="466"/>
      <c r="CS362" s="466"/>
      <c r="CT362" s="466"/>
      <c r="CU362" s="466"/>
      <c r="CV362" s="466"/>
      <c r="CW362" s="466"/>
      <c r="CX362" s="466"/>
      <c r="CY362" s="466"/>
      <c r="CZ362" s="466"/>
      <c r="DA362" s="466"/>
      <c r="DB362" s="466"/>
      <c r="DC362" s="466"/>
      <c r="DD362" s="466"/>
      <c r="DE362" s="466"/>
      <c r="DF362" s="466"/>
      <c r="DG362" s="466"/>
      <c r="FE362" s="527"/>
      <c r="FF362" s="466"/>
      <c r="FG362" s="466"/>
      <c r="FH362" s="466"/>
      <c r="FI362" s="466"/>
      <c r="FJ362" s="466"/>
      <c r="FK362" s="466"/>
      <c r="FL362" s="466"/>
      <c r="FM362" s="466"/>
      <c r="FN362" s="466"/>
      <c r="FO362" s="466"/>
      <c r="FP362" s="466"/>
      <c r="FQ362" s="466"/>
      <c r="FR362" s="466"/>
      <c r="FS362" s="466"/>
      <c r="FT362" s="466"/>
      <c r="FU362" s="466"/>
      <c r="FV362" s="466"/>
      <c r="FW362" s="466"/>
      <c r="FX362" s="466"/>
      <c r="FY362" s="466"/>
      <c r="FZ362" s="527"/>
      <c r="GA362" s="527"/>
      <c r="GB362" s="527"/>
      <c r="GC362" s="527"/>
      <c r="GD362" s="527"/>
      <c r="GE362" s="527"/>
      <c r="GF362" s="527"/>
      <c r="GG362" s="527"/>
      <c r="GH362" s="527"/>
      <c r="GI362" s="527"/>
      <c r="GJ362" s="527"/>
      <c r="GK362" s="527"/>
      <c r="GL362" s="527"/>
      <c r="GM362" s="527"/>
      <c r="GN362" s="527"/>
      <c r="GV362" s="527"/>
      <c r="GW362" s="527"/>
      <c r="GX362" s="527"/>
      <c r="GY362" s="527"/>
      <c r="GZ362" s="527"/>
      <c r="HA362" s="527"/>
      <c r="HB362" s="527"/>
      <c r="HC362" s="527"/>
      <c r="HD362" s="527"/>
      <c r="HE362" s="844"/>
      <c r="HF362" s="844"/>
      <c r="HG362" s="844"/>
      <c r="HH362" s="844"/>
      <c r="HI362" s="844"/>
      <c r="HJ362" s="844"/>
      <c r="HK362" s="844"/>
      <c r="HL362" s="844"/>
      <c r="HM362" s="844"/>
      <c r="HN362" s="844"/>
      <c r="HP362" s="466"/>
      <c r="HQ362" s="466"/>
      <c r="HR362" s="466"/>
      <c r="HS362" s="415"/>
      <c r="HT362" s="2292"/>
    </row>
    <row r="363" spans="3:228">
      <c r="C363" s="466"/>
      <c r="D363" s="466"/>
      <c r="E363" s="466"/>
      <c r="F363" s="466"/>
      <c r="G363" s="466"/>
      <c r="H363" s="466"/>
      <c r="I363" s="466"/>
      <c r="J363" s="466"/>
      <c r="K363" s="466"/>
      <c r="L363" s="466"/>
      <c r="M363" s="466"/>
      <c r="N363" s="466"/>
      <c r="O363" s="466"/>
      <c r="P363" s="510"/>
      <c r="Q363" s="510"/>
      <c r="R363" s="510"/>
      <c r="S363" s="510"/>
      <c r="T363" s="510"/>
      <c r="U363" s="510"/>
      <c r="V363" s="510"/>
      <c r="W363" s="510"/>
      <c r="X363" s="510"/>
      <c r="Y363" s="510"/>
      <c r="Z363" s="510"/>
      <c r="AA363" s="510"/>
      <c r="AB363" s="510"/>
      <c r="AC363" s="510"/>
      <c r="AD363" s="510"/>
      <c r="AE363" s="510"/>
      <c r="AF363" s="510"/>
      <c r="AG363" s="510"/>
      <c r="AH363" s="510"/>
      <c r="AI363" s="510"/>
      <c r="AJ363" s="510"/>
      <c r="AK363" s="510"/>
      <c r="AL363" s="510"/>
      <c r="AM363" s="510"/>
      <c r="AN363" s="510"/>
      <c r="AO363" s="510"/>
      <c r="AP363" s="510"/>
      <c r="AQ363" s="510"/>
      <c r="AR363" s="510"/>
      <c r="AS363" s="510"/>
      <c r="AT363" s="510"/>
      <c r="AU363" s="510"/>
      <c r="AV363" s="510"/>
      <c r="AW363" s="510"/>
      <c r="AX363" s="510"/>
      <c r="AY363" s="510"/>
      <c r="AZ363" s="466"/>
      <c r="BA363" s="466"/>
      <c r="BB363" s="466"/>
      <c r="BC363" s="466"/>
      <c r="BD363" s="466"/>
      <c r="BE363" s="466"/>
      <c r="BF363" s="466"/>
      <c r="BG363" s="466"/>
      <c r="BH363" s="466"/>
      <c r="BI363" s="466"/>
      <c r="BJ363" s="466"/>
      <c r="BK363" s="466"/>
      <c r="BL363" s="466"/>
      <c r="BM363" s="466"/>
      <c r="BN363" s="466"/>
      <c r="BO363" s="466"/>
      <c r="BP363" s="466"/>
      <c r="BQ363" s="466"/>
      <c r="BR363" s="466"/>
      <c r="BS363" s="466"/>
      <c r="BT363" s="466"/>
      <c r="BU363" s="466"/>
      <c r="BV363" s="466"/>
      <c r="BW363" s="466"/>
      <c r="BX363" s="466"/>
      <c r="BY363" s="466"/>
      <c r="BZ363" s="466"/>
      <c r="CA363" s="466"/>
      <c r="CB363" s="466"/>
      <c r="CC363" s="466"/>
      <c r="CD363" s="466"/>
      <c r="CE363" s="466"/>
      <c r="CF363" s="466"/>
      <c r="CG363" s="466"/>
      <c r="CH363" s="466"/>
      <c r="CI363" s="466"/>
      <c r="CJ363" s="466"/>
      <c r="CK363" s="466"/>
      <c r="CL363" s="466"/>
      <c r="CM363" s="466"/>
      <c r="CN363" s="466"/>
      <c r="CO363" s="466"/>
      <c r="CP363" s="466"/>
      <c r="CQ363" s="466"/>
      <c r="CR363" s="466"/>
      <c r="CS363" s="466"/>
      <c r="CT363" s="466"/>
      <c r="CU363" s="466"/>
      <c r="CV363" s="466"/>
      <c r="CW363" s="466"/>
      <c r="CX363" s="466"/>
      <c r="CY363" s="466"/>
      <c r="CZ363" s="466"/>
      <c r="DA363" s="466"/>
      <c r="DB363" s="466"/>
      <c r="DC363" s="466"/>
      <c r="DD363" s="466"/>
      <c r="DE363" s="466"/>
      <c r="DF363" s="466"/>
      <c r="DG363" s="466"/>
      <c r="FE363" s="527"/>
      <c r="FF363" s="466"/>
      <c r="FG363" s="466"/>
      <c r="FH363" s="466"/>
      <c r="FI363" s="466"/>
      <c r="FJ363" s="466"/>
      <c r="FK363" s="466"/>
      <c r="FL363" s="466"/>
      <c r="FM363" s="466"/>
      <c r="FN363" s="466"/>
      <c r="FO363" s="466"/>
      <c r="FP363" s="466"/>
      <c r="FQ363" s="466"/>
      <c r="FR363" s="466"/>
      <c r="FS363" s="466"/>
      <c r="FT363" s="466"/>
      <c r="FU363" s="466"/>
      <c r="FV363" s="466"/>
      <c r="FW363" s="466"/>
      <c r="FX363" s="466"/>
      <c r="FY363" s="466"/>
      <c r="FZ363" s="527"/>
      <c r="GA363" s="527"/>
      <c r="GB363" s="527"/>
      <c r="GC363" s="527"/>
      <c r="GD363" s="527"/>
      <c r="GE363" s="527"/>
      <c r="GF363" s="527"/>
      <c r="GG363" s="527"/>
      <c r="GH363" s="527"/>
      <c r="GI363" s="527"/>
      <c r="GJ363" s="527"/>
      <c r="GK363" s="527"/>
      <c r="GL363" s="527"/>
      <c r="GM363" s="527"/>
      <c r="GN363" s="527"/>
      <c r="GV363" s="527"/>
      <c r="GW363" s="527"/>
      <c r="GX363" s="527"/>
      <c r="GY363" s="527"/>
      <c r="GZ363" s="527"/>
      <c r="HA363" s="527"/>
      <c r="HB363" s="527"/>
      <c r="HC363" s="527"/>
      <c r="HD363" s="527"/>
      <c r="HE363" s="844"/>
      <c r="HF363" s="844"/>
      <c r="HG363" s="844"/>
      <c r="HH363" s="844"/>
      <c r="HI363" s="844"/>
      <c r="HJ363" s="844"/>
      <c r="HK363" s="844"/>
      <c r="HL363" s="844"/>
      <c r="HM363" s="844"/>
      <c r="HN363" s="844"/>
      <c r="HP363" s="466"/>
      <c r="HQ363" s="466"/>
      <c r="HR363" s="466"/>
      <c r="HS363" s="415"/>
      <c r="HT363" s="2292"/>
    </row>
    <row r="364" spans="3:228">
      <c r="C364" s="466"/>
      <c r="D364" s="466"/>
      <c r="E364" s="466"/>
      <c r="F364" s="466"/>
      <c r="G364" s="466"/>
      <c r="H364" s="466"/>
      <c r="I364" s="466"/>
      <c r="J364" s="466"/>
      <c r="K364" s="466"/>
      <c r="L364" s="466"/>
      <c r="M364" s="466"/>
      <c r="N364" s="466"/>
      <c r="O364" s="466"/>
      <c r="P364" s="510"/>
      <c r="Q364" s="510"/>
      <c r="R364" s="510"/>
      <c r="S364" s="510"/>
      <c r="T364" s="510"/>
      <c r="U364" s="510"/>
      <c r="V364" s="510"/>
      <c r="W364" s="510"/>
      <c r="X364" s="510"/>
      <c r="Y364" s="510"/>
      <c r="Z364" s="510"/>
      <c r="AA364" s="510"/>
      <c r="AB364" s="510"/>
      <c r="AC364" s="510"/>
      <c r="AD364" s="510"/>
      <c r="AE364" s="510"/>
      <c r="AF364" s="510"/>
      <c r="AG364" s="510"/>
      <c r="AH364" s="510"/>
      <c r="AI364" s="510"/>
      <c r="AJ364" s="510"/>
      <c r="AK364" s="510"/>
      <c r="AL364" s="510"/>
      <c r="AM364" s="510"/>
      <c r="AN364" s="510"/>
      <c r="AO364" s="510"/>
      <c r="AP364" s="510"/>
      <c r="AQ364" s="510"/>
      <c r="AR364" s="510"/>
      <c r="AS364" s="510"/>
      <c r="AT364" s="510"/>
      <c r="AU364" s="510"/>
      <c r="AV364" s="510"/>
      <c r="AW364" s="510"/>
      <c r="AX364" s="510"/>
      <c r="AY364" s="510"/>
      <c r="AZ364" s="466"/>
      <c r="BA364" s="466"/>
      <c r="BB364" s="466"/>
      <c r="BC364" s="466"/>
      <c r="BD364" s="466"/>
      <c r="BE364" s="466"/>
      <c r="BF364" s="466"/>
      <c r="BG364" s="466"/>
      <c r="BH364" s="466"/>
      <c r="BI364" s="466"/>
      <c r="BJ364" s="466"/>
      <c r="BK364" s="466"/>
      <c r="BL364" s="466"/>
      <c r="BM364" s="466"/>
      <c r="BN364" s="466"/>
      <c r="BO364" s="466"/>
      <c r="BP364" s="466"/>
      <c r="BQ364" s="466"/>
      <c r="BR364" s="466"/>
      <c r="BS364" s="466"/>
      <c r="BT364" s="466"/>
      <c r="BU364" s="466"/>
      <c r="BV364" s="466"/>
      <c r="BW364" s="466"/>
      <c r="BX364" s="466"/>
      <c r="BY364" s="466"/>
      <c r="BZ364" s="466"/>
      <c r="CA364" s="466"/>
      <c r="CB364" s="466"/>
      <c r="CC364" s="466"/>
      <c r="CD364" s="466"/>
      <c r="CE364" s="466"/>
      <c r="CF364" s="466"/>
      <c r="CG364" s="466"/>
      <c r="CH364" s="466"/>
      <c r="CI364" s="466"/>
      <c r="CJ364" s="466"/>
      <c r="CK364" s="466"/>
      <c r="CL364" s="466"/>
      <c r="CM364" s="466"/>
      <c r="CN364" s="466"/>
      <c r="CO364" s="466"/>
      <c r="CP364" s="466"/>
      <c r="CQ364" s="466"/>
      <c r="CR364" s="466"/>
      <c r="CS364" s="466"/>
      <c r="CT364" s="466"/>
      <c r="CU364" s="466"/>
      <c r="CV364" s="466"/>
      <c r="CW364" s="466"/>
      <c r="CX364" s="466"/>
      <c r="CY364" s="466"/>
      <c r="CZ364" s="466"/>
      <c r="DA364" s="466"/>
      <c r="DB364" s="466"/>
      <c r="DC364" s="466"/>
      <c r="DD364" s="466"/>
      <c r="DE364" s="466"/>
      <c r="DF364" s="466"/>
      <c r="DG364" s="466"/>
      <c r="FE364" s="527"/>
      <c r="FF364" s="466"/>
      <c r="FG364" s="466"/>
      <c r="FH364" s="466"/>
      <c r="FI364" s="466"/>
      <c r="FJ364" s="466"/>
      <c r="FK364" s="466"/>
      <c r="FL364" s="466"/>
      <c r="FM364" s="466"/>
      <c r="FN364" s="466"/>
      <c r="FO364" s="466"/>
      <c r="FP364" s="466"/>
      <c r="FQ364" s="466"/>
      <c r="FR364" s="466"/>
      <c r="FS364" s="466"/>
      <c r="FT364" s="466"/>
      <c r="FU364" s="466"/>
      <c r="FV364" s="466"/>
      <c r="FW364" s="466"/>
      <c r="FX364" s="466"/>
      <c r="FY364" s="466"/>
      <c r="FZ364" s="527"/>
      <c r="GA364" s="527"/>
      <c r="GB364" s="527"/>
      <c r="GC364" s="527"/>
      <c r="GD364" s="527"/>
      <c r="GE364" s="527"/>
      <c r="GF364" s="527"/>
      <c r="GG364" s="527"/>
      <c r="GH364" s="527"/>
      <c r="GI364" s="527"/>
      <c r="GJ364" s="527"/>
      <c r="GK364" s="527"/>
      <c r="GL364" s="527"/>
      <c r="GM364" s="527"/>
      <c r="GN364" s="527"/>
      <c r="GV364" s="527"/>
      <c r="GW364" s="527"/>
      <c r="GX364" s="527"/>
      <c r="GY364" s="527"/>
      <c r="GZ364" s="527"/>
      <c r="HA364" s="527"/>
      <c r="HB364" s="527"/>
      <c r="HC364" s="527"/>
      <c r="HD364" s="527"/>
      <c r="HE364" s="844"/>
      <c r="HF364" s="844"/>
      <c r="HG364" s="844"/>
      <c r="HH364" s="844"/>
      <c r="HI364" s="844"/>
      <c r="HJ364" s="844"/>
      <c r="HK364" s="844"/>
      <c r="HL364" s="844"/>
      <c r="HM364" s="844"/>
      <c r="HN364" s="844"/>
      <c r="HP364" s="466"/>
      <c r="HQ364" s="466"/>
      <c r="HR364" s="466"/>
      <c r="HS364" s="415"/>
      <c r="HT364" s="2292"/>
    </row>
    <row r="365" spans="3:228">
      <c r="C365" s="466"/>
      <c r="D365" s="466"/>
      <c r="E365" s="466"/>
      <c r="F365" s="466"/>
      <c r="G365" s="466"/>
      <c r="H365" s="466"/>
      <c r="I365" s="466"/>
      <c r="J365" s="466"/>
      <c r="K365" s="466"/>
      <c r="L365" s="466"/>
      <c r="M365" s="466"/>
      <c r="N365" s="466"/>
      <c r="O365" s="466"/>
      <c r="P365" s="510"/>
      <c r="Q365" s="510"/>
      <c r="R365" s="510"/>
      <c r="S365" s="510"/>
      <c r="T365" s="510"/>
      <c r="U365" s="510"/>
      <c r="V365" s="510"/>
      <c r="W365" s="510"/>
      <c r="X365" s="510"/>
      <c r="Y365" s="510"/>
      <c r="Z365" s="510"/>
      <c r="AA365" s="510"/>
      <c r="AB365" s="510"/>
      <c r="AC365" s="510"/>
      <c r="AD365" s="510"/>
      <c r="AE365" s="510"/>
      <c r="AF365" s="510"/>
      <c r="AG365" s="510"/>
      <c r="AH365" s="510"/>
      <c r="AI365" s="510"/>
      <c r="AJ365" s="510"/>
      <c r="AK365" s="510"/>
      <c r="AL365" s="510"/>
      <c r="AM365" s="510"/>
      <c r="AN365" s="510"/>
      <c r="AO365" s="510"/>
      <c r="AP365" s="510"/>
      <c r="AQ365" s="510"/>
      <c r="AR365" s="510"/>
      <c r="AS365" s="510"/>
      <c r="AT365" s="510"/>
      <c r="AU365" s="510"/>
      <c r="AV365" s="510"/>
      <c r="AW365" s="510"/>
      <c r="AX365" s="510"/>
      <c r="AY365" s="510"/>
      <c r="AZ365" s="466"/>
      <c r="BA365" s="466"/>
      <c r="BB365" s="466"/>
      <c r="BC365" s="466"/>
      <c r="BD365" s="466"/>
      <c r="BE365" s="466"/>
      <c r="BF365" s="466"/>
      <c r="BG365" s="466"/>
      <c r="BH365" s="466"/>
      <c r="BI365" s="466"/>
      <c r="BJ365" s="466"/>
      <c r="BK365" s="466"/>
      <c r="BL365" s="466"/>
      <c r="BM365" s="466"/>
      <c r="BN365" s="466"/>
      <c r="BO365" s="466"/>
      <c r="BP365" s="466"/>
      <c r="BQ365" s="466"/>
      <c r="BR365" s="466"/>
      <c r="BS365" s="466"/>
      <c r="BT365" s="466"/>
      <c r="BU365" s="466"/>
      <c r="BV365" s="466"/>
      <c r="BW365" s="466"/>
      <c r="BX365" s="466"/>
      <c r="BY365" s="466"/>
      <c r="BZ365" s="466"/>
      <c r="CA365" s="466"/>
      <c r="CB365" s="466"/>
      <c r="CC365" s="466"/>
      <c r="CD365" s="466"/>
      <c r="CE365" s="466"/>
      <c r="CF365" s="466"/>
      <c r="CG365" s="466"/>
      <c r="CH365" s="466"/>
      <c r="CI365" s="466"/>
      <c r="CJ365" s="466"/>
      <c r="CK365" s="466"/>
      <c r="CL365" s="466"/>
      <c r="CM365" s="466"/>
      <c r="CN365" s="466"/>
      <c r="CO365" s="466"/>
      <c r="CP365" s="466"/>
      <c r="CQ365" s="466"/>
      <c r="CR365" s="466"/>
      <c r="CS365" s="466"/>
      <c r="CT365" s="466"/>
      <c r="CU365" s="466"/>
      <c r="CV365" s="466"/>
      <c r="CW365" s="466"/>
      <c r="CX365" s="466"/>
      <c r="CY365" s="466"/>
      <c r="CZ365" s="466"/>
      <c r="DA365" s="466"/>
      <c r="DB365" s="466"/>
      <c r="DC365" s="466"/>
      <c r="DD365" s="466"/>
      <c r="DE365" s="466"/>
      <c r="DF365" s="466"/>
      <c r="DG365" s="466"/>
      <c r="FE365" s="527"/>
      <c r="FF365" s="466"/>
      <c r="FG365" s="466"/>
      <c r="FH365" s="466"/>
      <c r="FI365" s="466"/>
      <c r="FJ365" s="466"/>
      <c r="FK365" s="466"/>
      <c r="FL365" s="466"/>
      <c r="FM365" s="466"/>
      <c r="FN365" s="466"/>
      <c r="FO365" s="466"/>
      <c r="FP365" s="466"/>
      <c r="FQ365" s="466"/>
      <c r="FR365" s="466"/>
      <c r="FS365" s="466"/>
      <c r="FT365" s="466"/>
      <c r="FU365" s="466"/>
      <c r="FV365" s="466"/>
      <c r="FW365" s="466"/>
      <c r="FX365" s="466"/>
      <c r="FY365" s="466"/>
      <c r="FZ365" s="527"/>
      <c r="GA365" s="527"/>
      <c r="GB365" s="527"/>
      <c r="GC365" s="527"/>
      <c r="GD365" s="527"/>
      <c r="GE365" s="527"/>
      <c r="GF365" s="527"/>
      <c r="GG365" s="527"/>
      <c r="GH365" s="527"/>
      <c r="GI365" s="527"/>
      <c r="GJ365" s="527"/>
      <c r="GK365" s="527"/>
      <c r="GL365" s="527"/>
      <c r="GM365" s="527"/>
      <c r="GN365" s="527"/>
      <c r="GV365" s="527"/>
      <c r="GW365" s="527"/>
      <c r="GX365" s="527"/>
      <c r="GY365" s="527"/>
      <c r="GZ365" s="527"/>
      <c r="HA365" s="527"/>
      <c r="HB365" s="527"/>
      <c r="HC365" s="527"/>
      <c r="HD365" s="527"/>
      <c r="HE365" s="844"/>
      <c r="HF365" s="844"/>
      <c r="HG365" s="844"/>
      <c r="HH365" s="844"/>
      <c r="HI365" s="844"/>
      <c r="HJ365" s="844"/>
      <c r="HK365" s="844"/>
      <c r="HL365" s="844"/>
      <c r="HM365" s="844"/>
      <c r="HN365" s="844"/>
      <c r="HP365" s="466"/>
      <c r="HQ365" s="466"/>
      <c r="HR365" s="466"/>
      <c r="HS365" s="415"/>
      <c r="HT365" s="2292"/>
    </row>
    <row r="366" spans="3:228">
      <c r="C366" s="466"/>
      <c r="D366" s="466"/>
      <c r="E366" s="466"/>
      <c r="F366" s="466"/>
      <c r="G366" s="466"/>
      <c r="H366" s="466"/>
      <c r="I366" s="466"/>
      <c r="J366" s="466"/>
      <c r="K366" s="466"/>
      <c r="L366" s="466"/>
      <c r="M366" s="466"/>
      <c r="N366" s="466"/>
      <c r="O366" s="466"/>
      <c r="P366" s="510"/>
      <c r="Q366" s="510"/>
      <c r="R366" s="510"/>
      <c r="S366" s="510"/>
      <c r="T366" s="510"/>
      <c r="U366" s="510"/>
      <c r="V366" s="510"/>
      <c r="W366" s="510"/>
      <c r="X366" s="510"/>
      <c r="Y366" s="510"/>
      <c r="Z366" s="510"/>
      <c r="AA366" s="510"/>
      <c r="AB366" s="510"/>
      <c r="AC366" s="510"/>
      <c r="AD366" s="510"/>
      <c r="AE366" s="510"/>
      <c r="AF366" s="510"/>
      <c r="AG366" s="510"/>
      <c r="AH366" s="510"/>
      <c r="AI366" s="510"/>
      <c r="AJ366" s="510"/>
      <c r="AK366" s="510"/>
      <c r="AL366" s="510"/>
      <c r="AM366" s="510"/>
      <c r="AN366" s="510"/>
      <c r="AO366" s="510"/>
      <c r="AP366" s="510"/>
      <c r="AQ366" s="510"/>
      <c r="AR366" s="510"/>
      <c r="AS366" s="510"/>
      <c r="AT366" s="510"/>
      <c r="AU366" s="510"/>
      <c r="AV366" s="510"/>
      <c r="AW366" s="510"/>
      <c r="AX366" s="510"/>
      <c r="AY366" s="510"/>
      <c r="AZ366" s="466"/>
      <c r="BA366" s="466"/>
      <c r="BB366" s="466"/>
      <c r="BC366" s="466"/>
      <c r="BD366" s="466"/>
      <c r="BE366" s="466"/>
      <c r="BF366" s="466"/>
      <c r="BG366" s="466"/>
      <c r="BH366" s="466"/>
      <c r="BI366" s="466"/>
      <c r="BJ366" s="466"/>
      <c r="BK366" s="466"/>
      <c r="BL366" s="466"/>
      <c r="BM366" s="466"/>
      <c r="BN366" s="466"/>
      <c r="BO366" s="466"/>
      <c r="BP366" s="466"/>
      <c r="BQ366" s="466"/>
      <c r="BR366" s="466"/>
      <c r="BS366" s="466"/>
      <c r="BT366" s="466"/>
      <c r="BU366" s="466"/>
      <c r="BV366" s="466"/>
      <c r="BW366" s="466"/>
      <c r="BX366" s="466"/>
      <c r="BY366" s="466"/>
      <c r="BZ366" s="466"/>
      <c r="CA366" s="466"/>
      <c r="CB366" s="466"/>
      <c r="CC366" s="466"/>
      <c r="CD366" s="466"/>
      <c r="CE366" s="466"/>
      <c r="CF366" s="466"/>
      <c r="CG366" s="466"/>
      <c r="CH366" s="466"/>
      <c r="CI366" s="466"/>
      <c r="CJ366" s="466"/>
      <c r="CK366" s="466"/>
      <c r="CL366" s="466"/>
      <c r="CM366" s="466"/>
      <c r="CN366" s="466"/>
      <c r="CO366" s="466"/>
      <c r="CP366" s="466"/>
      <c r="CQ366" s="466"/>
      <c r="CR366" s="466"/>
      <c r="CS366" s="466"/>
      <c r="CT366" s="466"/>
      <c r="CU366" s="466"/>
      <c r="CV366" s="466"/>
      <c r="CW366" s="466"/>
      <c r="CX366" s="466"/>
      <c r="CY366" s="466"/>
      <c r="CZ366" s="466"/>
      <c r="DA366" s="466"/>
      <c r="DB366" s="466"/>
      <c r="DC366" s="466"/>
      <c r="DD366" s="466"/>
      <c r="DE366" s="466"/>
      <c r="DF366" s="466"/>
      <c r="DG366" s="466"/>
      <c r="FE366" s="527"/>
      <c r="FF366" s="466"/>
      <c r="FG366" s="466"/>
      <c r="FH366" s="466"/>
      <c r="FI366" s="466"/>
      <c r="FJ366" s="466"/>
      <c r="FK366" s="466"/>
      <c r="FL366" s="466"/>
      <c r="FM366" s="466"/>
      <c r="FN366" s="466"/>
      <c r="FO366" s="466"/>
      <c r="FP366" s="466"/>
      <c r="FQ366" s="466"/>
      <c r="FR366" s="466"/>
      <c r="FS366" s="466"/>
      <c r="FT366" s="466"/>
      <c r="FU366" s="466"/>
      <c r="FV366" s="466"/>
      <c r="FW366" s="466"/>
      <c r="FX366" s="466"/>
      <c r="FY366" s="466"/>
      <c r="FZ366" s="527"/>
      <c r="GA366" s="527"/>
      <c r="GB366" s="527"/>
      <c r="GC366" s="527"/>
      <c r="GD366" s="527"/>
      <c r="GE366" s="527"/>
      <c r="GF366" s="527"/>
      <c r="GG366" s="527"/>
      <c r="GH366" s="527"/>
      <c r="GI366" s="527"/>
      <c r="GJ366" s="527"/>
      <c r="GK366" s="527"/>
      <c r="GL366" s="527"/>
      <c r="GM366" s="527"/>
      <c r="GN366" s="527"/>
      <c r="GV366" s="527"/>
      <c r="GW366" s="527"/>
      <c r="GX366" s="527"/>
      <c r="GY366" s="527"/>
      <c r="GZ366" s="527"/>
      <c r="HA366" s="527"/>
      <c r="HB366" s="527"/>
      <c r="HC366" s="527"/>
      <c r="HD366" s="527"/>
      <c r="HE366" s="844"/>
      <c r="HF366" s="844"/>
      <c r="HG366" s="844"/>
      <c r="HH366" s="844"/>
      <c r="HI366" s="844"/>
      <c r="HJ366" s="844"/>
      <c r="HK366" s="844"/>
      <c r="HL366" s="844"/>
      <c r="HM366" s="844"/>
      <c r="HN366" s="844"/>
      <c r="HP366" s="466"/>
      <c r="HQ366" s="466"/>
      <c r="HR366" s="466"/>
      <c r="HS366" s="415"/>
      <c r="HT366" s="2292"/>
    </row>
    <row r="367" spans="3:228">
      <c r="C367" s="466"/>
      <c r="D367" s="466"/>
      <c r="E367" s="466"/>
      <c r="F367" s="466"/>
      <c r="G367" s="466"/>
      <c r="H367" s="466"/>
      <c r="I367" s="466"/>
      <c r="J367" s="466"/>
      <c r="K367" s="466"/>
      <c r="L367" s="466"/>
      <c r="M367" s="466"/>
      <c r="N367" s="466"/>
      <c r="O367" s="466"/>
      <c r="P367" s="510"/>
      <c r="Q367" s="510"/>
      <c r="R367" s="510"/>
      <c r="S367" s="510"/>
      <c r="T367" s="510"/>
      <c r="U367" s="510"/>
      <c r="V367" s="510"/>
      <c r="W367" s="510"/>
      <c r="X367" s="510"/>
      <c r="Y367" s="510"/>
      <c r="Z367" s="510"/>
      <c r="AA367" s="510"/>
      <c r="AB367" s="510"/>
      <c r="AC367" s="510"/>
      <c r="AD367" s="510"/>
      <c r="AE367" s="510"/>
      <c r="AF367" s="510"/>
      <c r="AG367" s="510"/>
      <c r="AH367" s="510"/>
      <c r="AI367" s="510"/>
      <c r="AJ367" s="510"/>
      <c r="AK367" s="510"/>
      <c r="AL367" s="510"/>
      <c r="AM367" s="510"/>
      <c r="AN367" s="510"/>
      <c r="AO367" s="510"/>
      <c r="AP367" s="510"/>
      <c r="AQ367" s="510"/>
      <c r="AR367" s="510"/>
      <c r="AS367" s="510"/>
      <c r="AT367" s="510"/>
      <c r="AU367" s="510"/>
      <c r="AV367" s="510"/>
      <c r="AW367" s="510"/>
      <c r="AX367" s="510"/>
      <c r="AY367" s="510"/>
      <c r="AZ367" s="466"/>
      <c r="BA367" s="466"/>
      <c r="BB367" s="466"/>
      <c r="BC367" s="466"/>
      <c r="BD367" s="466"/>
      <c r="BE367" s="466"/>
      <c r="BF367" s="466"/>
      <c r="BG367" s="466"/>
      <c r="BH367" s="466"/>
      <c r="BI367" s="466"/>
      <c r="BJ367" s="466"/>
      <c r="BK367" s="466"/>
      <c r="BL367" s="466"/>
      <c r="BM367" s="466"/>
      <c r="BN367" s="466"/>
      <c r="BO367" s="466"/>
      <c r="BP367" s="466"/>
      <c r="BQ367" s="466"/>
      <c r="BR367" s="466"/>
      <c r="BS367" s="466"/>
      <c r="BT367" s="466"/>
      <c r="BU367" s="466"/>
      <c r="BV367" s="466"/>
      <c r="BW367" s="466"/>
      <c r="BX367" s="466"/>
      <c r="BY367" s="466"/>
      <c r="BZ367" s="466"/>
      <c r="CA367" s="466"/>
      <c r="CB367" s="466"/>
      <c r="CC367" s="466"/>
      <c r="CD367" s="466"/>
      <c r="CE367" s="466"/>
      <c r="CF367" s="466"/>
      <c r="CG367" s="466"/>
      <c r="CH367" s="466"/>
      <c r="CI367" s="466"/>
      <c r="CJ367" s="466"/>
      <c r="CK367" s="466"/>
      <c r="CL367" s="466"/>
      <c r="CM367" s="466"/>
      <c r="CN367" s="466"/>
      <c r="CO367" s="466"/>
      <c r="CP367" s="466"/>
      <c r="CQ367" s="466"/>
      <c r="CR367" s="466"/>
      <c r="CS367" s="466"/>
      <c r="CT367" s="466"/>
      <c r="CU367" s="466"/>
      <c r="CV367" s="466"/>
      <c r="CW367" s="466"/>
      <c r="CX367" s="466"/>
      <c r="CY367" s="466"/>
      <c r="CZ367" s="466"/>
      <c r="DA367" s="466"/>
      <c r="DB367" s="466"/>
      <c r="DC367" s="466"/>
      <c r="DD367" s="466"/>
      <c r="DE367" s="466"/>
      <c r="DF367" s="466"/>
      <c r="DG367" s="466"/>
      <c r="FE367" s="527"/>
      <c r="FF367" s="466"/>
      <c r="FG367" s="466"/>
      <c r="FH367" s="466"/>
      <c r="FI367" s="466"/>
      <c r="FJ367" s="466"/>
      <c r="FK367" s="466"/>
      <c r="FL367" s="466"/>
      <c r="FM367" s="466"/>
      <c r="FN367" s="466"/>
      <c r="FO367" s="466"/>
      <c r="FP367" s="466"/>
      <c r="FQ367" s="466"/>
      <c r="FR367" s="466"/>
      <c r="FS367" s="466"/>
      <c r="FT367" s="466"/>
      <c r="FU367" s="466"/>
      <c r="FV367" s="466"/>
      <c r="FW367" s="466"/>
      <c r="FX367" s="466"/>
      <c r="FY367" s="466"/>
      <c r="FZ367" s="527"/>
      <c r="GA367" s="527"/>
      <c r="GB367" s="527"/>
      <c r="GC367" s="527"/>
      <c r="GD367" s="527"/>
      <c r="GE367" s="527"/>
      <c r="GF367" s="527"/>
      <c r="GG367" s="527"/>
      <c r="GH367" s="527"/>
      <c r="GI367" s="527"/>
      <c r="GJ367" s="527"/>
      <c r="GK367" s="527"/>
      <c r="GL367" s="527"/>
      <c r="GM367" s="527"/>
      <c r="GN367" s="527"/>
      <c r="GV367" s="527"/>
      <c r="GW367" s="527"/>
      <c r="GX367" s="527"/>
      <c r="GY367" s="527"/>
      <c r="GZ367" s="527"/>
      <c r="HA367" s="527"/>
      <c r="HB367" s="527"/>
      <c r="HC367" s="527"/>
      <c r="HD367" s="527"/>
      <c r="HE367" s="844"/>
      <c r="HF367" s="844"/>
      <c r="HG367" s="844"/>
      <c r="HH367" s="844"/>
      <c r="HI367" s="844"/>
      <c r="HJ367" s="844"/>
      <c r="HK367" s="844"/>
      <c r="HL367" s="844"/>
      <c r="HM367" s="844"/>
      <c r="HN367" s="844"/>
      <c r="HP367" s="466"/>
      <c r="HQ367" s="466"/>
      <c r="HR367" s="466"/>
      <c r="HS367" s="415"/>
      <c r="HT367" s="2292"/>
    </row>
    <row r="368" spans="3:228">
      <c r="C368" s="466"/>
      <c r="D368" s="466"/>
      <c r="E368" s="466"/>
      <c r="F368" s="466"/>
      <c r="G368" s="466"/>
      <c r="H368" s="466"/>
      <c r="I368" s="466"/>
      <c r="J368" s="466"/>
      <c r="K368" s="466"/>
      <c r="L368" s="466"/>
      <c r="M368" s="466"/>
      <c r="N368" s="466"/>
      <c r="O368" s="466"/>
      <c r="P368" s="510"/>
      <c r="Q368" s="510"/>
      <c r="R368" s="510"/>
      <c r="S368" s="510"/>
      <c r="T368" s="510"/>
      <c r="U368" s="510"/>
      <c r="V368" s="510"/>
      <c r="W368" s="510"/>
      <c r="X368" s="510"/>
      <c r="Y368" s="510"/>
      <c r="Z368" s="510"/>
      <c r="AA368" s="510"/>
      <c r="AB368" s="510"/>
      <c r="AC368" s="510"/>
      <c r="AD368" s="510"/>
      <c r="AE368" s="510"/>
      <c r="AF368" s="510"/>
      <c r="AG368" s="510"/>
      <c r="AH368" s="510"/>
      <c r="AI368" s="510"/>
      <c r="AJ368" s="510"/>
      <c r="AK368" s="510"/>
      <c r="AL368" s="510"/>
      <c r="AM368" s="510"/>
      <c r="AN368" s="510"/>
      <c r="AO368" s="510"/>
      <c r="AP368" s="510"/>
      <c r="AQ368" s="510"/>
      <c r="AR368" s="510"/>
      <c r="AS368" s="510"/>
      <c r="AT368" s="510"/>
      <c r="AU368" s="510"/>
      <c r="AV368" s="510"/>
      <c r="AW368" s="510"/>
      <c r="AX368" s="510"/>
      <c r="AY368" s="510"/>
      <c r="AZ368" s="466"/>
      <c r="BA368" s="466"/>
      <c r="BB368" s="466"/>
      <c r="BC368" s="466"/>
      <c r="BD368" s="466"/>
      <c r="BE368" s="466"/>
      <c r="BF368" s="466"/>
      <c r="BG368" s="466"/>
      <c r="BH368" s="466"/>
      <c r="BI368" s="466"/>
      <c r="BJ368" s="466"/>
      <c r="BK368" s="466"/>
      <c r="BL368" s="466"/>
      <c r="BM368" s="466"/>
      <c r="BN368" s="466"/>
      <c r="BO368" s="466"/>
      <c r="BP368" s="466"/>
      <c r="BQ368" s="466"/>
      <c r="BR368" s="466"/>
      <c r="BS368" s="466"/>
      <c r="BT368" s="466"/>
      <c r="BU368" s="466"/>
      <c r="BV368" s="466"/>
      <c r="BW368" s="466"/>
      <c r="BX368" s="466"/>
      <c r="BY368" s="466"/>
      <c r="BZ368" s="466"/>
      <c r="CA368" s="466"/>
      <c r="CB368" s="466"/>
      <c r="CC368" s="466"/>
      <c r="CD368" s="466"/>
      <c r="CE368" s="466"/>
      <c r="CF368" s="466"/>
      <c r="CG368" s="466"/>
      <c r="CH368" s="466"/>
      <c r="CI368" s="466"/>
      <c r="CJ368" s="466"/>
      <c r="CK368" s="466"/>
      <c r="CL368" s="466"/>
      <c r="CM368" s="466"/>
      <c r="CN368" s="466"/>
      <c r="CO368" s="466"/>
      <c r="CP368" s="466"/>
      <c r="CQ368" s="466"/>
      <c r="CR368" s="466"/>
      <c r="CS368" s="466"/>
      <c r="CT368" s="466"/>
      <c r="CU368" s="466"/>
      <c r="CV368" s="466"/>
      <c r="CW368" s="466"/>
      <c r="CX368" s="466"/>
      <c r="CY368" s="466"/>
      <c r="CZ368" s="466"/>
      <c r="DA368" s="466"/>
      <c r="DB368" s="466"/>
      <c r="DC368" s="466"/>
      <c r="DD368" s="466"/>
      <c r="DE368" s="466"/>
      <c r="DF368" s="466"/>
      <c r="DG368" s="466"/>
      <c r="FE368" s="527"/>
      <c r="FF368" s="466"/>
      <c r="FG368" s="466"/>
      <c r="FH368" s="466"/>
      <c r="FI368" s="466"/>
      <c r="FJ368" s="466"/>
      <c r="FK368" s="466"/>
      <c r="FL368" s="466"/>
      <c r="FM368" s="466"/>
      <c r="FN368" s="466"/>
      <c r="FO368" s="466"/>
      <c r="FP368" s="466"/>
      <c r="FQ368" s="466"/>
      <c r="FR368" s="466"/>
      <c r="FS368" s="466"/>
      <c r="FT368" s="466"/>
      <c r="FU368" s="466"/>
      <c r="FV368" s="466"/>
      <c r="FW368" s="466"/>
      <c r="FX368" s="466"/>
      <c r="FY368" s="466"/>
      <c r="FZ368" s="527"/>
      <c r="GA368" s="527"/>
      <c r="GB368" s="527"/>
      <c r="GC368" s="527"/>
      <c r="GD368" s="527"/>
      <c r="GE368" s="527"/>
      <c r="GF368" s="527"/>
      <c r="GG368" s="527"/>
      <c r="GH368" s="527"/>
      <c r="GI368" s="527"/>
      <c r="GJ368" s="527"/>
      <c r="GK368" s="527"/>
      <c r="GL368" s="527"/>
      <c r="GM368" s="527"/>
      <c r="GN368" s="527"/>
      <c r="GV368" s="527"/>
      <c r="GW368" s="527"/>
      <c r="GX368" s="527"/>
      <c r="GY368" s="527"/>
      <c r="GZ368" s="527"/>
      <c r="HA368" s="527"/>
      <c r="HB368" s="527"/>
      <c r="HC368" s="527"/>
      <c r="HD368" s="527"/>
      <c r="HE368" s="844"/>
      <c r="HF368" s="844"/>
      <c r="HG368" s="844"/>
      <c r="HH368" s="844"/>
      <c r="HI368" s="844"/>
      <c r="HJ368" s="844"/>
      <c r="HK368" s="844"/>
      <c r="HL368" s="844"/>
      <c r="HM368" s="844"/>
      <c r="HN368" s="844"/>
      <c r="HP368" s="466"/>
      <c r="HQ368" s="466"/>
      <c r="HR368" s="466"/>
      <c r="HS368" s="415"/>
      <c r="HT368" s="2292"/>
    </row>
    <row r="369" spans="3:228">
      <c r="C369" s="466"/>
      <c r="D369" s="466"/>
      <c r="E369" s="466"/>
      <c r="F369" s="466"/>
      <c r="G369" s="466"/>
      <c r="H369" s="466"/>
      <c r="I369" s="466"/>
      <c r="J369" s="466"/>
      <c r="K369" s="466"/>
      <c r="L369" s="466"/>
      <c r="M369" s="466"/>
      <c r="N369" s="466"/>
      <c r="O369" s="466"/>
      <c r="P369" s="510"/>
      <c r="Q369" s="510"/>
      <c r="R369" s="510"/>
      <c r="S369" s="510"/>
      <c r="T369" s="510"/>
      <c r="U369" s="510"/>
      <c r="V369" s="510"/>
      <c r="W369" s="510"/>
      <c r="X369" s="510"/>
      <c r="Y369" s="510"/>
      <c r="Z369" s="510"/>
      <c r="AA369" s="510"/>
      <c r="AB369" s="510"/>
      <c r="AC369" s="510"/>
      <c r="AD369" s="510"/>
      <c r="AE369" s="510"/>
      <c r="AF369" s="510"/>
      <c r="AG369" s="510"/>
      <c r="AH369" s="510"/>
      <c r="AI369" s="510"/>
      <c r="AJ369" s="510"/>
      <c r="AK369" s="510"/>
      <c r="AL369" s="510"/>
      <c r="AM369" s="510"/>
      <c r="AN369" s="510"/>
      <c r="AO369" s="510"/>
      <c r="AP369" s="510"/>
      <c r="AQ369" s="510"/>
      <c r="AR369" s="510"/>
      <c r="AS369" s="510"/>
      <c r="AT369" s="510"/>
      <c r="AU369" s="510"/>
      <c r="AV369" s="510"/>
      <c r="AW369" s="510"/>
      <c r="AX369" s="510"/>
      <c r="AY369" s="510"/>
      <c r="AZ369" s="466"/>
      <c r="BA369" s="466"/>
      <c r="BB369" s="466"/>
      <c r="BC369" s="466"/>
      <c r="BD369" s="466"/>
      <c r="BE369" s="466"/>
      <c r="BF369" s="466"/>
      <c r="BG369" s="466"/>
      <c r="BH369" s="466"/>
      <c r="BI369" s="466"/>
      <c r="BJ369" s="466"/>
      <c r="BK369" s="466"/>
      <c r="BL369" s="466"/>
      <c r="BM369" s="466"/>
      <c r="BN369" s="466"/>
      <c r="BO369" s="466"/>
      <c r="BP369" s="466"/>
      <c r="BQ369" s="466"/>
      <c r="BR369" s="466"/>
      <c r="BS369" s="466"/>
      <c r="BT369" s="466"/>
      <c r="BU369" s="466"/>
      <c r="BV369" s="466"/>
      <c r="BW369" s="466"/>
      <c r="BX369" s="466"/>
      <c r="BY369" s="466"/>
      <c r="BZ369" s="466"/>
      <c r="CA369" s="466"/>
      <c r="CB369" s="466"/>
      <c r="CC369" s="466"/>
      <c r="CD369" s="466"/>
      <c r="CE369" s="466"/>
      <c r="CF369" s="466"/>
      <c r="CG369" s="466"/>
      <c r="CH369" s="466"/>
      <c r="CI369" s="466"/>
      <c r="CJ369" s="466"/>
      <c r="CK369" s="466"/>
      <c r="CL369" s="466"/>
      <c r="CM369" s="466"/>
      <c r="CN369" s="466"/>
      <c r="CO369" s="466"/>
      <c r="CP369" s="466"/>
      <c r="CQ369" s="466"/>
      <c r="CR369" s="466"/>
      <c r="CS369" s="466"/>
      <c r="CT369" s="466"/>
      <c r="CU369" s="466"/>
      <c r="CV369" s="466"/>
      <c r="CW369" s="466"/>
      <c r="CX369" s="466"/>
      <c r="CY369" s="466"/>
      <c r="CZ369" s="466"/>
      <c r="DA369" s="466"/>
      <c r="DB369" s="466"/>
      <c r="DC369" s="466"/>
      <c r="DD369" s="466"/>
      <c r="DE369" s="466"/>
      <c r="DF369" s="466"/>
      <c r="DG369" s="466"/>
      <c r="FE369" s="527"/>
      <c r="FF369" s="466"/>
      <c r="FG369" s="466"/>
      <c r="FH369" s="466"/>
      <c r="FI369" s="466"/>
      <c r="FJ369" s="466"/>
      <c r="FK369" s="466"/>
      <c r="FL369" s="466"/>
      <c r="FM369" s="466"/>
      <c r="FN369" s="466"/>
      <c r="FO369" s="466"/>
      <c r="FP369" s="466"/>
      <c r="FQ369" s="466"/>
      <c r="FR369" s="466"/>
      <c r="FS369" s="466"/>
      <c r="FT369" s="466"/>
      <c r="FU369" s="466"/>
      <c r="FV369" s="466"/>
      <c r="FW369" s="466"/>
      <c r="FX369" s="466"/>
      <c r="FY369" s="466"/>
      <c r="FZ369" s="527"/>
      <c r="GA369" s="527"/>
      <c r="GB369" s="527"/>
      <c r="GC369" s="527"/>
      <c r="GD369" s="527"/>
      <c r="GE369" s="527"/>
      <c r="GF369" s="527"/>
      <c r="GG369" s="527"/>
      <c r="GH369" s="527"/>
      <c r="GI369" s="527"/>
      <c r="GJ369" s="527"/>
      <c r="GK369" s="527"/>
      <c r="GL369" s="527"/>
      <c r="GM369" s="527"/>
      <c r="GN369" s="527"/>
      <c r="GV369" s="527"/>
      <c r="GW369" s="527"/>
      <c r="GX369" s="527"/>
      <c r="GY369" s="527"/>
      <c r="GZ369" s="527"/>
      <c r="HA369" s="527"/>
      <c r="HB369" s="527"/>
      <c r="HC369" s="527"/>
      <c r="HD369" s="527"/>
      <c r="HE369" s="844"/>
      <c r="HF369" s="844"/>
      <c r="HG369" s="844"/>
      <c r="HH369" s="844"/>
      <c r="HI369" s="844"/>
      <c r="HJ369" s="844"/>
      <c r="HK369" s="844"/>
      <c r="HL369" s="844"/>
      <c r="HM369" s="844"/>
      <c r="HN369" s="844"/>
      <c r="HP369" s="466"/>
      <c r="HQ369" s="466"/>
      <c r="HR369" s="466"/>
      <c r="HS369" s="415"/>
      <c r="HT369" s="2292"/>
    </row>
    <row r="370" spans="3:228">
      <c r="C370" s="466"/>
      <c r="D370" s="466"/>
      <c r="E370" s="466"/>
      <c r="F370" s="466"/>
      <c r="G370" s="466"/>
      <c r="H370" s="466"/>
      <c r="I370" s="466"/>
      <c r="J370" s="466"/>
      <c r="K370" s="466"/>
      <c r="L370" s="466"/>
      <c r="M370" s="466"/>
      <c r="N370" s="466"/>
      <c r="O370" s="466"/>
      <c r="P370" s="510"/>
      <c r="Q370" s="510"/>
      <c r="R370" s="510"/>
      <c r="S370" s="510"/>
      <c r="T370" s="510"/>
      <c r="U370" s="510"/>
      <c r="V370" s="510"/>
      <c r="W370" s="510"/>
      <c r="X370" s="510"/>
      <c r="Y370" s="510"/>
      <c r="Z370" s="510"/>
      <c r="AA370" s="510"/>
      <c r="AB370" s="510"/>
      <c r="AC370" s="510"/>
      <c r="AD370" s="510"/>
      <c r="AE370" s="510"/>
      <c r="AF370" s="510"/>
      <c r="AG370" s="510"/>
      <c r="AH370" s="510"/>
      <c r="AI370" s="510"/>
      <c r="AJ370" s="510"/>
      <c r="AK370" s="510"/>
      <c r="AL370" s="510"/>
      <c r="AM370" s="510"/>
      <c r="AN370" s="510"/>
      <c r="AO370" s="510"/>
      <c r="AP370" s="510"/>
      <c r="AQ370" s="510"/>
      <c r="AR370" s="510"/>
      <c r="AS370" s="510"/>
      <c r="AT370" s="510"/>
      <c r="AU370" s="510"/>
      <c r="AV370" s="510"/>
      <c r="AW370" s="510"/>
      <c r="AX370" s="510"/>
      <c r="AY370" s="510"/>
      <c r="AZ370" s="466"/>
      <c r="BA370" s="466"/>
      <c r="BB370" s="466"/>
      <c r="BC370" s="466"/>
      <c r="BD370" s="466"/>
      <c r="BE370" s="466"/>
      <c r="BF370" s="466"/>
      <c r="BG370" s="466"/>
      <c r="BH370" s="466"/>
      <c r="BI370" s="466"/>
      <c r="BJ370" s="466"/>
      <c r="BK370" s="466"/>
      <c r="BL370" s="466"/>
      <c r="BM370" s="466"/>
      <c r="BN370" s="466"/>
      <c r="BO370" s="466"/>
      <c r="BP370" s="466"/>
      <c r="BQ370" s="466"/>
      <c r="BR370" s="466"/>
      <c r="BS370" s="466"/>
      <c r="BT370" s="466"/>
      <c r="BU370" s="466"/>
      <c r="BV370" s="466"/>
      <c r="BW370" s="466"/>
      <c r="BX370" s="466"/>
      <c r="BY370" s="466"/>
      <c r="BZ370" s="466"/>
      <c r="CA370" s="466"/>
      <c r="CB370" s="466"/>
      <c r="CC370" s="466"/>
      <c r="CD370" s="466"/>
      <c r="CE370" s="466"/>
      <c r="CF370" s="466"/>
      <c r="CG370" s="466"/>
      <c r="CH370" s="466"/>
      <c r="CI370" s="466"/>
      <c r="CJ370" s="466"/>
      <c r="CK370" s="466"/>
      <c r="CL370" s="466"/>
      <c r="CM370" s="466"/>
      <c r="CN370" s="466"/>
      <c r="CO370" s="466"/>
      <c r="CP370" s="466"/>
      <c r="CQ370" s="466"/>
      <c r="CR370" s="466"/>
      <c r="CS370" s="466"/>
      <c r="CT370" s="466"/>
      <c r="CU370" s="466"/>
      <c r="CV370" s="466"/>
      <c r="CW370" s="466"/>
      <c r="CX370" s="466"/>
      <c r="CY370" s="466"/>
      <c r="CZ370" s="466"/>
      <c r="DA370" s="466"/>
      <c r="DB370" s="466"/>
      <c r="DC370" s="466"/>
      <c r="DD370" s="466"/>
      <c r="DE370" s="466"/>
      <c r="DF370" s="466"/>
      <c r="DG370" s="466"/>
      <c r="FE370" s="527"/>
      <c r="FF370" s="466"/>
      <c r="FG370" s="466"/>
      <c r="FH370" s="466"/>
      <c r="FI370" s="466"/>
      <c r="FJ370" s="466"/>
      <c r="FK370" s="466"/>
      <c r="FL370" s="466"/>
      <c r="FM370" s="466"/>
      <c r="FN370" s="466"/>
      <c r="FO370" s="466"/>
      <c r="FP370" s="466"/>
      <c r="FQ370" s="466"/>
      <c r="FR370" s="466"/>
      <c r="FS370" s="466"/>
      <c r="FT370" s="466"/>
      <c r="FU370" s="466"/>
      <c r="FV370" s="466"/>
      <c r="FW370" s="466"/>
      <c r="FX370" s="466"/>
      <c r="FY370" s="466"/>
      <c r="FZ370" s="527"/>
      <c r="GA370" s="527"/>
      <c r="GB370" s="527"/>
      <c r="GC370" s="527"/>
      <c r="GD370" s="527"/>
      <c r="GE370" s="527"/>
      <c r="GF370" s="527"/>
      <c r="GG370" s="527"/>
      <c r="GH370" s="527"/>
      <c r="GI370" s="527"/>
      <c r="GJ370" s="527"/>
      <c r="GK370" s="527"/>
      <c r="GL370" s="527"/>
      <c r="GM370" s="527"/>
      <c r="GN370" s="527"/>
      <c r="GV370" s="527"/>
      <c r="GW370" s="527"/>
      <c r="GX370" s="527"/>
      <c r="GY370" s="527"/>
      <c r="GZ370" s="527"/>
      <c r="HA370" s="527"/>
      <c r="HB370" s="527"/>
      <c r="HC370" s="527"/>
      <c r="HD370" s="527"/>
      <c r="HE370" s="844"/>
      <c r="HF370" s="844"/>
      <c r="HG370" s="844"/>
      <c r="HH370" s="844"/>
      <c r="HI370" s="844"/>
      <c r="HJ370" s="844"/>
      <c r="HK370" s="844"/>
      <c r="HL370" s="844"/>
      <c r="HM370" s="844"/>
      <c r="HN370" s="844"/>
      <c r="HP370" s="466"/>
      <c r="HQ370" s="466"/>
      <c r="HR370" s="466"/>
      <c r="HS370" s="415"/>
      <c r="HT370" s="2292"/>
    </row>
    <row r="371" spans="3:228">
      <c r="C371" s="466"/>
      <c r="D371" s="466"/>
      <c r="E371" s="466"/>
      <c r="F371" s="466"/>
      <c r="G371" s="466"/>
      <c r="H371" s="466"/>
      <c r="I371" s="466"/>
      <c r="J371" s="466"/>
      <c r="K371" s="466"/>
      <c r="L371" s="466"/>
      <c r="M371" s="466"/>
      <c r="N371" s="466"/>
      <c r="O371" s="466"/>
      <c r="P371" s="510"/>
      <c r="Q371" s="510"/>
      <c r="R371" s="510"/>
      <c r="S371" s="510"/>
      <c r="T371" s="510"/>
      <c r="U371" s="510"/>
      <c r="V371" s="510"/>
      <c r="W371" s="510"/>
      <c r="X371" s="510"/>
      <c r="Y371" s="510"/>
      <c r="Z371" s="510"/>
      <c r="AA371" s="510"/>
      <c r="AB371" s="510"/>
      <c r="AC371" s="510"/>
      <c r="AD371" s="510"/>
      <c r="AE371" s="510"/>
      <c r="AF371" s="510"/>
      <c r="AG371" s="510"/>
      <c r="AH371" s="510"/>
      <c r="AI371" s="510"/>
      <c r="AJ371" s="510"/>
      <c r="AK371" s="510"/>
      <c r="AL371" s="510"/>
      <c r="AM371" s="510"/>
      <c r="AN371" s="510"/>
      <c r="AO371" s="510"/>
      <c r="AP371" s="510"/>
      <c r="AQ371" s="510"/>
      <c r="AR371" s="510"/>
      <c r="AS371" s="510"/>
      <c r="AT371" s="510"/>
      <c r="AU371" s="510"/>
      <c r="AV371" s="510"/>
      <c r="AW371" s="510"/>
      <c r="AX371" s="510"/>
      <c r="AY371" s="510"/>
      <c r="AZ371" s="466"/>
      <c r="BA371" s="466"/>
      <c r="BB371" s="466"/>
      <c r="BC371" s="466"/>
      <c r="BD371" s="466"/>
      <c r="BE371" s="466"/>
      <c r="BF371" s="466"/>
      <c r="BG371" s="466"/>
      <c r="BH371" s="466"/>
      <c r="BI371" s="466"/>
      <c r="BJ371" s="466"/>
      <c r="BK371" s="466"/>
      <c r="BL371" s="466"/>
      <c r="BM371" s="466"/>
      <c r="BN371" s="466"/>
      <c r="BO371" s="466"/>
      <c r="BP371" s="466"/>
      <c r="BQ371" s="466"/>
      <c r="BR371" s="466"/>
      <c r="BS371" s="466"/>
      <c r="BT371" s="466"/>
      <c r="BU371" s="466"/>
      <c r="BV371" s="466"/>
      <c r="BW371" s="466"/>
      <c r="BX371" s="466"/>
      <c r="BY371" s="466"/>
      <c r="BZ371" s="466"/>
      <c r="CA371" s="466"/>
      <c r="CB371" s="466"/>
      <c r="CC371" s="466"/>
      <c r="CD371" s="466"/>
      <c r="CE371" s="466"/>
      <c r="CF371" s="466"/>
      <c r="CG371" s="466"/>
      <c r="CH371" s="466"/>
      <c r="CI371" s="466"/>
      <c r="CJ371" s="466"/>
      <c r="CK371" s="466"/>
      <c r="CL371" s="466"/>
      <c r="CM371" s="466"/>
      <c r="CN371" s="466"/>
      <c r="CO371" s="466"/>
      <c r="CP371" s="466"/>
      <c r="CQ371" s="466"/>
      <c r="CR371" s="466"/>
      <c r="CS371" s="466"/>
      <c r="CT371" s="466"/>
      <c r="CU371" s="466"/>
      <c r="CV371" s="466"/>
      <c r="CW371" s="466"/>
      <c r="CX371" s="466"/>
      <c r="CY371" s="466"/>
      <c r="CZ371" s="466"/>
      <c r="DA371" s="466"/>
      <c r="DB371" s="466"/>
      <c r="DC371" s="466"/>
      <c r="DD371" s="466"/>
      <c r="DE371" s="466"/>
      <c r="DF371" s="466"/>
      <c r="DG371" s="466"/>
      <c r="FE371" s="527"/>
      <c r="FF371" s="466"/>
      <c r="FG371" s="466"/>
      <c r="FH371" s="466"/>
      <c r="FI371" s="466"/>
      <c r="FJ371" s="466"/>
      <c r="FK371" s="466"/>
      <c r="FL371" s="466"/>
      <c r="FM371" s="466"/>
      <c r="FN371" s="466"/>
      <c r="FO371" s="466"/>
      <c r="FP371" s="466"/>
      <c r="FQ371" s="466"/>
      <c r="FR371" s="466"/>
      <c r="FS371" s="466"/>
      <c r="FT371" s="466"/>
      <c r="FU371" s="466"/>
      <c r="FV371" s="466"/>
      <c r="FW371" s="466"/>
      <c r="FX371" s="466"/>
      <c r="FY371" s="466"/>
      <c r="FZ371" s="527"/>
      <c r="GA371" s="527"/>
      <c r="GB371" s="527"/>
      <c r="GC371" s="527"/>
      <c r="GD371" s="527"/>
      <c r="GE371" s="527"/>
      <c r="GF371" s="527"/>
      <c r="GG371" s="527"/>
      <c r="GH371" s="527"/>
      <c r="GI371" s="527"/>
      <c r="GJ371" s="527"/>
      <c r="GK371" s="527"/>
      <c r="GL371" s="527"/>
      <c r="GM371" s="527"/>
      <c r="GN371" s="527"/>
      <c r="GV371" s="527"/>
      <c r="GW371" s="527"/>
      <c r="GX371" s="527"/>
      <c r="GY371" s="527"/>
      <c r="GZ371" s="527"/>
      <c r="HA371" s="527"/>
      <c r="HB371" s="527"/>
      <c r="HC371" s="527"/>
      <c r="HD371" s="527"/>
      <c r="HE371" s="844"/>
      <c r="HF371" s="844"/>
      <c r="HG371" s="844"/>
      <c r="HH371" s="844"/>
      <c r="HI371" s="844"/>
      <c r="HJ371" s="844"/>
      <c r="HK371" s="844"/>
      <c r="HL371" s="844"/>
      <c r="HM371" s="844"/>
      <c r="HN371" s="844"/>
      <c r="HP371" s="466"/>
      <c r="HQ371" s="466"/>
      <c r="HR371" s="466"/>
      <c r="HS371" s="415"/>
      <c r="HT371" s="2292"/>
    </row>
    <row r="372" spans="3:228">
      <c r="C372" s="466"/>
      <c r="D372" s="466"/>
      <c r="E372" s="466"/>
      <c r="F372" s="466"/>
      <c r="G372" s="466"/>
      <c r="H372" s="466"/>
      <c r="I372" s="466"/>
      <c r="J372" s="466"/>
      <c r="K372" s="466"/>
      <c r="L372" s="466"/>
      <c r="M372" s="466"/>
      <c r="N372" s="466"/>
      <c r="O372" s="466"/>
      <c r="P372" s="510"/>
      <c r="Q372" s="510"/>
      <c r="R372" s="510"/>
      <c r="S372" s="510"/>
      <c r="T372" s="510"/>
      <c r="U372" s="510"/>
      <c r="V372" s="510"/>
      <c r="W372" s="510"/>
      <c r="X372" s="510"/>
      <c r="Y372" s="510"/>
      <c r="Z372" s="510"/>
      <c r="AA372" s="510"/>
      <c r="AB372" s="510"/>
      <c r="AC372" s="510"/>
      <c r="AD372" s="510"/>
      <c r="AE372" s="510"/>
      <c r="AF372" s="510"/>
      <c r="AG372" s="510"/>
      <c r="AH372" s="510"/>
      <c r="AI372" s="510"/>
      <c r="AJ372" s="510"/>
      <c r="AK372" s="510"/>
      <c r="AL372" s="510"/>
      <c r="AM372" s="510"/>
      <c r="AN372" s="510"/>
      <c r="AO372" s="510"/>
      <c r="AP372" s="510"/>
      <c r="AQ372" s="510"/>
      <c r="AR372" s="510"/>
      <c r="AS372" s="510"/>
      <c r="AT372" s="510"/>
      <c r="AU372" s="510"/>
      <c r="AV372" s="510"/>
      <c r="AW372" s="510"/>
      <c r="AX372" s="510"/>
      <c r="AY372" s="510"/>
      <c r="AZ372" s="466"/>
      <c r="BA372" s="466"/>
      <c r="BB372" s="466"/>
      <c r="BC372" s="466"/>
      <c r="BD372" s="466"/>
      <c r="BE372" s="466"/>
      <c r="BF372" s="466"/>
      <c r="BG372" s="466"/>
      <c r="BH372" s="466"/>
      <c r="BI372" s="466"/>
      <c r="BJ372" s="466"/>
      <c r="BK372" s="466"/>
      <c r="BL372" s="466"/>
      <c r="BM372" s="466"/>
      <c r="BN372" s="466"/>
      <c r="BO372" s="466"/>
      <c r="BP372" s="466"/>
      <c r="BQ372" s="466"/>
      <c r="BR372" s="466"/>
      <c r="BS372" s="466"/>
      <c r="BT372" s="466"/>
      <c r="BU372" s="466"/>
      <c r="BV372" s="466"/>
      <c r="BW372" s="466"/>
      <c r="BX372" s="466"/>
      <c r="BY372" s="466"/>
      <c r="BZ372" s="466"/>
      <c r="CA372" s="466"/>
      <c r="CB372" s="466"/>
      <c r="CC372" s="466"/>
      <c r="CD372" s="466"/>
      <c r="CE372" s="466"/>
      <c r="CF372" s="466"/>
      <c r="CG372" s="466"/>
      <c r="CH372" s="466"/>
      <c r="CI372" s="466"/>
      <c r="CJ372" s="466"/>
      <c r="CK372" s="466"/>
      <c r="CL372" s="466"/>
      <c r="CM372" s="466"/>
      <c r="CN372" s="466"/>
      <c r="CO372" s="466"/>
      <c r="CP372" s="466"/>
      <c r="CQ372" s="466"/>
      <c r="CR372" s="466"/>
      <c r="CS372" s="466"/>
      <c r="CT372" s="466"/>
      <c r="CU372" s="466"/>
      <c r="CV372" s="466"/>
      <c r="CW372" s="466"/>
      <c r="CX372" s="466"/>
      <c r="CY372" s="466"/>
      <c r="CZ372" s="466"/>
      <c r="DA372" s="466"/>
      <c r="DB372" s="466"/>
      <c r="DC372" s="466"/>
      <c r="DD372" s="466"/>
      <c r="DE372" s="466"/>
      <c r="DF372" s="466"/>
      <c r="DG372" s="466"/>
      <c r="FE372" s="527"/>
      <c r="FF372" s="466"/>
      <c r="FG372" s="466"/>
      <c r="FH372" s="466"/>
      <c r="FI372" s="466"/>
      <c r="FJ372" s="466"/>
      <c r="FK372" s="466"/>
      <c r="FL372" s="466"/>
      <c r="FM372" s="466"/>
      <c r="FN372" s="466"/>
      <c r="FO372" s="466"/>
      <c r="FP372" s="466"/>
      <c r="FQ372" s="466"/>
      <c r="FR372" s="466"/>
      <c r="FS372" s="466"/>
      <c r="FT372" s="466"/>
      <c r="FU372" s="466"/>
      <c r="FV372" s="466"/>
      <c r="FW372" s="466"/>
      <c r="FX372" s="466"/>
      <c r="FY372" s="466"/>
      <c r="FZ372" s="527"/>
      <c r="GA372" s="527"/>
      <c r="GB372" s="527"/>
      <c r="GC372" s="527"/>
      <c r="GD372" s="527"/>
      <c r="GE372" s="527"/>
      <c r="GF372" s="527"/>
      <c r="GG372" s="527"/>
      <c r="GH372" s="527"/>
      <c r="GI372" s="527"/>
      <c r="GJ372" s="527"/>
      <c r="GK372" s="527"/>
      <c r="GL372" s="527"/>
      <c r="GM372" s="527"/>
      <c r="GN372" s="527"/>
      <c r="GV372" s="527"/>
      <c r="GW372" s="527"/>
      <c r="GX372" s="527"/>
      <c r="GY372" s="527"/>
      <c r="GZ372" s="527"/>
      <c r="HA372" s="527"/>
      <c r="HB372" s="527"/>
      <c r="HC372" s="527"/>
      <c r="HD372" s="527"/>
      <c r="HE372" s="844"/>
      <c r="HF372" s="844"/>
      <c r="HG372" s="844"/>
      <c r="HH372" s="844"/>
      <c r="HI372" s="844"/>
      <c r="HJ372" s="844"/>
      <c r="HK372" s="844"/>
      <c r="HL372" s="844"/>
      <c r="HM372" s="844"/>
      <c r="HN372" s="844"/>
      <c r="HP372" s="466"/>
      <c r="HQ372" s="466"/>
      <c r="HR372" s="466"/>
      <c r="HS372" s="415"/>
      <c r="HT372" s="2292"/>
    </row>
    <row r="373" spans="3:228">
      <c r="C373" s="466"/>
      <c r="D373" s="466"/>
      <c r="E373" s="466"/>
      <c r="F373" s="466"/>
      <c r="G373" s="466"/>
      <c r="H373" s="466"/>
      <c r="I373" s="466"/>
      <c r="J373" s="466"/>
      <c r="K373" s="466"/>
      <c r="L373" s="466"/>
      <c r="M373" s="466"/>
      <c r="N373" s="466"/>
      <c r="O373" s="466"/>
      <c r="P373" s="510"/>
      <c r="Q373" s="510"/>
      <c r="R373" s="510"/>
      <c r="S373" s="510"/>
      <c r="T373" s="510"/>
      <c r="U373" s="510"/>
      <c r="V373" s="510"/>
      <c r="W373" s="510"/>
      <c r="X373" s="510"/>
      <c r="Y373" s="510"/>
      <c r="Z373" s="510"/>
      <c r="AA373" s="510"/>
      <c r="AB373" s="510"/>
      <c r="AC373" s="510"/>
      <c r="AD373" s="510"/>
      <c r="AE373" s="510"/>
      <c r="AF373" s="510"/>
      <c r="AG373" s="510"/>
      <c r="AH373" s="510"/>
      <c r="AI373" s="510"/>
      <c r="AJ373" s="510"/>
      <c r="AK373" s="510"/>
      <c r="AL373" s="510"/>
      <c r="AM373" s="510"/>
      <c r="AN373" s="510"/>
      <c r="AO373" s="510"/>
      <c r="AP373" s="510"/>
      <c r="AQ373" s="510"/>
      <c r="AR373" s="510"/>
      <c r="AS373" s="510"/>
      <c r="AT373" s="510"/>
      <c r="AU373" s="510"/>
      <c r="AV373" s="510"/>
      <c r="AW373" s="510"/>
      <c r="AX373" s="510"/>
      <c r="AY373" s="510"/>
      <c r="AZ373" s="466"/>
      <c r="BA373" s="466"/>
      <c r="BB373" s="466"/>
      <c r="BC373" s="466"/>
      <c r="BD373" s="466"/>
      <c r="BE373" s="466"/>
      <c r="BF373" s="466"/>
      <c r="BG373" s="466"/>
      <c r="BH373" s="466"/>
      <c r="BI373" s="466"/>
      <c r="BJ373" s="466"/>
      <c r="BK373" s="466"/>
      <c r="BL373" s="466"/>
      <c r="BM373" s="466"/>
      <c r="BN373" s="466"/>
      <c r="BO373" s="466"/>
      <c r="BP373" s="466"/>
      <c r="BQ373" s="466"/>
      <c r="BR373" s="466"/>
      <c r="BS373" s="466"/>
      <c r="BT373" s="466"/>
      <c r="BU373" s="466"/>
      <c r="BV373" s="466"/>
      <c r="BW373" s="466"/>
      <c r="BX373" s="466"/>
      <c r="BY373" s="466"/>
      <c r="BZ373" s="466"/>
      <c r="CA373" s="466"/>
      <c r="CB373" s="466"/>
      <c r="CC373" s="466"/>
      <c r="CD373" s="466"/>
      <c r="CE373" s="466"/>
      <c r="CF373" s="466"/>
      <c r="CG373" s="466"/>
      <c r="CH373" s="466"/>
      <c r="CI373" s="466"/>
      <c r="CJ373" s="466"/>
      <c r="CK373" s="466"/>
      <c r="CL373" s="466"/>
      <c r="CM373" s="466"/>
      <c r="CN373" s="466"/>
      <c r="CO373" s="466"/>
      <c r="CP373" s="466"/>
      <c r="CQ373" s="466"/>
      <c r="CR373" s="466"/>
      <c r="CS373" s="466"/>
      <c r="CT373" s="466"/>
      <c r="CU373" s="466"/>
      <c r="CV373" s="466"/>
      <c r="CW373" s="466"/>
      <c r="CX373" s="466"/>
      <c r="CY373" s="466"/>
      <c r="CZ373" s="466"/>
      <c r="DA373" s="466"/>
      <c r="DB373" s="466"/>
      <c r="DC373" s="466"/>
      <c r="DD373" s="466"/>
      <c r="DE373" s="466"/>
      <c r="DF373" s="466"/>
      <c r="DG373" s="466"/>
      <c r="FE373" s="527"/>
      <c r="FF373" s="466"/>
      <c r="FG373" s="466"/>
      <c r="FH373" s="466"/>
      <c r="FI373" s="466"/>
      <c r="FJ373" s="466"/>
      <c r="FK373" s="466"/>
      <c r="FL373" s="466"/>
      <c r="FM373" s="466"/>
      <c r="FN373" s="466"/>
      <c r="FO373" s="466"/>
      <c r="FP373" s="466"/>
      <c r="FQ373" s="466"/>
      <c r="FR373" s="466"/>
      <c r="FS373" s="466"/>
      <c r="FT373" s="466"/>
      <c r="FU373" s="466"/>
      <c r="FV373" s="466"/>
      <c r="FW373" s="466"/>
      <c r="FX373" s="466"/>
      <c r="FY373" s="466"/>
      <c r="FZ373" s="527"/>
      <c r="GA373" s="527"/>
      <c r="GB373" s="527"/>
      <c r="GC373" s="527"/>
      <c r="GD373" s="527"/>
      <c r="GE373" s="527"/>
      <c r="GF373" s="527"/>
      <c r="GG373" s="527"/>
      <c r="GH373" s="527"/>
      <c r="GI373" s="527"/>
      <c r="GJ373" s="527"/>
      <c r="GK373" s="527"/>
      <c r="GL373" s="527"/>
      <c r="GM373" s="527"/>
      <c r="GN373" s="527"/>
      <c r="GV373" s="527"/>
      <c r="GW373" s="527"/>
      <c r="GX373" s="527"/>
      <c r="GY373" s="527"/>
      <c r="GZ373" s="527"/>
      <c r="HA373" s="527"/>
      <c r="HB373" s="527"/>
      <c r="HC373" s="527"/>
      <c r="HD373" s="527"/>
      <c r="HE373" s="844"/>
      <c r="HF373" s="844"/>
      <c r="HG373" s="844"/>
      <c r="HH373" s="844"/>
      <c r="HI373" s="844"/>
      <c r="HJ373" s="844"/>
      <c r="HK373" s="844"/>
      <c r="HL373" s="844"/>
      <c r="HM373" s="844"/>
      <c r="HN373" s="844"/>
      <c r="HP373" s="466"/>
      <c r="HQ373" s="466"/>
      <c r="HR373" s="466"/>
      <c r="HS373" s="415"/>
      <c r="HT373" s="2292"/>
    </row>
    <row r="374" spans="3:228">
      <c r="C374" s="466"/>
      <c r="D374" s="466"/>
      <c r="E374" s="466"/>
      <c r="F374" s="466"/>
      <c r="G374" s="466"/>
      <c r="H374" s="466"/>
      <c r="I374" s="466"/>
      <c r="J374" s="466"/>
      <c r="K374" s="466"/>
      <c r="L374" s="466"/>
      <c r="M374" s="466"/>
      <c r="N374" s="466"/>
      <c r="O374" s="466"/>
      <c r="P374" s="510"/>
      <c r="Q374" s="510"/>
      <c r="R374" s="510"/>
      <c r="S374" s="510"/>
      <c r="T374" s="510"/>
      <c r="U374" s="510"/>
      <c r="V374" s="510"/>
      <c r="W374" s="510"/>
      <c r="X374" s="510"/>
      <c r="Y374" s="510"/>
      <c r="Z374" s="510"/>
      <c r="AA374" s="510"/>
      <c r="AB374" s="510"/>
      <c r="AC374" s="510"/>
      <c r="AD374" s="510"/>
      <c r="AE374" s="510"/>
      <c r="AF374" s="510"/>
      <c r="AG374" s="510"/>
      <c r="AH374" s="510"/>
      <c r="AI374" s="510"/>
      <c r="AJ374" s="510"/>
      <c r="AK374" s="510"/>
      <c r="AL374" s="510"/>
      <c r="AM374" s="510"/>
      <c r="AN374" s="510"/>
      <c r="AO374" s="510"/>
      <c r="AP374" s="510"/>
      <c r="AQ374" s="510"/>
      <c r="AR374" s="510"/>
      <c r="AS374" s="510"/>
      <c r="AT374" s="510"/>
      <c r="AU374" s="510"/>
      <c r="AV374" s="510"/>
      <c r="AW374" s="510"/>
      <c r="AX374" s="510"/>
      <c r="AY374" s="510"/>
      <c r="AZ374" s="466"/>
      <c r="BA374" s="466"/>
      <c r="BB374" s="466"/>
      <c r="BC374" s="466"/>
      <c r="BD374" s="466"/>
      <c r="BE374" s="466"/>
      <c r="BF374" s="466"/>
      <c r="BG374" s="466"/>
      <c r="BH374" s="466"/>
      <c r="BI374" s="466"/>
      <c r="BJ374" s="466"/>
      <c r="BK374" s="466"/>
      <c r="BL374" s="466"/>
      <c r="BM374" s="466"/>
      <c r="BN374" s="466"/>
      <c r="BO374" s="466"/>
      <c r="BP374" s="466"/>
      <c r="BQ374" s="466"/>
      <c r="BR374" s="466"/>
      <c r="BS374" s="466"/>
      <c r="BT374" s="466"/>
      <c r="BU374" s="466"/>
      <c r="BV374" s="466"/>
      <c r="BW374" s="466"/>
      <c r="BX374" s="466"/>
      <c r="BY374" s="466"/>
      <c r="BZ374" s="466"/>
      <c r="CA374" s="466"/>
      <c r="CB374" s="466"/>
      <c r="CC374" s="466"/>
      <c r="CD374" s="466"/>
      <c r="CE374" s="466"/>
      <c r="CF374" s="466"/>
      <c r="CG374" s="466"/>
      <c r="CH374" s="466"/>
      <c r="CI374" s="466"/>
      <c r="CJ374" s="466"/>
      <c r="CK374" s="466"/>
      <c r="CL374" s="466"/>
      <c r="CM374" s="466"/>
      <c r="CN374" s="466"/>
      <c r="CO374" s="466"/>
      <c r="CP374" s="466"/>
      <c r="CQ374" s="466"/>
      <c r="CR374" s="466"/>
      <c r="CS374" s="466"/>
      <c r="CT374" s="466"/>
      <c r="CU374" s="466"/>
      <c r="CV374" s="466"/>
      <c r="CW374" s="466"/>
      <c r="CX374" s="466"/>
      <c r="CY374" s="466"/>
      <c r="CZ374" s="466"/>
      <c r="DA374" s="466"/>
      <c r="DB374" s="466"/>
      <c r="DC374" s="466"/>
      <c r="DD374" s="466"/>
      <c r="DE374" s="466"/>
      <c r="DF374" s="466"/>
      <c r="DG374" s="466"/>
      <c r="FE374" s="527"/>
      <c r="FF374" s="466"/>
      <c r="FG374" s="466"/>
      <c r="FH374" s="466"/>
      <c r="FI374" s="466"/>
      <c r="FJ374" s="466"/>
      <c r="FK374" s="466"/>
      <c r="FL374" s="466"/>
      <c r="FM374" s="466"/>
      <c r="FN374" s="466"/>
      <c r="FO374" s="466"/>
      <c r="FP374" s="466"/>
      <c r="FQ374" s="466"/>
      <c r="FR374" s="466"/>
      <c r="FS374" s="466"/>
      <c r="FT374" s="466"/>
      <c r="FU374" s="466"/>
      <c r="FV374" s="466"/>
      <c r="FW374" s="466"/>
      <c r="FX374" s="466"/>
      <c r="FY374" s="466"/>
      <c r="FZ374" s="527"/>
      <c r="GA374" s="527"/>
      <c r="GB374" s="527"/>
      <c r="GC374" s="527"/>
      <c r="GD374" s="527"/>
      <c r="GE374" s="527"/>
      <c r="GF374" s="527"/>
      <c r="GG374" s="527"/>
      <c r="GH374" s="527"/>
      <c r="GI374" s="527"/>
      <c r="GJ374" s="527"/>
      <c r="GK374" s="527"/>
      <c r="GL374" s="527"/>
      <c r="GM374" s="527"/>
      <c r="GN374" s="527"/>
      <c r="GV374" s="527"/>
      <c r="GW374" s="527"/>
      <c r="GX374" s="527"/>
      <c r="GY374" s="527"/>
      <c r="GZ374" s="527"/>
      <c r="HA374" s="527"/>
      <c r="HB374" s="527"/>
      <c r="HC374" s="527"/>
      <c r="HD374" s="527"/>
      <c r="HE374" s="844"/>
      <c r="HF374" s="844"/>
      <c r="HG374" s="844"/>
      <c r="HH374" s="844"/>
      <c r="HI374" s="844"/>
      <c r="HJ374" s="844"/>
      <c r="HK374" s="844"/>
      <c r="HL374" s="844"/>
      <c r="HM374" s="844"/>
      <c r="HN374" s="844"/>
      <c r="HP374" s="466"/>
      <c r="HQ374" s="466"/>
      <c r="HR374" s="466"/>
      <c r="HS374" s="415"/>
      <c r="HT374" s="2292"/>
    </row>
    <row r="375" spans="3:228">
      <c r="C375" s="466"/>
      <c r="D375" s="466"/>
      <c r="E375" s="466"/>
      <c r="F375" s="466"/>
      <c r="G375" s="466"/>
      <c r="H375" s="466"/>
      <c r="I375" s="466"/>
      <c r="J375" s="466"/>
      <c r="K375" s="466"/>
      <c r="L375" s="466"/>
      <c r="M375" s="466"/>
      <c r="N375" s="466"/>
      <c r="O375" s="466"/>
      <c r="P375" s="510"/>
      <c r="Q375" s="510"/>
      <c r="R375" s="510"/>
      <c r="S375" s="510"/>
      <c r="T375" s="510"/>
      <c r="U375" s="510"/>
      <c r="V375" s="510"/>
      <c r="W375" s="510"/>
      <c r="X375" s="510"/>
      <c r="Y375" s="510"/>
      <c r="Z375" s="510"/>
      <c r="AA375" s="510"/>
      <c r="AB375" s="510"/>
      <c r="AC375" s="510"/>
      <c r="AD375" s="510"/>
      <c r="AE375" s="510"/>
      <c r="AF375" s="510"/>
      <c r="AG375" s="510"/>
      <c r="AH375" s="510"/>
      <c r="AI375" s="510"/>
      <c r="AJ375" s="510"/>
      <c r="AK375" s="510"/>
      <c r="AL375" s="510"/>
      <c r="AM375" s="510"/>
      <c r="AN375" s="510"/>
      <c r="AO375" s="510"/>
      <c r="AP375" s="510"/>
      <c r="AQ375" s="510"/>
      <c r="AR375" s="510"/>
      <c r="AS375" s="510"/>
      <c r="AT375" s="510"/>
      <c r="AU375" s="510"/>
      <c r="AV375" s="510"/>
      <c r="AW375" s="510"/>
      <c r="AX375" s="510"/>
      <c r="AY375" s="510"/>
      <c r="AZ375" s="466"/>
      <c r="BA375" s="466"/>
      <c r="BB375" s="466"/>
      <c r="BC375" s="466"/>
      <c r="BD375" s="466"/>
      <c r="BE375" s="466"/>
      <c r="BF375" s="466"/>
      <c r="BG375" s="466"/>
      <c r="BH375" s="466"/>
      <c r="BI375" s="466"/>
      <c r="BJ375" s="466"/>
      <c r="BK375" s="466"/>
      <c r="BL375" s="466"/>
      <c r="BM375" s="466"/>
      <c r="BN375" s="466"/>
      <c r="BO375" s="466"/>
      <c r="BP375" s="466"/>
      <c r="BQ375" s="466"/>
      <c r="BR375" s="466"/>
      <c r="BS375" s="466"/>
      <c r="BT375" s="466"/>
      <c r="BU375" s="466"/>
      <c r="BV375" s="466"/>
      <c r="BW375" s="466"/>
      <c r="BX375" s="466"/>
      <c r="BY375" s="466"/>
      <c r="BZ375" s="466"/>
      <c r="CA375" s="466"/>
      <c r="CB375" s="466"/>
      <c r="CC375" s="466"/>
      <c r="CD375" s="466"/>
      <c r="CE375" s="466"/>
      <c r="CF375" s="466"/>
      <c r="CG375" s="466"/>
      <c r="CH375" s="466"/>
      <c r="CI375" s="466"/>
      <c r="CJ375" s="466"/>
      <c r="CK375" s="466"/>
      <c r="CL375" s="466"/>
      <c r="CM375" s="466"/>
      <c r="CN375" s="466"/>
      <c r="CO375" s="466"/>
      <c r="CP375" s="466"/>
      <c r="CQ375" s="466"/>
      <c r="CR375" s="466"/>
      <c r="CS375" s="466"/>
      <c r="CT375" s="466"/>
      <c r="CU375" s="466"/>
      <c r="CV375" s="466"/>
      <c r="CW375" s="466"/>
      <c r="CX375" s="466"/>
      <c r="CY375" s="466"/>
      <c r="CZ375" s="466"/>
      <c r="DA375" s="466"/>
      <c r="DB375" s="466"/>
      <c r="DC375" s="466"/>
      <c r="DD375" s="466"/>
      <c r="DE375" s="466"/>
      <c r="DF375" s="466"/>
      <c r="DG375" s="466"/>
      <c r="FE375" s="527"/>
      <c r="FF375" s="466"/>
      <c r="FG375" s="466"/>
      <c r="FH375" s="466"/>
      <c r="FI375" s="466"/>
      <c r="FJ375" s="466"/>
      <c r="FK375" s="466"/>
      <c r="FL375" s="466"/>
      <c r="FM375" s="466"/>
      <c r="FN375" s="466"/>
      <c r="FO375" s="466"/>
      <c r="FP375" s="466"/>
      <c r="FQ375" s="466"/>
      <c r="FR375" s="466"/>
      <c r="FS375" s="466"/>
      <c r="FT375" s="466"/>
      <c r="FU375" s="466"/>
      <c r="FV375" s="466"/>
      <c r="FW375" s="466"/>
      <c r="FX375" s="466"/>
      <c r="FY375" s="466"/>
      <c r="FZ375" s="527"/>
      <c r="GA375" s="527"/>
      <c r="GB375" s="527"/>
      <c r="GC375" s="527"/>
      <c r="GD375" s="527"/>
      <c r="GE375" s="527"/>
      <c r="GF375" s="527"/>
      <c r="GG375" s="527"/>
      <c r="GH375" s="527"/>
      <c r="GI375" s="527"/>
      <c r="GJ375" s="527"/>
      <c r="GK375" s="527"/>
      <c r="GL375" s="527"/>
      <c r="GM375" s="527"/>
      <c r="GN375" s="527"/>
      <c r="GV375" s="527"/>
      <c r="GW375" s="527"/>
      <c r="GX375" s="527"/>
      <c r="GY375" s="527"/>
      <c r="GZ375" s="527"/>
      <c r="HA375" s="527"/>
      <c r="HB375" s="527"/>
      <c r="HC375" s="527"/>
      <c r="HD375" s="527"/>
      <c r="HE375" s="844"/>
      <c r="HF375" s="844"/>
      <c r="HG375" s="844"/>
      <c r="HH375" s="844"/>
      <c r="HI375" s="844"/>
      <c r="HJ375" s="844"/>
      <c r="HK375" s="844"/>
      <c r="HL375" s="844"/>
      <c r="HM375" s="844"/>
      <c r="HN375" s="844"/>
      <c r="HP375" s="466"/>
      <c r="HQ375" s="466"/>
      <c r="HR375" s="466"/>
      <c r="HS375" s="415"/>
      <c r="HT375" s="2292"/>
    </row>
    <row r="376" spans="3:228">
      <c r="C376" s="466"/>
      <c r="D376" s="466"/>
      <c r="E376" s="466"/>
      <c r="F376" s="466"/>
      <c r="G376" s="466"/>
      <c r="H376" s="466"/>
      <c r="I376" s="466"/>
      <c r="J376" s="466"/>
      <c r="K376" s="466"/>
      <c r="L376" s="466"/>
      <c r="M376" s="466"/>
      <c r="N376" s="466"/>
      <c r="O376" s="466"/>
      <c r="P376" s="510"/>
      <c r="Q376" s="510"/>
      <c r="R376" s="510"/>
      <c r="S376" s="510"/>
      <c r="T376" s="510"/>
      <c r="U376" s="510"/>
      <c r="V376" s="510"/>
      <c r="W376" s="510"/>
      <c r="X376" s="510"/>
      <c r="Y376" s="510"/>
      <c r="Z376" s="510"/>
      <c r="AA376" s="510"/>
      <c r="AB376" s="510"/>
      <c r="AC376" s="510"/>
      <c r="AD376" s="510"/>
      <c r="AE376" s="510"/>
      <c r="AF376" s="510"/>
      <c r="AG376" s="510"/>
      <c r="AH376" s="510"/>
      <c r="AI376" s="510"/>
      <c r="AJ376" s="510"/>
      <c r="AK376" s="510"/>
      <c r="AL376" s="510"/>
      <c r="AM376" s="510"/>
      <c r="AN376" s="510"/>
      <c r="AO376" s="510"/>
      <c r="AP376" s="510"/>
      <c r="AQ376" s="510"/>
      <c r="AR376" s="510"/>
      <c r="AS376" s="510"/>
      <c r="AT376" s="510"/>
      <c r="AU376" s="510"/>
      <c r="AV376" s="510"/>
      <c r="AW376" s="510"/>
      <c r="AX376" s="510"/>
      <c r="AY376" s="510"/>
      <c r="AZ376" s="466"/>
      <c r="BA376" s="466"/>
      <c r="BB376" s="466"/>
      <c r="BC376" s="466"/>
      <c r="BD376" s="466"/>
      <c r="BE376" s="466"/>
      <c r="BF376" s="466"/>
      <c r="BG376" s="466"/>
      <c r="BH376" s="466"/>
      <c r="BI376" s="466"/>
      <c r="BJ376" s="466"/>
      <c r="BK376" s="466"/>
      <c r="BL376" s="466"/>
      <c r="BM376" s="466"/>
      <c r="BN376" s="466"/>
      <c r="BO376" s="466"/>
      <c r="BP376" s="466"/>
      <c r="BQ376" s="466"/>
      <c r="BR376" s="466"/>
      <c r="BS376" s="466"/>
      <c r="BT376" s="466"/>
      <c r="BU376" s="466"/>
      <c r="BV376" s="466"/>
      <c r="BW376" s="466"/>
      <c r="BX376" s="466"/>
      <c r="BY376" s="466"/>
      <c r="BZ376" s="466"/>
      <c r="CA376" s="466"/>
      <c r="CB376" s="466"/>
      <c r="CC376" s="466"/>
      <c r="CD376" s="466"/>
      <c r="CE376" s="466"/>
      <c r="CF376" s="466"/>
      <c r="CG376" s="466"/>
      <c r="CH376" s="466"/>
      <c r="CI376" s="466"/>
      <c r="CJ376" s="466"/>
      <c r="CK376" s="466"/>
      <c r="CL376" s="466"/>
      <c r="CM376" s="466"/>
      <c r="CN376" s="466"/>
      <c r="CO376" s="466"/>
      <c r="CP376" s="466"/>
      <c r="CQ376" s="466"/>
      <c r="CR376" s="466"/>
      <c r="CS376" s="466"/>
      <c r="CT376" s="466"/>
      <c r="CU376" s="466"/>
      <c r="CV376" s="466"/>
      <c r="CW376" s="466"/>
      <c r="CX376" s="466"/>
      <c r="CY376" s="466"/>
      <c r="CZ376" s="466"/>
      <c r="DA376" s="466"/>
      <c r="DB376" s="466"/>
      <c r="DC376" s="466"/>
      <c r="DD376" s="466"/>
      <c r="DE376" s="466"/>
      <c r="DF376" s="466"/>
      <c r="DG376" s="466"/>
      <c r="FE376" s="527"/>
      <c r="FF376" s="466"/>
      <c r="FG376" s="466"/>
      <c r="FH376" s="466"/>
      <c r="FI376" s="466"/>
      <c r="FJ376" s="466"/>
      <c r="FK376" s="466"/>
      <c r="FL376" s="466"/>
      <c r="FM376" s="466"/>
      <c r="FN376" s="466"/>
      <c r="FO376" s="466"/>
      <c r="FP376" s="466"/>
      <c r="FQ376" s="466"/>
      <c r="FR376" s="466"/>
      <c r="FS376" s="466"/>
      <c r="FT376" s="466"/>
      <c r="FU376" s="466"/>
      <c r="FV376" s="466"/>
      <c r="FW376" s="466"/>
      <c r="FX376" s="466"/>
      <c r="FY376" s="466"/>
      <c r="FZ376" s="527"/>
      <c r="GA376" s="527"/>
      <c r="GB376" s="527"/>
      <c r="GC376" s="527"/>
      <c r="GD376" s="527"/>
      <c r="GE376" s="527"/>
      <c r="GF376" s="527"/>
      <c r="GG376" s="527"/>
      <c r="GH376" s="527"/>
      <c r="GI376" s="527"/>
      <c r="GJ376" s="527"/>
      <c r="GK376" s="527"/>
      <c r="GL376" s="527"/>
      <c r="GM376" s="527"/>
      <c r="GN376" s="527"/>
      <c r="GV376" s="527"/>
      <c r="GW376" s="527"/>
      <c r="GX376" s="527"/>
      <c r="GY376" s="527"/>
      <c r="GZ376" s="527"/>
      <c r="HA376" s="527"/>
      <c r="HB376" s="527"/>
      <c r="HC376" s="527"/>
      <c r="HD376" s="527"/>
      <c r="HE376" s="844"/>
      <c r="HF376" s="844"/>
      <c r="HG376" s="844"/>
      <c r="HH376" s="844"/>
      <c r="HI376" s="844"/>
      <c r="HJ376" s="844"/>
      <c r="HK376" s="844"/>
      <c r="HL376" s="844"/>
      <c r="HM376" s="844"/>
      <c r="HN376" s="844"/>
      <c r="HP376" s="466"/>
      <c r="HQ376" s="466"/>
      <c r="HR376" s="466"/>
      <c r="HS376" s="415"/>
      <c r="HT376" s="2292"/>
    </row>
    <row r="377" spans="3:228">
      <c r="FE377" s="527"/>
      <c r="FZ377" s="527"/>
      <c r="GA377" s="527"/>
      <c r="GB377" s="527"/>
      <c r="GC377" s="527"/>
      <c r="GD377" s="527"/>
      <c r="GE377" s="527"/>
      <c r="GF377" s="527"/>
      <c r="GG377" s="527"/>
      <c r="GH377" s="527"/>
      <c r="GI377" s="527"/>
      <c r="GJ377" s="527"/>
      <c r="GK377" s="527"/>
      <c r="GL377" s="527"/>
      <c r="GM377" s="527"/>
      <c r="GN377" s="527"/>
      <c r="GV377" s="527"/>
      <c r="GW377" s="527"/>
      <c r="GX377" s="527"/>
      <c r="GY377" s="527"/>
      <c r="GZ377" s="527"/>
      <c r="HA377" s="527"/>
      <c r="HB377" s="527"/>
      <c r="HC377" s="527"/>
      <c r="HD377" s="527"/>
      <c r="HP377" s="466"/>
      <c r="HQ377" s="466"/>
      <c r="HR377" s="466"/>
      <c r="HS377" s="415"/>
      <c r="HT377" s="2292"/>
    </row>
    <row r="378" spans="3:228">
      <c r="FE378" s="527"/>
      <c r="FZ378" s="527"/>
      <c r="GA378" s="527"/>
      <c r="GB378" s="527"/>
      <c r="GC378" s="527"/>
      <c r="GD378" s="527"/>
      <c r="GE378" s="527"/>
      <c r="GF378" s="527"/>
      <c r="GG378" s="527"/>
      <c r="GH378" s="527"/>
      <c r="GI378" s="527"/>
      <c r="GJ378" s="527"/>
      <c r="GK378" s="527"/>
      <c r="GL378" s="527"/>
      <c r="GM378" s="527"/>
      <c r="GN378" s="527"/>
      <c r="GV378" s="527"/>
      <c r="GW378" s="527"/>
      <c r="GX378" s="527"/>
      <c r="GY378" s="527"/>
      <c r="GZ378" s="527"/>
      <c r="HA378" s="527"/>
      <c r="HB378" s="527"/>
      <c r="HC378" s="527"/>
      <c r="HD378" s="527"/>
      <c r="HP378" s="466"/>
      <c r="HQ378" s="466"/>
      <c r="HR378" s="466"/>
      <c r="HS378" s="415"/>
      <c r="HT378" s="2292"/>
    </row>
    <row r="379" spans="3:228">
      <c r="FE379" s="527"/>
      <c r="FZ379" s="527"/>
      <c r="GA379" s="527"/>
      <c r="GB379" s="527"/>
      <c r="GC379" s="527"/>
      <c r="GD379" s="527"/>
      <c r="GE379" s="527"/>
      <c r="GF379" s="527"/>
      <c r="GG379" s="527"/>
      <c r="GH379" s="527"/>
      <c r="GI379" s="527"/>
      <c r="GJ379" s="527"/>
      <c r="GK379" s="527"/>
      <c r="GL379" s="527"/>
      <c r="GM379" s="527"/>
      <c r="GN379" s="527"/>
      <c r="GV379" s="527"/>
      <c r="GW379" s="527"/>
      <c r="GX379" s="527"/>
      <c r="GY379" s="527"/>
      <c r="GZ379" s="527"/>
      <c r="HA379" s="527"/>
      <c r="HB379" s="527"/>
      <c r="HC379" s="527"/>
      <c r="HD379" s="527"/>
      <c r="HP379" s="466"/>
      <c r="HQ379" s="466"/>
      <c r="HR379" s="466"/>
      <c r="HS379" s="415"/>
      <c r="HT379" s="2292"/>
    </row>
    <row r="380" spans="3:228">
      <c r="FE380" s="527"/>
      <c r="FZ380" s="527"/>
      <c r="GA380" s="527"/>
      <c r="GB380" s="527"/>
      <c r="GC380" s="527"/>
      <c r="GD380" s="527"/>
      <c r="GE380" s="527"/>
      <c r="GF380" s="527"/>
      <c r="GG380" s="527"/>
      <c r="GH380" s="527"/>
      <c r="GI380" s="527"/>
      <c r="GJ380" s="527"/>
      <c r="GK380" s="527"/>
      <c r="GL380" s="527"/>
      <c r="GM380" s="527"/>
      <c r="GN380" s="527"/>
      <c r="GV380" s="527"/>
      <c r="GW380" s="527"/>
      <c r="GX380" s="527"/>
      <c r="GY380" s="527"/>
      <c r="GZ380" s="527"/>
      <c r="HA380" s="527"/>
      <c r="HB380" s="527"/>
      <c r="HC380" s="527"/>
      <c r="HD380" s="527"/>
      <c r="HP380" s="466"/>
      <c r="HQ380" s="466"/>
      <c r="HR380" s="466"/>
      <c r="HS380" s="415"/>
      <c r="HT380" s="2292"/>
    </row>
    <row r="381" spans="3:228">
      <c r="FE381" s="527"/>
      <c r="FZ381" s="527"/>
      <c r="GA381" s="527"/>
      <c r="GB381" s="527"/>
      <c r="GC381" s="527"/>
      <c r="GD381" s="527"/>
      <c r="GE381" s="527"/>
      <c r="GF381" s="527"/>
      <c r="GG381" s="527"/>
      <c r="GH381" s="527"/>
      <c r="GI381" s="527"/>
      <c r="GJ381" s="527"/>
      <c r="GK381" s="527"/>
      <c r="GL381" s="527"/>
      <c r="GM381" s="527"/>
      <c r="GN381" s="527"/>
      <c r="GV381" s="527"/>
      <c r="GW381" s="527"/>
      <c r="GX381" s="527"/>
      <c r="GY381" s="527"/>
      <c r="GZ381" s="527"/>
      <c r="HA381" s="527"/>
      <c r="HB381" s="527"/>
      <c r="HC381" s="527"/>
      <c r="HD381" s="527"/>
      <c r="HP381" s="466"/>
      <c r="HQ381" s="466"/>
      <c r="HR381" s="466"/>
      <c r="HS381" s="415"/>
      <c r="HT381" s="2292"/>
    </row>
    <row r="382" spans="3:228">
      <c r="FE382" s="527"/>
      <c r="FZ382" s="527"/>
      <c r="GA382" s="527"/>
      <c r="GB382" s="527"/>
      <c r="GC382" s="527"/>
      <c r="GD382" s="527"/>
      <c r="GE382" s="527"/>
      <c r="GF382" s="527"/>
      <c r="GG382" s="527"/>
      <c r="GH382" s="527"/>
      <c r="GI382" s="527"/>
      <c r="GJ382" s="527"/>
      <c r="GK382" s="527"/>
      <c r="GL382" s="527"/>
      <c r="GM382" s="527"/>
      <c r="GN382" s="527"/>
      <c r="GV382" s="527"/>
      <c r="GW382" s="527"/>
      <c r="GX382" s="527"/>
      <c r="GY382" s="527"/>
      <c r="GZ382" s="527"/>
      <c r="HA382" s="527"/>
      <c r="HB382" s="527"/>
      <c r="HC382" s="527"/>
      <c r="HD382" s="527"/>
      <c r="HP382" s="466"/>
      <c r="HQ382" s="466"/>
      <c r="HR382" s="466"/>
      <c r="HS382" s="415"/>
      <c r="HT382" s="2292"/>
    </row>
    <row r="383" spans="3:228">
      <c r="FE383" s="527"/>
      <c r="FZ383" s="527"/>
      <c r="GA383" s="527"/>
      <c r="GB383" s="527"/>
      <c r="GC383" s="527"/>
      <c r="GD383" s="527"/>
      <c r="GE383" s="527"/>
      <c r="GF383" s="527"/>
      <c r="GG383" s="527"/>
      <c r="GH383" s="527"/>
      <c r="GI383" s="527"/>
      <c r="GJ383" s="527"/>
      <c r="GK383" s="527"/>
      <c r="GL383" s="527"/>
      <c r="GM383" s="527"/>
      <c r="GN383" s="527"/>
      <c r="GV383" s="527"/>
      <c r="GW383" s="527"/>
      <c r="GX383" s="527"/>
      <c r="GY383" s="527"/>
      <c r="GZ383" s="527"/>
      <c r="HA383" s="527"/>
      <c r="HB383" s="527"/>
      <c r="HC383" s="527"/>
      <c r="HD383" s="527"/>
      <c r="HP383" s="466"/>
      <c r="HQ383" s="466"/>
      <c r="HR383" s="466"/>
      <c r="HS383" s="415"/>
      <c r="HT383" s="2292"/>
    </row>
    <row r="384" spans="3:228">
      <c r="FE384" s="527"/>
      <c r="FZ384" s="527"/>
      <c r="GA384" s="527"/>
      <c r="GB384" s="527"/>
      <c r="GC384" s="527"/>
      <c r="GD384" s="527"/>
      <c r="GE384" s="527"/>
      <c r="GF384" s="527"/>
      <c r="GG384" s="527"/>
      <c r="GH384" s="527"/>
      <c r="GI384" s="527"/>
      <c r="GJ384" s="527"/>
      <c r="GK384" s="527"/>
      <c r="GL384" s="527"/>
      <c r="GM384" s="527"/>
      <c r="GN384" s="527"/>
      <c r="GV384" s="527"/>
      <c r="GW384" s="527"/>
      <c r="GX384" s="527"/>
      <c r="GY384" s="527"/>
      <c r="GZ384" s="527"/>
      <c r="HA384" s="527"/>
      <c r="HB384" s="527"/>
      <c r="HC384" s="527"/>
      <c r="HD384" s="527"/>
      <c r="HP384" s="466"/>
      <c r="HQ384" s="466"/>
      <c r="HR384" s="466"/>
      <c r="HS384" s="415"/>
      <c r="HT384" s="2292"/>
    </row>
    <row r="385" spans="161:228">
      <c r="FE385" s="527"/>
      <c r="FZ385" s="527"/>
      <c r="GA385" s="527"/>
      <c r="GB385" s="527"/>
      <c r="GC385" s="527"/>
      <c r="GD385" s="527"/>
      <c r="GE385" s="527"/>
      <c r="GF385" s="527"/>
      <c r="GG385" s="527"/>
      <c r="GH385" s="527"/>
      <c r="GI385" s="527"/>
      <c r="GJ385" s="527"/>
      <c r="GK385" s="527"/>
      <c r="GL385" s="527"/>
      <c r="GM385" s="527"/>
      <c r="GN385" s="527"/>
      <c r="GV385" s="527"/>
      <c r="GW385" s="527"/>
      <c r="GX385" s="527"/>
      <c r="GY385" s="527"/>
      <c r="GZ385" s="527"/>
      <c r="HA385" s="527"/>
      <c r="HB385" s="527"/>
      <c r="HC385" s="527"/>
      <c r="HD385" s="527"/>
      <c r="HP385" s="466"/>
      <c r="HQ385" s="466"/>
      <c r="HR385" s="466"/>
      <c r="HS385" s="415"/>
      <c r="HT385" s="2292"/>
    </row>
    <row r="386" spans="161:228">
      <c r="FE386" s="527"/>
      <c r="FZ386" s="527"/>
      <c r="GA386" s="527"/>
      <c r="GB386" s="527"/>
      <c r="GC386" s="527"/>
      <c r="GD386" s="527"/>
      <c r="GE386" s="527"/>
      <c r="GF386" s="527"/>
      <c r="GG386" s="527"/>
      <c r="GH386" s="527"/>
      <c r="GI386" s="527"/>
      <c r="GJ386" s="527"/>
      <c r="GK386" s="527"/>
      <c r="GL386" s="527"/>
      <c r="GM386" s="527"/>
      <c r="GN386" s="527"/>
      <c r="GV386" s="527"/>
      <c r="GW386" s="527"/>
      <c r="GX386" s="527"/>
      <c r="GY386" s="527"/>
      <c r="GZ386" s="527"/>
      <c r="HA386" s="527"/>
      <c r="HB386" s="527"/>
      <c r="HC386" s="527"/>
      <c r="HD386" s="527"/>
      <c r="HP386" s="466"/>
      <c r="HQ386" s="466"/>
      <c r="HR386" s="466"/>
      <c r="HS386" s="415"/>
      <c r="HT386" s="2292"/>
    </row>
    <row r="387" spans="161:228">
      <c r="FE387" s="527"/>
      <c r="FZ387" s="527"/>
      <c r="GA387" s="527"/>
      <c r="GB387" s="527"/>
      <c r="GC387" s="527"/>
      <c r="GD387" s="527"/>
      <c r="GE387" s="527"/>
      <c r="GF387" s="527"/>
      <c r="GG387" s="527"/>
      <c r="GH387" s="527"/>
      <c r="GI387" s="527"/>
      <c r="GJ387" s="527"/>
      <c r="GK387" s="527"/>
      <c r="GL387" s="527"/>
      <c r="GM387" s="527"/>
      <c r="GN387" s="527"/>
      <c r="GV387" s="527"/>
      <c r="GW387" s="527"/>
      <c r="GX387" s="527"/>
      <c r="GY387" s="527"/>
      <c r="GZ387" s="527"/>
      <c r="HA387" s="527"/>
      <c r="HB387" s="527"/>
      <c r="HC387" s="527"/>
      <c r="HD387" s="527"/>
      <c r="HP387" s="466"/>
      <c r="HQ387" s="466"/>
      <c r="HR387" s="466"/>
      <c r="HS387" s="415"/>
      <c r="HT387" s="2292"/>
    </row>
    <row r="388" spans="161:228">
      <c r="FE388" s="527"/>
      <c r="FZ388" s="527"/>
      <c r="GA388" s="527"/>
      <c r="GB388" s="527"/>
      <c r="GC388" s="527"/>
      <c r="GD388" s="527"/>
      <c r="GE388" s="527"/>
      <c r="GF388" s="527"/>
      <c r="GG388" s="527"/>
      <c r="GH388" s="527"/>
      <c r="GI388" s="527"/>
      <c r="GJ388" s="527"/>
      <c r="GK388" s="527"/>
      <c r="GL388" s="527"/>
      <c r="GM388" s="527"/>
      <c r="GN388" s="527"/>
      <c r="GV388" s="527"/>
      <c r="GW388" s="527"/>
      <c r="GX388" s="527"/>
      <c r="GY388" s="527"/>
      <c r="GZ388" s="527"/>
      <c r="HA388" s="527"/>
      <c r="HB388" s="527"/>
      <c r="HC388" s="527"/>
      <c r="HD388" s="527"/>
      <c r="HP388" s="466"/>
      <c r="HQ388" s="466"/>
      <c r="HR388" s="466"/>
      <c r="HS388" s="415"/>
      <c r="HT388" s="2292"/>
    </row>
    <row r="389" spans="161:228">
      <c r="FE389" s="527"/>
      <c r="FZ389" s="527"/>
      <c r="GA389" s="527"/>
      <c r="GB389" s="527"/>
      <c r="GC389" s="527"/>
      <c r="GD389" s="527"/>
      <c r="GE389" s="527"/>
      <c r="GF389" s="527"/>
      <c r="GG389" s="527"/>
      <c r="GH389" s="527"/>
      <c r="GI389" s="527"/>
      <c r="GJ389" s="527"/>
      <c r="GK389" s="527"/>
      <c r="GL389" s="527"/>
      <c r="GM389" s="527"/>
      <c r="GN389" s="527"/>
      <c r="GV389" s="527"/>
      <c r="GW389" s="527"/>
      <c r="GX389" s="527"/>
      <c r="GY389" s="527"/>
      <c r="GZ389" s="527"/>
      <c r="HA389" s="527"/>
      <c r="HB389" s="527"/>
      <c r="HC389" s="527"/>
      <c r="HD389" s="527"/>
      <c r="HP389" s="466"/>
      <c r="HQ389" s="466"/>
      <c r="HR389" s="466"/>
      <c r="HS389" s="415"/>
      <c r="HT389" s="2292"/>
    </row>
    <row r="390" spans="161:228">
      <c r="FE390" s="527"/>
      <c r="FZ390" s="527"/>
      <c r="GA390" s="527"/>
      <c r="GB390" s="527"/>
      <c r="GC390" s="527"/>
      <c r="GD390" s="527"/>
      <c r="GE390" s="527"/>
      <c r="GF390" s="527"/>
      <c r="GG390" s="527"/>
      <c r="GH390" s="527"/>
      <c r="GI390" s="527"/>
      <c r="GJ390" s="527"/>
      <c r="GK390" s="527"/>
      <c r="GL390" s="527"/>
      <c r="GM390" s="527"/>
      <c r="GN390" s="527"/>
      <c r="GV390" s="527"/>
      <c r="GW390" s="527"/>
      <c r="GX390" s="527"/>
      <c r="GY390" s="527"/>
      <c r="GZ390" s="527"/>
      <c r="HA390" s="527"/>
      <c r="HB390" s="527"/>
      <c r="HC390" s="527"/>
      <c r="HD390" s="527"/>
      <c r="HP390" s="466"/>
      <c r="HQ390" s="466"/>
      <c r="HR390" s="466"/>
      <c r="HS390" s="415"/>
      <c r="HT390" s="2292"/>
    </row>
    <row r="391" spans="161:228">
      <c r="FE391" s="527"/>
      <c r="FZ391" s="527"/>
      <c r="GA391" s="527"/>
      <c r="GB391" s="527"/>
      <c r="GC391" s="527"/>
      <c r="GD391" s="527"/>
      <c r="GE391" s="527"/>
      <c r="GF391" s="527"/>
      <c r="GG391" s="527"/>
      <c r="GH391" s="527"/>
      <c r="GI391" s="527"/>
      <c r="GJ391" s="527"/>
      <c r="GK391" s="527"/>
      <c r="GL391" s="527"/>
      <c r="GM391" s="527"/>
      <c r="GN391" s="527"/>
      <c r="GV391" s="527"/>
      <c r="GW391" s="527"/>
      <c r="GX391" s="527"/>
      <c r="GY391" s="527"/>
      <c r="GZ391" s="527"/>
      <c r="HA391" s="527"/>
      <c r="HB391" s="527"/>
      <c r="HC391" s="527"/>
      <c r="HD391" s="527"/>
      <c r="HP391" s="466"/>
      <c r="HQ391" s="466"/>
      <c r="HR391" s="466"/>
      <c r="HS391" s="415"/>
      <c r="HT391" s="2292"/>
    </row>
    <row r="392" spans="161:228">
      <c r="FE392" s="527"/>
      <c r="FZ392" s="527"/>
      <c r="GA392" s="527"/>
      <c r="GB392" s="527"/>
      <c r="GC392" s="527"/>
      <c r="GD392" s="527"/>
      <c r="GE392" s="527"/>
      <c r="GF392" s="527"/>
      <c r="GG392" s="527"/>
      <c r="GH392" s="527"/>
      <c r="GI392" s="527"/>
      <c r="GJ392" s="527"/>
      <c r="GK392" s="527"/>
      <c r="GL392" s="527"/>
      <c r="GM392" s="527"/>
      <c r="GN392" s="527"/>
      <c r="GV392" s="527"/>
      <c r="GW392" s="527"/>
      <c r="GX392" s="527"/>
      <c r="GY392" s="527"/>
      <c r="GZ392" s="527"/>
      <c r="HA392" s="527"/>
      <c r="HB392" s="527"/>
      <c r="HC392" s="527"/>
      <c r="HD392" s="527"/>
      <c r="HP392" s="466"/>
      <c r="HQ392" s="466"/>
      <c r="HR392" s="466"/>
      <c r="HS392" s="415"/>
      <c r="HT392" s="2292"/>
    </row>
    <row r="65335" spans="166:166">
      <c r="FJ65335" s="298" t="e">
        <v>#REF!</v>
      </c>
    </row>
  </sheetData>
  <sortState ref="A52:ID82">
    <sortCondition descending="1" ref="HQ52:HQ82"/>
  </sortState>
  <mergeCells count="108">
    <mergeCell ref="IC49:IC51"/>
    <mergeCell ref="HX49:HX51"/>
    <mergeCell ref="GW49:GZ49"/>
    <mergeCell ref="DH7:DS7"/>
    <mergeCell ref="DH15:DS15"/>
    <mergeCell ref="DH23:DS23"/>
    <mergeCell ref="DH37:DS37"/>
    <mergeCell ref="FV23:FY23"/>
    <mergeCell ref="FF15:FI15"/>
    <mergeCell ref="FV37:FY37"/>
    <mergeCell ref="FN37:FQ37"/>
    <mergeCell ref="FR37:FU37"/>
    <mergeCell ref="GO49:GR49"/>
    <mergeCell ref="GS49:GV49"/>
    <mergeCell ref="HO15:HO17"/>
    <mergeCell ref="HO23:HO25"/>
    <mergeCell ref="HO37:HO39"/>
    <mergeCell ref="HN7:HN9"/>
    <mergeCell ref="HN15:HN17"/>
    <mergeCell ref="HN23:HN25"/>
    <mergeCell ref="HN37:HN39"/>
    <mergeCell ref="HM37:HM39"/>
    <mergeCell ref="FZ37:GC38"/>
    <mergeCell ref="HO7:HO9"/>
    <mergeCell ref="HE5:HJ5"/>
    <mergeCell ref="HM7:HM9"/>
    <mergeCell ref="FF5:GD5"/>
    <mergeCell ref="FV7:FY7"/>
    <mergeCell ref="FZ7:GC7"/>
    <mergeCell ref="FJ7:FM7"/>
    <mergeCell ref="FN7:FQ7"/>
    <mergeCell ref="FR7:FU7"/>
    <mergeCell ref="FZ23:GC23"/>
    <mergeCell ref="FZ15:GC15"/>
    <mergeCell ref="HM15:HM17"/>
    <mergeCell ref="HM23:HM25"/>
    <mergeCell ref="D5:O5"/>
    <mergeCell ref="P5:AA5"/>
    <mergeCell ref="AB5:AM5"/>
    <mergeCell ref="AN5:AY5"/>
    <mergeCell ref="AZ5:BK5"/>
    <mergeCell ref="D7:O7"/>
    <mergeCell ref="P7:AA7"/>
    <mergeCell ref="AB7:AM7"/>
    <mergeCell ref="AN7:AY7"/>
    <mergeCell ref="AZ7:BK7"/>
    <mergeCell ref="BL7:BN7"/>
    <mergeCell ref="FF7:FI7"/>
    <mergeCell ref="BL15:BN15"/>
    <mergeCell ref="BL23:BN23"/>
    <mergeCell ref="FJ15:FM15"/>
    <mergeCell ref="FN15:FQ15"/>
    <mergeCell ref="FR15:FU15"/>
    <mergeCell ref="FV15:FY15"/>
    <mergeCell ref="FF23:FI23"/>
    <mergeCell ref="FJ23:FM23"/>
    <mergeCell ref="FN23:FQ23"/>
    <mergeCell ref="FR23:FU23"/>
    <mergeCell ref="D15:O15"/>
    <mergeCell ref="P15:AA15"/>
    <mergeCell ref="AB15:AM15"/>
    <mergeCell ref="AN15:AY15"/>
    <mergeCell ref="AZ15:BK15"/>
    <mergeCell ref="D23:O23"/>
    <mergeCell ref="P23:AA23"/>
    <mergeCell ref="AB23:AM23"/>
    <mergeCell ref="AN23:AY23"/>
    <mergeCell ref="AZ23:BK23"/>
    <mergeCell ref="E93:E187"/>
    <mergeCell ref="E91:J91"/>
    <mergeCell ref="D49:O49"/>
    <mergeCell ref="P49:AA49"/>
    <mergeCell ref="AB49:AM49"/>
    <mergeCell ref="E92:F92"/>
    <mergeCell ref="BL37:BN37"/>
    <mergeCell ref="FF37:FI37"/>
    <mergeCell ref="FJ37:FM37"/>
    <mergeCell ref="D37:O37"/>
    <mergeCell ref="P37:AA37"/>
    <mergeCell ref="AB37:AM37"/>
    <mergeCell ref="AN37:AY37"/>
    <mergeCell ref="AZ37:BK37"/>
    <mergeCell ref="DT49:EE49"/>
    <mergeCell ref="EF49:EQ49"/>
    <mergeCell ref="IA49:IA51"/>
    <mergeCell ref="HW49:HW51"/>
    <mergeCell ref="IB49:IB51"/>
    <mergeCell ref="HZ49:HZ51"/>
    <mergeCell ref="AN49:AY49"/>
    <mergeCell ref="AZ49:BK49"/>
    <mergeCell ref="BL49:BW49"/>
    <mergeCell ref="BX49:CI49"/>
    <mergeCell ref="FQ49:FT49"/>
    <mergeCell ref="CJ49:CU49"/>
    <mergeCell ref="CV49:DG49"/>
    <mergeCell ref="FE49:FH49"/>
    <mergeCell ref="FI49:FL49"/>
    <mergeCell ref="FM49:FP49"/>
    <mergeCell ref="HV49:HV51"/>
    <mergeCell ref="HU49:HU51"/>
    <mergeCell ref="FU49:FX49"/>
    <mergeCell ref="FY49:GB49"/>
    <mergeCell ref="GC49:GF49"/>
    <mergeCell ref="GG49:GJ49"/>
    <mergeCell ref="GK49:GN49"/>
    <mergeCell ref="HT49:HT51"/>
    <mergeCell ref="HA49:HD49"/>
    <mergeCell ref="DH49:DS49"/>
  </mergeCells>
  <conditionalFormatting sqref="HZ1:HZ83 HZ85:HZ1048576">
    <cfRule type="top10" dxfId="332" priority="19" rank="10"/>
  </conditionalFormatting>
  <conditionalFormatting sqref="IA85:IA1048576 IA1:IA83 IC85:IC1048576 IC1:IC83">
    <cfRule type="top10" dxfId="331" priority="9" rank="10"/>
  </conditionalFormatting>
  <conditionalFormatting sqref="IC52:IC83">
    <cfRule type="cellIs" dxfId="330" priority="6" operator="greaterThan">
      <formula>0</formula>
    </cfRule>
    <cfRule type="top10" dxfId="329" priority="8" rank="10"/>
  </conditionalFormatting>
  <conditionalFormatting sqref="IA52:IA83">
    <cfRule type="cellIs" dxfId="328" priority="5" operator="greaterThan">
      <formula>0</formula>
    </cfRule>
    <cfRule type="top10" dxfId="327" priority="7" rank="10"/>
  </conditionalFormatting>
  <conditionalFormatting sqref="HZ52:HZ83">
    <cfRule type="cellIs" dxfId="326" priority="4" operator="greaterThan">
      <formula>0</formula>
    </cfRule>
  </conditionalFormatting>
  <conditionalFormatting sqref="IB85:IB1048576 IB1:IB83">
    <cfRule type="top10" dxfId="325" priority="3" rank="10"/>
  </conditionalFormatting>
  <conditionalFormatting sqref="IB52:IB83">
    <cfRule type="cellIs" dxfId="324" priority="1" operator="greaterThan">
      <formula>0</formula>
    </cfRule>
    <cfRule type="top10" dxfId="323" priority="2" rank="10"/>
  </conditionalFormatting>
  <printOptions horizontalCentered="1" verticalCentered="1"/>
  <pageMargins left="0.39370078740157483" right="0.11811023622047245" top="0.51181102362204722" bottom="0.43307086614173229" header="0" footer="0"/>
  <pageSetup paperSize="9" scale="10" orientation="landscape" verticalDpi="597" r:id="rId1"/>
  <headerFooter alignWithMargins="0"/>
  <rowBreaks count="1" manualBreakCount="1">
    <brk id="86" max="16383" man="1"/>
  </rowBreaks>
  <colBreaks count="4" manualBreakCount="4">
    <brk id="15" min="6" max="86" man="1"/>
    <brk id="27" min="6" max="86" man="1"/>
    <brk id="39" min="6" max="86" man="1"/>
    <brk id="161" min="6" max="86"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Z222"/>
  <sheetViews>
    <sheetView showGridLines="0" zoomScale="90" zoomScaleNormal="90" workbookViewId="0">
      <pane ySplit="3" topLeftCell="A170" activePane="bottomLeft" state="frozen"/>
      <selection activeCell="E128" sqref="E128"/>
      <selection pane="bottomLeft" activeCell="I178" sqref="I178:J178"/>
    </sheetView>
  </sheetViews>
  <sheetFormatPr baseColWidth="10" defaultColWidth="11.42578125" defaultRowHeight="11.25"/>
  <cols>
    <col min="1" max="2" width="17.85546875" style="69" customWidth="1"/>
    <col min="3" max="3" width="13.5703125" style="69" customWidth="1"/>
    <col min="4" max="12" width="10.5703125" style="69" customWidth="1"/>
    <col min="13" max="13" width="11.5703125" style="69" customWidth="1"/>
    <col min="14" max="14" width="10.5703125" style="69" customWidth="1"/>
    <col min="15" max="15" width="9.7109375" style="69" bestFit="1" customWidth="1"/>
    <col min="16" max="16" width="10.5703125" style="69" bestFit="1" customWidth="1"/>
    <col min="17" max="17" width="22" style="111" customWidth="1"/>
    <col min="18" max="26" width="13.28515625" style="111" customWidth="1"/>
    <col min="27" max="16384" width="11.42578125" style="69"/>
  </cols>
  <sheetData>
    <row r="1" spans="1:17" ht="12">
      <c r="A1" s="3931" t="s">
        <v>237</v>
      </c>
      <c r="B1" s="3931"/>
      <c r="C1" s="3931"/>
      <c r="D1" s="3931"/>
      <c r="E1" s="3931"/>
      <c r="F1" s="3931"/>
      <c r="G1" s="3931"/>
      <c r="H1" s="3931"/>
      <c r="I1" s="3931"/>
      <c r="J1" s="3931"/>
      <c r="K1" s="3931"/>
      <c r="L1" s="3931"/>
      <c r="M1" s="3931"/>
      <c r="N1" s="3931"/>
      <c r="O1" s="3931"/>
      <c r="P1" s="3931"/>
    </row>
    <row r="2" spans="1:17" ht="12">
      <c r="A2" s="3931" t="s">
        <v>238</v>
      </c>
      <c r="B2" s="3931"/>
      <c r="C2" s="3931"/>
      <c r="D2" s="3931"/>
      <c r="E2" s="3931"/>
      <c r="F2" s="3931"/>
      <c r="G2" s="3931"/>
      <c r="H2" s="3931"/>
      <c r="I2" s="3931"/>
      <c r="J2" s="3931"/>
      <c r="K2" s="3931"/>
      <c r="L2" s="3931"/>
      <c r="M2" s="3931"/>
      <c r="N2" s="3931"/>
      <c r="O2" s="3931"/>
      <c r="P2" s="3931"/>
    </row>
    <row r="3" spans="1:17" ht="12">
      <c r="A3" s="3931" t="s">
        <v>1020</v>
      </c>
      <c r="B3" s="3931"/>
      <c r="C3" s="3931"/>
      <c r="D3" s="3931"/>
      <c r="E3" s="3931"/>
      <c r="F3" s="3931"/>
      <c r="G3" s="3931"/>
      <c r="H3" s="3931"/>
      <c r="I3" s="3931"/>
      <c r="J3" s="3931"/>
      <c r="K3" s="3931"/>
      <c r="L3" s="3931"/>
      <c r="M3" s="3931"/>
      <c r="N3" s="3931"/>
      <c r="O3" s="3931"/>
      <c r="P3" s="3931"/>
    </row>
    <row r="4" spans="1:17" ht="0.75" customHeight="1">
      <c r="A4" s="70"/>
      <c r="B4" s="70"/>
      <c r="C4" s="71"/>
      <c r="D4" s="72"/>
      <c r="E4" s="72"/>
      <c r="F4" s="72"/>
      <c r="G4" s="72"/>
      <c r="H4" s="72"/>
      <c r="I4" s="72"/>
      <c r="J4" s="72"/>
      <c r="K4" s="72"/>
      <c r="L4" s="72"/>
      <c r="M4" s="72"/>
      <c r="N4" s="72"/>
      <c r="O4" s="73"/>
      <c r="P4" s="72"/>
    </row>
    <row r="5" spans="1:17" ht="0.75" customHeight="1">
      <c r="A5" s="3920" t="s">
        <v>239</v>
      </c>
      <c r="B5" s="3921"/>
      <c r="C5" s="3921"/>
      <c r="D5" s="3921"/>
      <c r="E5" s="3921"/>
      <c r="F5" s="3921"/>
      <c r="G5" s="3921"/>
      <c r="H5" s="3921"/>
      <c r="I5" s="3921"/>
      <c r="J5" s="3921"/>
      <c r="K5" s="3921"/>
      <c r="L5" s="3921"/>
      <c r="M5" s="3921"/>
      <c r="N5" s="3921"/>
      <c r="O5" s="3921"/>
      <c r="P5" s="3922"/>
      <c r="Q5" s="74"/>
    </row>
    <row r="6" spans="1:17" ht="0.75" customHeight="1">
      <c r="A6" s="75" t="s">
        <v>240</v>
      </c>
      <c r="B6" s="665"/>
      <c r="C6" s="76" t="s">
        <v>241</v>
      </c>
      <c r="D6" s="76" t="s">
        <v>230</v>
      </c>
      <c r="E6" s="76" t="s">
        <v>231</v>
      </c>
      <c r="F6" s="76" t="s">
        <v>242</v>
      </c>
      <c r="G6" s="76" t="s">
        <v>232</v>
      </c>
      <c r="H6" s="76" t="s">
        <v>233</v>
      </c>
      <c r="I6" s="76" t="s">
        <v>243</v>
      </c>
      <c r="J6" s="76" t="s">
        <v>244</v>
      </c>
      <c r="K6" s="76" t="s">
        <v>234</v>
      </c>
      <c r="L6" s="76" t="s">
        <v>235</v>
      </c>
      <c r="M6" s="76" t="s">
        <v>236</v>
      </c>
      <c r="N6" s="76" t="s">
        <v>245</v>
      </c>
      <c r="O6" s="76" t="s">
        <v>246</v>
      </c>
      <c r="P6" s="77" t="s">
        <v>169</v>
      </c>
    </row>
    <row r="7" spans="1:17" ht="0.75" customHeight="1">
      <c r="A7" s="78" t="s">
        <v>247</v>
      </c>
      <c r="B7" s="666"/>
      <c r="C7" s="79">
        <f>42509+457</f>
        <v>42966</v>
      </c>
      <c r="D7" s="79">
        <f>35149+457</f>
        <v>35606</v>
      </c>
      <c r="E7" s="79">
        <f>39152+457</f>
        <v>39609</v>
      </c>
      <c r="F7" s="79">
        <f>37370+457</f>
        <v>37827</v>
      </c>
      <c r="G7" s="79">
        <f>40803+457</f>
        <v>41260</v>
      </c>
      <c r="H7" s="79">
        <f>49461+457</f>
        <v>49918</v>
      </c>
      <c r="I7" s="79">
        <f>56056+457</f>
        <v>56513</v>
      </c>
      <c r="J7" s="79">
        <f>56841+457</f>
        <v>57298</v>
      </c>
      <c r="K7" s="79">
        <f>45964+457</f>
        <v>46421</v>
      </c>
      <c r="L7" s="79">
        <f>40309+457</f>
        <v>40766</v>
      </c>
      <c r="M7" s="80">
        <f>45354+457</f>
        <v>45811</v>
      </c>
      <c r="N7" s="80">
        <f>47845+455</f>
        <v>48300</v>
      </c>
      <c r="O7" s="73">
        <f>AVERAGE(C7:N7)</f>
        <v>45191.25</v>
      </c>
      <c r="P7" s="81">
        <f>SUM(C7:N7)</f>
        <v>542295</v>
      </c>
      <c r="Q7" s="74"/>
    </row>
    <row r="8" spans="1:17" ht="0.75" customHeight="1" thickBot="1">
      <c r="A8" s="78" t="s">
        <v>248</v>
      </c>
      <c r="B8" s="666"/>
      <c r="C8" s="79">
        <f>56641+4079</f>
        <v>60720</v>
      </c>
      <c r="D8" s="79">
        <f>52309+4079</f>
        <v>56388</v>
      </c>
      <c r="E8" s="79">
        <f>51788+4078</f>
        <v>55866</v>
      </c>
      <c r="F8" s="79">
        <f>55102+4078</f>
        <v>59180</v>
      </c>
      <c r="G8" s="79">
        <f>62167+4078</f>
        <v>66245</v>
      </c>
      <c r="H8" s="79">
        <f>59655+4079</f>
        <v>63734</v>
      </c>
      <c r="I8" s="79">
        <f>68466+4079</f>
        <v>72545</v>
      </c>
      <c r="J8" s="79">
        <f>68496+4079</f>
        <v>72575</v>
      </c>
      <c r="K8" s="79">
        <f>60585+4078</f>
        <v>64663</v>
      </c>
      <c r="L8" s="79">
        <f>63823+4078</f>
        <v>67901</v>
      </c>
      <c r="M8" s="80">
        <f>62420+4078</f>
        <v>66498</v>
      </c>
      <c r="N8" s="80">
        <f>62050+4078</f>
        <v>66128</v>
      </c>
      <c r="O8" s="73">
        <f>AVERAGE(C8:N8)</f>
        <v>64370.25</v>
      </c>
      <c r="P8" s="81">
        <f>SUM(C8:N8)</f>
        <v>772443</v>
      </c>
      <c r="Q8" s="74"/>
    </row>
    <row r="9" spans="1:17" ht="0.75" customHeight="1" thickBot="1">
      <c r="A9" s="82" t="s">
        <v>249</v>
      </c>
      <c r="B9" s="667"/>
      <c r="C9" s="83">
        <f t="shared" ref="C9:N9" si="0">SUM(C7:C8)</f>
        <v>103686</v>
      </c>
      <c r="D9" s="83">
        <f t="shared" si="0"/>
        <v>91994</v>
      </c>
      <c r="E9" s="83">
        <f t="shared" si="0"/>
        <v>95475</v>
      </c>
      <c r="F9" s="83">
        <f t="shared" si="0"/>
        <v>97007</v>
      </c>
      <c r="G9" s="83">
        <f t="shared" si="0"/>
        <v>107505</v>
      </c>
      <c r="H9" s="84">
        <f t="shared" si="0"/>
        <v>113652</v>
      </c>
      <c r="I9" s="84">
        <f t="shared" si="0"/>
        <v>129058</v>
      </c>
      <c r="J9" s="84">
        <f t="shared" si="0"/>
        <v>129873</v>
      </c>
      <c r="K9" s="84">
        <f t="shared" si="0"/>
        <v>111084</v>
      </c>
      <c r="L9" s="84">
        <f t="shared" si="0"/>
        <v>108667</v>
      </c>
      <c r="M9" s="84">
        <f t="shared" si="0"/>
        <v>112309</v>
      </c>
      <c r="N9" s="84">
        <f t="shared" si="0"/>
        <v>114428</v>
      </c>
      <c r="O9" s="83">
        <f>AVERAGE(C9:N9)</f>
        <v>109561.5</v>
      </c>
      <c r="P9" s="85">
        <f>+P8+P7</f>
        <v>1314738</v>
      </c>
      <c r="Q9" s="74"/>
    </row>
    <row r="10" spans="1:17" ht="0.75" customHeight="1">
      <c r="A10" s="70"/>
      <c r="B10" s="70"/>
      <c r="C10" s="73"/>
      <c r="D10" s="73"/>
      <c r="E10" s="73"/>
      <c r="F10" s="73"/>
      <c r="G10" s="73"/>
      <c r="H10" s="86"/>
      <c r="I10" s="86"/>
      <c r="J10" s="86"/>
      <c r="K10" s="86"/>
      <c r="L10" s="86"/>
      <c r="M10" s="86"/>
      <c r="N10" s="86"/>
      <c r="O10" s="73"/>
      <c r="P10" s="72"/>
      <c r="Q10" s="74"/>
    </row>
    <row r="11" spans="1:17" ht="0.75" customHeight="1">
      <c r="A11" s="70"/>
      <c r="B11" s="70"/>
      <c r="C11" s="73"/>
      <c r="D11" s="73"/>
      <c r="E11" s="73"/>
      <c r="F11" s="73"/>
      <c r="G11" s="73"/>
      <c r="H11" s="86"/>
      <c r="I11" s="86"/>
      <c r="J11" s="86"/>
      <c r="K11" s="86"/>
      <c r="L11" s="86"/>
      <c r="M11" s="86"/>
      <c r="N11" s="86"/>
      <c r="O11" s="73"/>
      <c r="P11" s="72"/>
      <c r="Q11" s="74"/>
    </row>
    <row r="12" spans="1:17" ht="0.75" customHeight="1">
      <c r="A12" s="70"/>
      <c r="B12" s="70"/>
      <c r="C12" s="73"/>
      <c r="D12" s="73"/>
      <c r="E12" s="73"/>
      <c r="F12" s="73"/>
      <c r="G12" s="73"/>
      <c r="H12" s="86"/>
      <c r="I12" s="86"/>
      <c r="J12" s="86"/>
      <c r="K12" s="86"/>
      <c r="L12" s="86"/>
      <c r="M12" s="86"/>
      <c r="N12" s="86"/>
      <c r="O12" s="73"/>
      <c r="P12" s="72"/>
      <c r="Q12" s="74"/>
    </row>
    <row r="13" spans="1:17" ht="0.75" customHeight="1">
      <c r="A13" s="3920" t="s">
        <v>250</v>
      </c>
      <c r="B13" s="3921"/>
      <c r="C13" s="3921"/>
      <c r="D13" s="3921"/>
      <c r="E13" s="3921"/>
      <c r="F13" s="3921"/>
      <c r="G13" s="3921"/>
      <c r="H13" s="3921"/>
      <c r="I13" s="3921"/>
      <c r="J13" s="3921"/>
      <c r="K13" s="3921"/>
      <c r="L13" s="3921"/>
      <c r="M13" s="3921"/>
      <c r="N13" s="3921"/>
      <c r="O13" s="3921"/>
      <c r="P13" s="3922"/>
      <c r="Q13" s="74"/>
    </row>
    <row r="14" spans="1:17" ht="0.75" customHeight="1">
      <c r="A14" s="75" t="s">
        <v>240</v>
      </c>
      <c r="B14" s="665"/>
      <c r="C14" s="76" t="s">
        <v>241</v>
      </c>
      <c r="D14" s="76" t="s">
        <v>230</v>
      </c>
      <c r="E14" s="76" t="s">
        <v>231</v>
      </c>
      <c r="F14" s="76" t="s">
        <v>242</v>
      </c>
      <c r="G14" s="76" t="s">
        <v>232</v>
      </c>
      <c r="H14" s="76" t="s">
        <v>233</v>
      </c>
      <c r="I14" s="76" t="s">
        <v>243</v>
      </c>
      <c r="J14" s="76" t="s">
        <v>244</v>
      </c>
      <c r="K14" s="76" t="s">
        <v>234</v>
      </c>
      <c r="L14" s="76" t="s">
        <v>235</v>
      </c>
      <c r="M14" s="76" t="s">
        <v>236</v>
      </c>
      <c r="N14" s="76" t="s">
        <v>245</v>
      </c>
      <c r="O14" s="76" t="s">
        <v>246</v>
      </c>
      <c r="P14" s="77" t="s">
        <v>169</v>
      </c>
    </row>
    <row r="15" spans="1:17" ht="0.75" customHeight="1">
      <c r="A15" s="78" t="s">
        <v>247</v>
      </c>
      <c r="B15" s="666"/>
      <c r="C15" s="87">
        <f>43679+351</f>
        <v>44030</v>
      </c>
      <c r="D15" s="87">
        <f>42565+351</f>
        <v>42916</v>
      </c>
      <c r="E15" s="88">
        <f>40495+351</f>
        <v>40846</v>
      </c>
      <c r="F15" s="88">
        <f>41820+351</f>
        <v>42171</v>
      </c>
      <c r="G15" s="89">
        <f>43297+351</f>
        <v>43648</v>
      </c>
      <c r="H15" s="89">
        <f>50112+351</f>
        <v>50463</v>
      </c>
      <c r="I15" s="89">
        <f>59269+351</f>
        <v>59620</v>
      </c>
      <c r="J15" s="89">
        <f>57304+351</f>
        <v>57655</v>
      </c>
      <c r="K15" s="89">
        <f>45078+351</f>
        <v>45429</v>
      </c>
      <c r="L15" s="89">
        <f>48780+351</f>
        <v>49131</v>
      </c>
      <c r="M15" s="89">
        <f>50726+351</f>
        <v>51077</v>
      </c>
      <c r="N15" s="89">
        <f>54427+346</f>
        <v>54773</v>
      </c>
      <c r="O15" s="73">
        <f>AVERAGE(C15:N15)</f>
        <v>48479.916666666664</v>
      </c>
      <c r="P15" s="81">
        <f>SUM(C15:N15)</f>
        <v>581759</v>
      </c>
    </row>
    <row r="16" spans="1:17" ht="0.75" customHeight="1" thickBot="1">
      <c r="A16" s="78" t="s">
        <v>248</v>
      </c>
      <c r="B16" s="666"/>
      <c r="C16" s="87">
        <f>60676+4782</f>
        <v>65458</v>
      </c>
      <c r="D16" s="87">
        <f>58004+4782</f>
        <v>62786</v>
      </c>
      <c r="E16" s="87">
        <f>67974+4782</f>
        <v>72756</v>
      </c>
      <c r="F16" s="87">
        <f>63549+4782</f>
        <v>68331</v>
      </c>
      <c r="G16" s="89">
        <f>65000+4782</f>
        <v>69782</v>
      </c>
      <c r="H16" s="89">
        <f>66302+4782</f>
        <v>71084</v>
      </c>
      <c r="I16" s="89">
        <f>74934+4782</f>
        <v>79716</v>
      </c>
      <c r="J16" s="89">
        <f>74992+4782</f>
        <v>79774</v>
      </c>
      <c r="K16" s="89">
        <f>65943+4782</f>
        <v>70725</v>
      </c>
      <c r="L16" s="89">
        <f>69356+4782</f>
        <v>74138</v>
      </c>
      <c r="M16" s="89">
        <f>67825+4782</f>
        <v>72607</v>
      </c>
      <c r="N16" s="89">
        <f>71685+4781</f>
        <v>76466</v>
      </c>
      <c r="O16" s="73">
        <f>AVERAGE(C16:N16)</f>
        <v>71968.583333333328</v>
      </c>
      <c r="P16" s="81">
        <f>SUM(C16:N16)</f>
        <v>863623</v>
      </c>
    </row>
    <row r="17" spans="1:17" ht="0.75" customHeight="1" thickBot="1">
      <c r="A17" s="82" t="s">
        <v>251</v>
      </c>
      <c r="B17" s="667"/>
      <c r="C17" s="90">
        <f>SUM(C15:C16)</f>
        <v>109488</v>
      </c>
      <c r="D17" s="90">
        <f t="shared" ref="D17:N17" si="1">SUM(D15:D16)</f>
        <v>105702</v>
      </c>
      <c r="E17" s="90">
        <f t="shared" si="1"/>
        <v>113602</v>
      </c>
      <c r="F17" s="90">
        <f t="shared" si="1"/>
        <v>110502</v>
      </c>
      <c r="G17" s="90">
        <f t="shared" si="1"/>
        <v>113430</v>
      </c>
      <c r="H17" s="90">
        <f t="shared" si="1"/>
        <v>121547</v>
      </c>
      <c r="I17" s="90">
        <f t="shared" si="1"/>
        <v>139336</v>
      </c>
      <c r="J17" s="90">
        <f t="shared" si="1"/>
        <v>137429</v>
      </c>
      <c r="K17" s="90">
        <f t="shared" si="1"/>
        <v>116154</v>
      </c>
      <c r="L17" s="90">
        <f t="shared" si="1"/>
        <v>123269</v>
      </c>
      <c r="M17" s="90">
        <f t="shared" si="1"/>
        <v>123684</v>
      </c>
      <c r="N17" s="90">
        <f t="shared" si="1"/>
        <v>131239</v>
      </c>
      <c r="O17" s="83">
        <f>AVERAGE(C17:N17)</f>
        <v>120448.5</v>
      </c>
      <c r="P17" s="91">
        <f>SUM(C17:N17)</f>
        <v>1445382</v>
      </c>
    </row>
    <row r="18" spans="1:17" ht="0.75" customHeight="1">
      <c r="A18" s="70"/>
      <c r="B18" s="70"/>
      <c r="C18" s="92"/>
      <c r="D18" s="92"/>
      <c r="E18" s="92"/>
      <c r="F18" s="92"/>
      <c r="G18" s="92"/>
      <c r="H18" s="92"/>
      <c r="I18" s="92"/>
      <c r="J18" s="92"/>
      <c r="K18" s="92"/>
      <c r="L18" s="92"/>
      <c r="M18" s="92"/>
      <c r="N18" s="92"/>
      <c r="O18" s="73"/>
      <c r="P18" s="73"/>
    </row>
    <row r="19" spans="1:17" ht="0.75" customHeight="1">
      <c r="A19" s="93" t="s">
        <v>252</v>
      </c>
      <c r="B19" s="93"/>
      <c r="C19" s="94"/>
      <c r="D19" s="94"/>
      <c r="E19" s="94"/>
      <c r="F19" s="94"/>
      <c r="G19" s="94"/>
      <c r="H19" s="94"/>
      <c r="I19" s="94"/>
      <c r="J19" s="94"/>
      <c r="K19" s="94"/>
      <c r="L19" s="94"/>
      <c r="M19" s="94"/>
      <c r="N19" s="94"/>
      <c r="O19" s="95"/>
      <c r="P19" s="95"/>
    </row>
    <row r="20" spans="1:17" ht="0.75" customHeight="1">
      <c r="A20" s="96" t="s">
        <v>247</v>
      </c>
      <c r="B20" s="96"/>
      <c r="C20" s="97">
        <f t="shared" ref="C20:N22" si="2">SUM(C15/C7-1)</f>
        <v>2.4763766699250622E-2</v>
      </c>
      <c r="D20" s="97">
        <f t="shared" si="2"/>
        <v>0.20530247711059935</v>
      </c>
      <c r="E20" s="97">
        <f t="shared" si="2"/>
        <v>3.1230275947385699E-2</v>
      </c>
      <c r="F20" s="97">
        <f t="shared" si="2"/>
        <v>0.11483860734396067</v>
      </c>
      <c r="G20" s="97">
        <f t="shared" si="2"/>
        <v>5.7876878332525417E-2</v>
      </c>
      <c r="H20" s="97">
        <f t="shared" si="2"/>
        <v>1.0917905364798308E-2</v>
      </c>
      <c r="I20" s="97">
        <f>SUM(I15/I7-1)</f>
        <v>5.4978500522003815E-2</v>
      </c>
      <c r="J20" s="97">
        <f t="shared" si="2"/>
        <v>6.2305839645362404E-3</v>
      </c>
      <c r="K20" s="97">
        <f t="shared" si="2"/>
        <v>-2.1369638741086994E-2</v>
      </c>
      <c r="L20" s="97">
        <f t="shared" si="2"/>
        <v>0.20519550605897074</v>
      </c>
      <c r="M20" s="97">
        <f t="shared" si="2"/>
        <v>0.11495055772631035</v>
      </c>
      <c r="N20" s="97">
        <f t="shared" si="2"/>
        <v>0.13401656314699784</v>
      </c>
      <c r="O20" s="98"/>
      <c r="P20" s="97">
        <f>SUM(P15/P7-1)</f>
        <v>7.2772199633041046E-2</v>
      </c>
    </row>
    <row r="21" spans="1:17" ht="0.75" customHeight="1">
      <c r="A21" s="96" t="s">
        <v>248</v>
      </c>
      <c r="B21" s="96"/>
      <c r="C21" s="97">
        <f t="shared" si="2"/>
        <v>7.8030303030303116E-2</v>
      </c>
      <c r="D21" s="97">
        <f t="shared" si="2"/>
        <v>0.11346385755834576</v>
      </c>
      <c r="E21" s="97">
        <f t="shared" si="2"/>
        <v>0.30233057673719266</v>
      </c>
      <c r="F21" s="97">
        <f t="shared" si="2"/>
        <v>0.15462994254815809</v>
      </c>
      <c r="G21" s="97">
        <f t="shared" si="2"/>
        <v>5.339270888368941E-2</v>
      </c>
      <c r="H21" s="97">
        <f t="shared" si="2"/>
        <v>0.11532306147425242</v>
      </c>
      <c r="I21" s="97">
        <f>SUM(I16/I8-1)</f>
        <v>9.8848990281894089E-2</v>
      </c>
      <c r="J21" s="97">
        <f t="shared" si="2"/>
        <v>9.9193937306234936E-2</v>
      </c>
      <c r="K21" s="97">
        <f t="shared" si="2"/>
        <v>9.3747583625875652E-2</v>
      </c>
      <c r="L21" s="97">
        <f t="shared" si="2"/>
        <v>9.1854317314914447E-2</v>
      </c>
      <c r="M21" s="97">
        <f t="shared" si="2"/>
        <v>9.1867424584197943E-2</v>
      </c>
      <c r="N21" s="97">
        <f t="shared" si="2"/>
        <v>0.15633317203000252</v>
      </c>
      <c r="O21" s="98"/>
      <c r="P21" s="97">
        <f>SUM(P16/P8-1)</f>
        <v>0.11804107228623995</v>
      </c>
    </row>
    <row r="22" spans="1:17" ht="0.75" customHeight="1">
      <c r="A22" s="99" t="s">
        <v>169</v>
      </c>
      <c r="B22" s="99"/>
      <c r="C22" s="97">
        <f t="shared" si="2"/>
        <v>5.5957409872113839E-2</v>
      </c>
      <c r="D22" s="97">
        <f t="shared" si="2"/>
        <v>0.14900971802508867</v>
      </c>
      <c r="E22" s="97">
        <f t="shared" si="2"/>
        <v>0.18986122021471585</v>
      </c>
      <c r="F22" s="97">
        <f t="shared" si="2"/>
        <v>0.13911367220922211</v>
      </c>
      <c r="G22" s="97">
        <f t="shared" si="2"/>
        <v>5.5113715641132988E-2</v>
      </c>
      <c r="H22" s="97">
        <f t="shared" si="2"/>
        <v>6.9466441417660896E-2</v>
      </c>
      <c r="I22" s="97">
        <f>SUM(I17/I9-1)</f>
        <v>7.9638612096886607E-2</v>
      </c>
      <c r="J22" s="97">
        <f t="shared" si="2"/>
        <v>5.8179914223895679E-2</v>
      </c>
      <c r="K22" s="97">
        <f t="shared" si="2"/>
        <v>4.5641136437290619E-2</v>
      </c>
      <c r="L22" s="97">
        <f t="shared" si="2"/>
        <v>0.13437382093919958</v>
      </c>
      <c r="M22" s="97">
        <f t="shared" si="2"/>
        <v>0.10128306725195668</v>
      </c>
      <c r="N22" s="97">
        <f t="shared" si="2"/>
        <v>0.1469133428881042</v>
      </c>
      <c r="O22" s="98"/>
      <c r="P22" s="97">
        <f>SUM(P17/P9-1)</f>
        <v>9.9368847633520829E-2</v>
      </c>
    </row>
    <row r="23" spans="1:17" ht="0.75" customHeight="1">
      <c r="A23" s="70"/>
      <c r="B23" s="70"/>
      <c r="C23" s="92"/>
      <c r="D23" s="92"/>
      <c r="E23" s="92"/>
      <c r="F23" s="92"/>
      <c r="G23" s="92"/>
      <c r="H23" s="92"/>
      <c r="I23" s="92"/>
      <c r="J23" s="92"/>
      <c r="K23" s="92"/>
      <c r="L23" s="92"/>
      <c r="M23" s="92"/>
      <c r="N23" s="92"/>
      <c r="O23" s="73"/>
      <c r="P23" s="73"/>
    </row>
    <row r="24" spans="1:17" ht="0.75" customHeight="1">
      <c r="A24" s="70"/>
      <c r="B24" s="70"/>
      <c r="C24" s="92"/>
      <c r="D24" s="92"/>
      <c r="E24" s="92"/>
      <c r="F24" s="92"/>
      <c r="G24" s="92"/>
      <c r="H24" s="92"/>
      <c r="I24" s="92"/>
      <c r="J24" s="92"/>
      <c r="K24" s="92"/>
      <c r="L24" s="92"/>
      <c r="M24" s="92"/>
      <c r="N24" s="92"/>
      <c r="O24" s="73"/>
      <c r="P24" s="73"/>
    </row>
    <row r="25" spans="1:17" ht="0.75" customHeight="1">
      <c r="A25" s="3920" t="s">
        <v>253</v>
      </c>
      <c r="B25" s="3921"/>
      <c r="C25" s="3921"/>
      <c r="D25" s="3921"/>
      <c r="E25" s="3921"/>
      <c r="F25" s="3921"/>
      <c r="G25" s="3921"/>
      <c r="H25" s="3921"/>
      <c r="I25" s="3921"/>
      <c r="J25" s="3921"/>
      <c r="K25" s="3921"/>
      <c r="L25" s="3921"/>
      <c r="M25" s="3921"/>
      <c r="N25" s="3921"/>
      <c r="O25" s="3921"/>
      <c r="P25" s="3922"/>
      <c r="Q25" s="74"/>
    </row>
    <row r="26" spans="1:17" ht="0.75" customHeight="1">
      <c r="A26" s="75" t="s">
        <v>240</v>
      </c>
      <c r="B26" s="665"/>
      <c r="C26" s="76" t="s">
        <v>241</v>
      </c>
      <c r="D26" s="76" t="s">
        <v>230</v>
      </c>
      <c r="E26" s="76" t="s">
        <v>231</v>
      </c>
      <c r="F26" s="76" t="s">
        <v>242</v>
      </c>
      <c r="G26" s="76" t="s">
        <v>232</v>
      </c>
      <c r="H26" s="76" t="s">
        <v>233</v>
      </c>
      <c r="I26" s="76" t="s">
        <v>243</v>
      </c>
      <c r="J26" s="76" t="s">
        <v>244</v>
      </c>
      <c r="K26" s="76" t="s">
        <v>234</v>
      </c>
      <c r="L26" s="76" t="s">
        <v>235</v>
      </c>
      <c r="M26" s="76" t="s">
        <v>236</v>
      </c>
      <c r="N26" s="76" t="s">
        <v>245</v>
      </c>
      <c r="O26" s="76" t="s">
        <v>246</v>
      </c>
      <c r="P26" s="77" t="s">
        <v>169</v>
      </c>
    </row>
    <row r="27" spans="1:17" ht="0.75" customHeight="1">
      <c r="A27" s="78" t="s">
        <v>247</v>
      </c>
      <c r="B27" s="666"/>
      <c r="C27" s="87">
        <f>50499+1548</f>
        <v>52047</v>
      </c>
      <c r="D27" s="87">
        <f>42799+1255</f>
        <v>44054</v>
      </c>
      <c r="E27" s="100">
        <f>47701+2270</f>
        <v>49971</v>
      </c>
      <c r="F27" s="100">
        <f>41004+1802</f>
        <v>42806</v>
      </c>
      <c r="G27" s="100">
        <f>45376+3428</f>
        <v>48804</v>
      </c>
      <c r="H27" s="88">
        <f>55764</f>
        <v>55764</v>
      </c>
      <c r="I27" s="100">
        <f>68086+696</f>
        <v>68782</v>
      </c>
      <c r="J27" s="100">
        <f>65539+643</f>
        <v>66182</v>
      </c>
      <c r="K27" s="100">
        <v>50982</v>
      </c>
      <c r="L27" s="100">
        <f>49388+445</f>
        <v>49833</v>
      </c>
      <c r="M27" s="88">
        <f>49964+588</f>
        <v>50552</v>
      </c>
      <c r="N27" s="101">
        <v>57796</v>
      </c>
      <c r="O27" s="73">
        <f>AVERAGE(C27:N27)</f>
        <v>53131.083333333336</v>
      </c>
      <c r="P27" s="81">
        <f>SUM(C27:N27)</f>
        <v>637573</v>
      </c>
    </row>
    <row r="28" spans="1:17" ht="0.75" customHeight="1">
      <c r="A28" s="78" t="s">
        <v>254</v>
      </c>
      <c r="B28" s="666"/>
      <c r="C28" s="87">
        <v>13407</v>
      </c>
      <c r="D28" s="87">
        <v>14945</v>
      </c>
      <c r="E28" s="100">
        <v>16429</v>
      </c>
      <c r="F28" s="100">
        <v>12949</v>
      </c>
      <c r="G28" s="102">
        <v>12728</v>
      </c>
      <c r="H28" s="89">
        <v>13700</v>
      </c>
      <c r="I28" s="102">
        <v>14326</v>
      </c>
      <c r="J28" s="102">
        <v>13223</v>
      </c>
      <c r="K28" s="102">
        <v>15238</v>
      </c>
      <c r="L28" s="102">
        <v>16037</v>
      </c>
      <c r="M28" s="89">
        <v>16387</v>
      </c>
      <c r="N28" s="103">
        <v>21373</v>
      </c>
      <c r="O28" s="73">
        <f>AVERAGE(C28:N28)</f>
        <v>15061.833333333334</v>
      </c>
      <c r="P28" s="81">
        <f>SUM(C28:N28)</f>
        <v>180742</v>
      </c>
    </row>
    <row r="29" spans="1:17" ht="0.75" customHeight="1" thickBot="1">
      <c r="A29" s="78" t="s">
        <v>248</v>
      </c>
      <c r="B29" s="666"/>
      <c r="C29" s="87">
        <f>70556+7112</f>
        <v>77668</v>
      </c>
      <c r="D29" s="87">
        <f>64111+7428</f>
        <v>71539</v>
      </c>
      <c r="E29" s="87">
        <f>72346+9708</f>
        <v>82054</v>
      </c>
      <c r="F29" s="104">
        <f>66408+5730</f>
        <v>72138</v>
      </c>
      <c r="G29" s="104">
        <f>71492+6804</f>
        <v>78296</v>
      </c>
      <c r="H29" s="87">
        <f>77866+4850</f>
        <v>82716</v>
      </c>
      <c r="I29" s="87">
        <f>70979+7601</f>
        <v>78580</v>
      </c>
      <c r="J29" s="87">
        <f>79454+6277</f>
        <v>85731</v>
      </c>
      <c r="K29" s="87">
        <f>78503+4906</f>
        <v>83409</v>
      </c>
      <c r="L29" s="87">
        <f>79676+5539</f>
        <v>85215</v>
      </c>
      <c r="M29" s="87">
        <v>87739</v>
      </c>
      <c r="N29" s="105">
        <f>82554+6666</f>
        <v>89220</v>
      </c>
      <c r="O29" s="73">
        <f>AVERAGE(C29:N29)</f>
        <v>81192.083333333328</v>
      </c>
      <c r="P29" s="81">
        <f>SUM(C29:N29)</f>
        <v>974305</v>
      </c>
    </row>
    <row r="30" spans="1:17" ht="0.75" customHeight="1" thickBot="1">
      <c r="A30" s="82" t="s">
        <v>255</v>
      </c>
      <c r="B30" s="667"/>
      <c r="C30" s="90">
        <f>SUM(C27+C29)</f>
        <v>129715</v>
      </c>
      <c r="D30" s="90">
        <f t="shared" ref="D30:N30" si="3">SUM(D27+D29)</f>
        <v>115593</v>
      </c>
      <c r="E30" s="90">
        <f t="shared" si="3"/>
        <v>132025</v>
      </c>
      <c r="F30" s="90">
        <f t="shared" si="3"/>
        <v>114944</v>
      </c>
      <c r="G30" s="90">
        <f t="shared" si="3"/>
        <v>127100</v>
      </c>
      <c r="H30" s="90">
        <f t="shared" si="3"/>
        <v>138480</v>
      </c>
      <c r="I30" s="90">
        <f t="shared" si="3"/>
        <v>147362</v>
      </c>
      <c r="J30" s="90">
        <f t="shared" si="3"/>
        <v>151913</v>
      </c>
      <c r="K30" s="90">
        <f t="shared" si="3"/>
        <v>134391</v>
      </c>
      <c r="L30" s="90">
        <f t="shared" si="3"/>
        <v>135048</v>
      </c>
      <c r="M30" s="90">
        <f t="shared" si="3"/>
        <v>138291</v>
      </c>
      <c r="N30" s="90">
        <f t="shared" si="3"/>
        <v>147016</v>
      </c>
      <c r="O30" s="90">
        <f>SUM(O27+O29)</f>
        <v>134323.16666666666</v>
      </c>
      <c r="P30" s="106">
        <f>SUM(P27+P29)</f>
        <v>1611878</v>
      </c>
    </row>
    <row r="31" spans="1:17" ht="0.75" customHeight="1"/>
    <row r="32" spans="1:17" ht="0.75" customHeight="1">
      <c r="A32" s="93" t="s">
        <v>256</v>
      </c>
      <c r="B32" s="93"/>
      <c r="C32" s="107"/>
      <c r="D32" s="107"/>
      <c r="E32" s="107"/>
      <c r="F32" s="107"/>
      <c r="G32" s="107"/>
      <c r="H32" s="107"/>
      <c r="I32" s="107"/>
      <c r="J32" s="107"/>
      <c r="K32" s="107"/>
      <c r="L32" s="107"/>
      <c r="M32" s="107"/>
      <c r="N32" s="107"/>
      <c r="O32" s="95"/>
      <c r="P32" s="107"/>
    </row>
    <row r="33" spans="1:17" ht="0.75" customHeight="1">
      <c r="A33" s="96" t="s">
        <v>247</v>
      </c>
      <c r="B33" s="96"/>
      <c r="C33" s="108">
        <f t="shared" ref="C33:N33" si="4">SUM(C27/C15-1)</f>
        <v>0.18208039972745849</v>
      </c>
      <c r="D33" s="108">
        <f t="shared" si="4"/>
        <v>2.651691676763912E-2</v>
      </c>
      <c r="E33" s="108">
        <f t="shared" si="4"/>
        <v>0.22340008813592527</v>
      </c>
      <c r="F33" s="108">
        <f t="shared" si="4"/>
        <v>1.5057741101704991E-2</v>
      </c>
      <c r="G33" s="108">
        <f t="shared" si="4"/>
        <v>0.11812683284457481</v>
      </c>
      <c r="H33" s="108">
        <f t="shared" si="4"/>
        <v>0.10504726235063311</v>
      </c>
      <c r="I33" s="108">
        <f>SUM(I27/I15-1)</f>
        <v>0.15367326400536729</v>
      </c>
      <c r="J33" s="108">
        <f t="shared" si="4"/>
        <v>0.14789697337611662</v>
      </c>
      <c r="K33" s="108">
        <f t="shared" si="4"/>
        <v>0.12223469589909519</v>
      </c>
      <c r="L33" s="108">
        <f t="shared" si="4"/>
        <v>1.4288331196189885E-2</v>
      </c>
      <c r="M33" s="108">
        <f t="shared" si="4"/>
        <v>-1.0278598978013642E-2</v>
      </c>
      <c r="N33" s="108">
        <f t="shared" si="4"/>
        <v>5.5191426432731561E-2</v>
      </c>
      <c r="O33" s="98"/>
      <c r="P33" s="108">
        <f>SUM(P27/P15-1)</f>
        <v>9.5940071404138072E-2</v>
      </c>
    </row>
    <row r="34" spans="1:17" ht="0.75" customHeight="1">
      <c r="A34" s="96" t="s">
        <v>248</v>
      </c>
      <c r="B34" s="96"/>
      <c r="C34" s="108">
        <f t="shared" ref="C34:N35" si="5">SUM(C29/C16-1)</f>
        <v>0.18653182193162032</v>
      </c>
      <c r="D34" s="108">
        <f t="shared" si="5"/>
        <v>0.13941005956741948</v>
      </c>
      <c r="E34" s="108">
        <f t="shared" si="5"/>
        <v>0.12779702017702999</v>
      </c>
      <c r="F34" s="108">
        <f t="shared" si="5"/>
        <v>5.5714097554550701E-2</v>
      </c>
      <c r="G34" s="108">
        <f t="shared" si="5"/>
        <v>0.12200854088446866</v>
      </c>
      <c r="H34" s="108">
        <f t="shared" si="5"/>
        <v>0.16363738675369977</v>
      </c>
      <c r="I34" s="108">
        <f>SUM(I29/I16-1)</f>
        <v>-1.4250589593055363E-2</v>
      </c>
      <c r="J34" s="108">
        <f t="shared" si="5"/>
        <v>7.4673452503321913E-2</v>
      </c>
      <c r="K34" s="108">
        <f t="shared" si="5"/>
        <v>0.17934252386002125</v>
      </c>
      <c r="L34" s="108">
        <f t="shared" si="5"/>
        <v>0.14941055868785247</v>
      </c>
      <c r="M34" s="108">
        <f t="shared" si="5"/>
        <v>0.20840965747104279</v>
      </c>
      <c r="N34" s="108">
        <f t="shared" si="5"/>
        <v>0.16679308450814734</v>
      </c>
      <c r="O34" s="98"/>
      <c r="P34" s="108">
        <f>SUM(P29/P16-1)</f>
        <v>0.12816008837189385</v>
      </c>
    </row>
    <row r="35" spans="1:17" ht="0.75" customHeight="1">
      <c r="A35" s="99" t="s">
        <v>169</v>
      </c>
      <c r="B35" s="99"/>
      <c r="C35" s="108">
        <f t="shared" si="5"/>
        <v>0.18474170685371916</v>
      </c>
      <c r="D35" s="108">
        <f t="shared" si="5"/>
        <v>9.3574388374865203E-2</v>
      </c>
      <c r="E35" s="108">
        <f t="shared" si="5"/>
        <v>0.16217144064365074</v>
      </c>
      <c r="F35" s="108">
        <f t="shared" si="5"/>
        <v>4.0198367450362982E-2</v>
      </c>
      <c r="G35" s="108">
        <f t="shared" si="5"/>
        <v>0.1205148549766375</v>
      </c>
      <c r="H35" s="108">
        <f t="shared" si="5"/>
        <v>0.13931236476424758</v>
      </c>
      <c r="I35" s="108">
        <f>SUM(I30/I17-1)</f>
        <v>5.7601768387207875E-2</v>
      </c>
      <c r="J35" s="108">
        <f t="shared" si="5"/>
        <v>0.10539260272577122</v>
      </c>
      <c r="K35" s="108">
        <f t="shared" si="5"/>
        <v>0.1570070768118188</v>
      </c>
      <c r="L35" s="108">
        <f t="shared" si="5"/>
        <v>9.5555249089389838E-2</v>
      </c>
      <c r="M35" s="108">
        <f t="shared" si="5"/>
        <v>0.1180993499563403</v>
      </c>
      <c r="N35" s="108">
        <f t="shared" si="5"/>
        <v>0.12021578951378786</v>
      </c>
      <c r="O35" s="98"/>
      <c r="P35" s="108">
        <f>SUM(P30/P17-1)</f>
        <v>0.11519169326863077</v>
      </c>
    </row>
    <row r="36" spans="1:17" ht="0.75" customHeight="1"/>
    <row r="37" spans="1:17" ht="0.75" customHeight="1"/>
    <row r="38" spans="1:17" ht="0.75" customHeight="1">
      <c r="A38" s="3920" t="s">
        <v>257</v>
      </c>
      <c r="B38" s="3921"/>
      <c r="C38" s="3921"/>
      <c r="D38" s="3921"/>
      <c r="E38" s="3921"/>
      <c r="F38" s="3921"/>
      <c r="G38" s="3921"/>
      <c r="H38" s="3921"/>
      <c r="I38" s="3921"/>
      <c r="J38" s="3921"/>
      <c r="K38" s="3921"/>
      <c r="L38" s="3921"/>
      <c r="M38" s="3921"/>
      <c r="N38" s="3921"/>
      <c r="O38" s="3921"/>
      <c r="P38" s="3922"/>
      <c r="Q38" s="74"/>
    </row>
    <row r="39" spans="1:17" ht="0.75" customHeight="1">
      <c r="A39" s="75" t="s">
        <v>240</v>
      </c>
      <c r="B39" s="665"/>
      <c r="C39" s="76" t="s">
        <v>241</v>
      </c>
      <c r="D39" s="76" t="s">
        <v>230</v>
      </c>
      <c r="E39" s="76" t="s">
        <v>231</v>
      </c>
      <c r="F39" s="76" t="s">
        <v>242</v>
      </c>
      <c r="G39" s="76" t="s">
        <v>232</v>
      </c>
      <c r="H39" s="76" t="s">
        <v>233</v>
      </c>
      <c r="I39" s="76" t="s">
        <v>243</v>
      </c>
      <c r="J39" s="76" t="s">
        <v>244</v>
      </c>
      <c r="K39" s="76" t="s">
        <v>234</v>
      </c>
      <c r="L39" s="76" t="s">
        <v>235</v>
      </c>
      <c r="M39" s="76" t="s">
        <v>236</v>
      </c>
      <c r="N39" s="76" t="s">
        <v>245</v>
      </c>
      <c r="O39" s="76" t="s">
        <v>246</v>
      </c>
      <c r="P39" s="77" t="s">
        <v>169</v>
      </c>
    </row>
    <row r="40" spans="1:17" ht="0.75" customHeight="1">
      <c r="A40" s="78" t="s">
        <v>247</v>
      </c>
      <c r="B40" s="666"/>
      <c r="C40" s="87">
        <v>52660</v>
      </c>
      <c r="D40" s="87">
        <v>49163</v>
      </c>
      <c r="E40" s="87">
        <f>554+48426</f>
        <v>48980</v>
      </c>
      <c r="F40" s="87">
        <v>47900</v>
      </c>
      <c r="G40" s="87">
        <v>48075</v>
      </c>
      <c r="H40" s="87">
        <v>59405</v>
      </c>
      <c r="I40" s="87">
        <v>73357</v>
      </c>
      <c r="J40" s="87">
        <v>70796</v>
      </c>
      <c r="K40" s="87">
        <v>54319</v>
      </c>
      <c r="L40" s="87">
        <v>53907</v>
      </c>
      <c r="M40" s="87">
        <f>55960+1763</f>
        <v>57723</v>
      </c>
      <c r="N40" s="87">
        <f>61406+2187</f>
        <v>63593</v>
      </c>
      <c r="O40" s="73">
        <f>AVERAGE(C40:N40)</f>
        <v>56656.5</v>
      </c>
      <c r="P40" s="81">
        <f>SUM(C40:N40)</f>
        <v>679878</v>
      </c>
    </row>
    <row r="41" spans="1:17" ht="0.75" customHeight="1">
      <c r="A41" s="78" t="s">
        <v>254</v>
      </c>
      <c r="B41" s="666"/>
      <c r="C41" s="87">
        <v>21094</v>
      </c>
      <c r="D41" s="87">
        <v>17942</v>
      </c>
      <c r="E41" s="87">
        <v>19384</v>
      </c>
      <c r="F41" s="87">
        <v>16318</v>
      </c>
      <c r="G41" s="87">
        <v>14062</v>
      </c>
      <c r="H41" s="87">
        <v>15094</v>
      </c>
      <c r="I41" s="87">
        <v>16180</v>
      </c>
      <c r="J41" s="87">
        <v>14313</v>
      </c>
      <c r="K41" s="87">
        <v>12107</v>
      </c>
      <c r="L41" s="87">
        <v>14211</v>
      </c>
      <c r="M41" s="87">
        <v>15319</v>
      </c>
      <c r="N41" s="87">
        <v>20792</v>
      </c>
      <c r="O41" s="73">
        <f>AVERAGE(C41:N41)</f>
        <v>16401.333333333332</v>
      </c>
      <c r="P41" s="81">
        <f>SUM(C41:N41)</f>
        <v>196816</v>
      </c>
    </row>
    <row r="42" spans="1:17" ht="0.75" customHeight="1" thickBot="1">
      <c r="A42" s="78" t="s">
        <v>248</v>
      </c>
      <c r="B42" s="666"/>
      <c r="C42" s="87">
        <v>90281</v>
      </c>
      <c r="D42" s="87">
        <v>80848</v>
      </c>
      <c r="E42" s="87">
        <v>97554</v>
      </c>
      <c r="F42" s="87">
        <v>90948</v>
      </c>
      <c r="G42" s="87">
        <v>98614</v>
      </c>
      <c r="H42" s="87">
        <v>95134</v>
      </c>
      <c r="I42" s="87">
        <f>106169+6290</f>
        <v>112459</v>
      </c>
      <c r="J42" s="87">
        <v>118122</v>
      </c>
      <c r="K42" s="87">
        <v>105285</v>
      </c>
      <c r="L42" s="87">
        <v>102931</v>
      </c>
      <c r="M42" s="87">
        <f>98691+5804</f>
        <v>104495</v>
      </c>
      <c r="N42" s="87">
        <f>112964+6198</f>
        <v>119162</v>
      </c>
      <c r="O42" s="73">
        <f>AVERAGE(C42:N42)</f>
        <v>101319.41666666667</v>
      </c>
      <c r="P42" s="81">
        <f>SUM(C42:N42)</f>
        <v>1215833</v>
      </c>
    </row>
    <row r="43" spans="1:17" ht="0.75" customHeight="1" thickBot="1">
      <c r="A43" s="82" t="s">
        <v>258</v>
      </c>
      <c r="B43" s="667"/>
      <c r="C43" s="90">
        <f t="shared" ref="C43:L43" si="6">SUM(C40+C42)</f>
        <v>142941</v>
      </c>
      <c r="D43" s="90">
        <f t="shared" si="6"/>
        <v>130011</v>
      </c>
      <c r="E43" s="90">
        <f t="shared" si="6"/>
        <v>146534</v>
      </c>
      <c r="F43" s="90">
        <f t="shared" si="6"/>
        <v>138848</v>
      </c>
      <c r="G43" s="90">
        <f t="shared" si="6"/>
        <v>146689</v>
      </c>
      <c r="H43" s="90">
        <f t="shared" si="6"/>
        <v>154539</v>
      </c>
      <c r="I43" s="90">
        <f t="shared" si="6"/>
        <v>185816</v>
      </c>
      <c r="J43" s="90">
        <f t="shared" si="6"/>
        <v>188918</v>
      </c>
      <c r="K43" s="90">
        <f t="shared" si="6"/>
        <v>159604</v>
      </c>
      <c r="L43" s="90">
        <f t="shared" si="6"/>
        <v>156838</v>
      </c>
      <c r="M43" s="90">
        <f>SUM(M40+M42)</f>
        <v>162218</v>
      </c>
      <c r="N43" s="90">
        <f>SUM(N40+N42)</f>
        <v>182755</v>
      </c>
      <c r="O43" s="90">
        <f>SUM(O40+O42)</f>
        <v>157975.91666666669</v>
      </c>
      <c r="P43" s="106">
        <f>SUM(P40+P42)</f>
        <v>1895711</v>
      </c>
    </row>
    <row r="44" spans="1:17" ht="0.75" customHeight="1"/>
    <row r="45" spans="1:17" ht="0.75" customHeight="1">
      <c r="A45" s="93" t="s">
        <v>259</v>
      </c>
      <c r="B45" s="93"/>
      <c r="C45" s="107"/>
      <c r="D45" s="107"/>
      <c r="E45" s="107"/>
      <c r="F45" s="107"/>
      <c r="G45" s="107"/>
      <c r="H45" s="107"/>
      <c r="I45" s="107"/>
      <c r="J45" s="107"/>
      <c r="K45" s="107"/>
      <c r="L45" s="107"/>
      <c r="M45" s="107"/>
      <c r="N45" s="107"/>
      <c r="O45" s="108"/>
      <c r="P45" s="107"/>
    </row>
    <row r="46" spans="1:17" ht="0.75" customHeight="1">
      <c r="A46" s="96" t="s">
        <v>247</v>
      </c>
      <c r="B46" s="96"/>
      <c r="C46" s="108">
        <f t="shared" ref="C46:N46" si="7">SUM(C40/C27-1)</f>
        <v>1.177781620458429E-2</v>
      </c>
      <c r="D46" s="108">
        <f t="shared" si="7"/>
        <v>0.11597130794025512</v>
      </c>
      <c r="E46" s="108">
        <f t="shared" si="7"/>
        <v>-1.9831502271317358E-2</v>
      </c>
      <c r="F46" s="108">
        <f t="shared" si="7"/>
        <v>0.11900200906414993</v>
      </c>
      <c r="G46" s="108">
        <f t="shared" si="7"/>
        <v>-1.4937300221293359E-2</v>
      </c>
      <c r="H46" s="108">
        <f t="shared" si="7"/>
        <v>6.5293020586758566E-2</v>
      </c>
      <c r="I46" s="108">
        <f>SUM(I40/I27-1)</f>
        <v>6.651449507138496E-2</v>
      </c>
      <c r="J46" s="108">
        <f t="shared" si="7"/>
        <v>6.9716841437248878E-2</v>
      </c>
      <c r="K46" s="108">
        <f t="shared" si="7"/>
        <v>6.5454474128123552E-2</v>
      </c>
      <c r="L46" s="108">
        <f t="shared" si="7"/>
        <v>8.1753055204382585E-2</v>
      </c>
      <c r="M46" s="108">
        <f t="shared" si="7"/>
        <v>0.14185393258426959</v>
      </c>
      <c r="N46" s="108">
        <f t="shared" si="7"/>
        <v>0.1003010588968094</v>
      </c>
      <c r="O46" s="108"/>
      <c r="P46" s="108">
        <f>+(P40-P27)/P27</f>
        <v>6.6353186223381475E-2</v>
      </c>
    </row>
    <row r="47" spans="1:17" ht="0.75" customHeight="1">
      <c r="A47" s="96" t="s">
        <v>248</v>
      </c>
      <c r="B47" s="96"/>
      <c r="C47" s="108">
        <f t="shared" ref="C47:N48" si="8">SUM(C42/C29-1)</f>
        <v>0.16239635371066585</v>
      </c>
      <c r="D47" s="108">
        <f t="shared" si="8"/>
        <v>0.13012482701743111</v>
      </c>
      <c r="E47" s="108">
        <f t="shared" si="8"/>
        <v>0.18889999268774216</v>
      </c>
      <c r="F47" s="108">
        <f t="shared" si="8"/>
        <v>0.26075022872827081</v>
      </c>
      <c r="G47" s="108">
        <f t="shared" si="8"/>
        <v>0.25950240114437517</v>
      </c>
      <c r="H47" s="108">
        <f t="shared" si="8"/>
        <v>0.15012814933023844</v>
      </c>
      <c r="I47" s="108">
        <f>SUM(I42/I29-1)</f>
        <v>0.4311402392466277</v>
      </c>
      <c r="J47" s="108">
        <f t="shared" si="8"/>
        <v>0.37782132484165598</v>
      </c>
      <c r="K47" s="108">
        <f t="shared" si="8"/>
        <v>0.26227385533935177</v>
      </c>
      <c r="L47" s="108">
        <f t="shared" si="8"/>
        <v>0.20789767059789943</v>
      </c>
      <c r="M47" s="108">
        <f t="shared" si="8"/>
        <v>0.19097550690115006</v>
      </c>
      <c r="N47" s="108">
        <f t="shared" si="8"/>
        <v>0.33559739968616897</v>
      </c>
      <c r="O47" s="108"/>
      <c r="P47" s="108">
        <f>+(P42-P29)/P29</f>
        <v>0.24789773222964062</v>
      </c>
    </row>
    <row r="48" spans="1:17" ht="0.75" customHeight="1">
      <c r="A48" s="99" t="s">
        <v>169</v>
      </c>
      <c r="B48" s="99"/>
      <c r="C48" s="108">
        <f t="shared" si="8"/>
        <v>0.10196199360135672</v>
      </c>
      <c r="D48" s="108">
        <f t="shared" si="8"/>
        <v>0.12473073629025988</v>
      </c>
      <c r="E48" s="108">
        <f t="shared" si="8"/>
        <v>0.10989585305813288</v>
      </c>
      <c r="F48" s="108">
        <f t="shared" si="8"/>
        <v>0.2079621380846326</v>
      </c>
      <c r="G48" s="108">
        <f t="shared" si="8"/>
        <v>0.1541227380015735</v>
      </c>
      <c r="H48" s="108">
        <f t="shared" si="8"/>
        <v>0.11596620450606587</v>
      </c>
      <c r="I48" s="108">
        <f>SUM(I43/I30-1)</f>
        <v>0.26094922707346524</v>
      </c>
      <c r="J48" s="108">
        <f t="shared" si="8"/>
        <v>0.24359337252243063</v>
      </c>
      <c r="K48" s="108">
        <f t="shared" si="8"/>
        <v>0.18760928931252829</v>
      </c>
      <c r="L48" s="108">
        <f t="shared" si="8"/>
        <v>0.16135003850482788</v>
      </c>
      <c r="M48" s="108">
        <f t="shared" si="8"/>
        <v>0.17301921310858992</v>
      </c>
      <c r="N48" s="108">
        <f t="shared" si="8"/>
        <v>0.24309598955215761</v>
      </c>
      <c r="O48" s="108"/>
      <c r="P48" s="108">
        <f>+(P43-P30)/P30</f>
        <v>0.17608838882347175</v>
      </c>
    </row>
    <row r="49" spans="1:26" ht="0.75" customHeight="1"/>
    <row r="50" spans="1:26" ht="0.75" customHeight="1"/>
    <row r="51" spans="1:26" ht="0.75" customHeight="1">
      <c r="A51" s="3920" t="s">
        <v>260</v>
      </c>
      <c r="B51" s="3921"/>
      <c r="C51" s="3921"/>
      <c r="D51" s="3921"/>
      <c r="E51" s="3921"/>
      <c r="F51" s="3921"/>
      <c r="G51" s="3921"/>
      <c r="H51" s="3921"/>
      <c r="I51" s="3921"/>
      <c r="J51" s="3921"/>
      <c r="K51" s="3921"/>
      <c r="L51" s="3921"/>
      <c r="M51" s="3921"/>
      <c r="N51" s="3921"/>
      <c r="O51" s="3921"/>
      <c r="P51" s="3922"/>
    </row>
    <row r="52" spans="1:26" ht="0.75" customHeight="1">
      <c r="A52" s="75" t="s">
        <v>240</v>
      </c>
      <c r="B52" s="665"/>
      <c r="C52" s="76" t="s">
        <v>241</v>
      </c>
      <c r="D52" s="76" t="s">
        <v>230</v>
      </c>
      <c r="E52" s="76" t="s">
        <v>231</v>
      </c>
      <c r="F52" s="76" t="s">
        <v>242</v>
      </c>
      <c r="G52" s="76" t="s">
        <v>232</v>
      </c>
      <c r="H52" s="76" t="s">
        <v>233</v>
      </c>
      <c r="I52" s="76" t="s">
        <v>243</v>
      </c>
      <c r="J52" s="76" t="s">
        <v>244</v>
      </c>
      <c r="K52" s="76" t="s">
        <v>234</v>
      </c>
      <c r="L52" s="76" t="s">
        <v>235</v>
      </c>
      <c r="M52" s="76" t="s">
        <v>236</v>
      </c>
      <c r="N52" s="76" t="s">
        <v>245</v>
      </c>
      <c r="O52" s="76" t="s">
        <v>246</v>
      </c>
      <c r="P52" s="77" t="s">
        <v>169</v>
      </c>
      <c r="Q52" s="676"/>
      <c r="R52" s="677">
        <v>2007</v>
      </c>
      <c r="S52" s="677">
        <v>2008</v>
      </c>
      <c r="T52" s="677">
        <v>2009</v>
      </c>
      <c r="U52" s="677">
        <v>2010</v>
      </c>
      <c r="V52" s="677">
        <v>2011</v>
      </c>
      <c r="W52" s="677">
        <v>2012</v>
      </c>
      <c r="X52" s="677">
        <v>2013</v>
      </c>
      <c r="Y52" s="677">
        <v>2014</v>
      </c>
      <c r="Z52" s="678">
        <v>2015</v>
      </c>
    </row>
    <row r="53" spans="1:26" ht="0.75" customHeight="1">
      <c r="A53" s="78" t="s">
        <v>247</v>
      </c>
      <c r="B53" s="666"/>
      <c r="C53" s="87">
        <f>57876+860</f>
        <v>58736</v>
      </c>
      <c r="D53" s="87">
        <f>52375+2054</f>
        <v>54429</v>
      </c>
      <c r="E53" s="87">
        <f>57260+2393</f>
        <v>59653</v>
      </c>
      <c r="F53" s="87">
        <f>52176+2856</f>
        <v>55032</v>
      </c>
      <c r="G53" s="87">
        <f>56376+3543</f>
        <v>59919</v>
      </c>
      <c r="H53" s="87">
        <f>70648+3710</f>
        <v>74358</v>
      </c>
      <c r="I53" s="87">
        <f>75950+6896</f>
        <v>82846</v>
      </c>
      <c r="J53" s="87">
        <f>76368+7019</f>
        <v>83387</v>
      </c>
      <c r="K53" s="87">
        <f>58169+2881</f>
        <v>61050</v>
      </c>
      <c r="L53" s="87">
        <f>58742+1953</f>
        <v>60695</v>
      </c>
      <c r="M53" s="87">
        <f>57253+1818</f>
        <v>59071</v>
      </c>
      <c r="N53" s="87">
        <f>63943+2375</f>
        <v>66318</v>
      </c>
      <c r="O53" s="73">
        <f>AVERAGE(C53:N53)</f>
        <v>64624.5</v>
      </c>
      <c r="P53" s="81">
        <f>SUM(C53:N53)</f>
        <v>775494</v>
      </c>
      <c r="Q53" s="75" t="s">
        <v>247</v>
      </c>
      <c r="R53" s="679">
        <f>P53</f>
        <v>775494</v>
      </c>
      <c r="S53" s="679">
        <f>P65</f>
        <v>791950</v>
      </c>
      <c r="T53" s="679">
        <f>P78</f>
        <v>818875</v>
      </c>
      <c r="U53" s="679">
        <f>P91</f>
        <v>865470</v>
      </c>
      <c r="V53" s="679">
        <f>P103</f>
        <v>861811</v>
      </c>
      <c r="W53" s="679">
        <f>P115</f>
        <v>962752</v>
      </c>
      <c r="X53" s="679">
        <f>P127</f>
        <v>1079183</v>
      </c>
      <c r="Y53" s="679">
        <f>P139</f>
        <v>1190692</v>
      </c>
      <c r="Z53" s="679">
        <f>P151</f>
        <v>1215331</v>
      </c>
    </row>
    <row r="54" spans="1:26" ht="0.75" customHeight="1">
      <c r="A54" s="78" t="s">
        <v>254</v>
      </c>
      <c r="B54" s="666"/>
      <c r="C54" s="87">
        <v>18984</v>
      </c>
      <c r="D54" s="87">
        <v>18535</v>
      </c>
      <c r="E54" s="87">
        <v>19775</v>
      </c>
      <c r="F54" s="87">
        <v>14156</v>
      </c>
      <c r="G54" s="87">
        <v>12937</v>
      </c>
      <c r="H54" s="87">
        <v>13171</v>
      </c>
      <c r="I54" s="87">
        <v>13913</v>
      </c>
      <c r="J54" s="87">
        <v>13187</v>
      </c>
      <c r="K54" s="87">
        <v>13049</v>
      </c>
      <c r="L54" s="87">
        <v>11920</v>
      </c>
      <c r="M54" s="87">
        <v>12286</v>
      </c>
      <c r="N54" s="87">
        <v>16136</v>
      </c>
      <c r="O54" s="73">
        <f>AVERAGE(C54:N54)</f>
        <v>14837.416666666666</v>
      </c>
      <c r="P54" s="81">
        <f>SUM(C54:N54)</f>
        <v>178049</v>
      </c>
      <c r="Q54" s="75" t="s">
        <v>254</v>
      </c>
      <c r="R54" s="679">
        <f>P54</f>
        <v>178049</v>
      </c>
      <c r="S54" s="679">
        <f>P66</f>
        <v>143787</v>
      </c>
      <c r="T54" s="679">
        <f>P79</f>
        <v>115668</v>
      </c>
      <c r="U54" s="679">
        <f>P92</f>
        <v>111164</v>
      </c>
      <c r="V54" s="679">
        <f>P104</f>
        <v>118840</v>
      </c>
      <c r="W54" s="679">
        <f>P116</f>
        <v>102964</v>
      </c>
      <c r="X54" s="679">
        <f>P128</f>
        <v>114788</v>
      </c>
      <c r="Y54" s="679">
        <f>P140</f>
        <v>125958</v>
      </c>
      <c r="Z54" s="679">
        <f>P152</f>
        <v>112957</v>
      </c>
    </row>
    <row r="55" spans="1:26" ht="0.75" customHeight="1" thickBot="1">
      <c r="A55" s="78" t="s">
        <v>248</v>
      </c>
      <c r="B55" s="666"/>
      <c r="C55" s="87">
        <f>106610+6841</f>
        <v>113451</v>
      </c>
      <c r="D55" s="87">
        <f>91599+6158</f>
        <v>97757</v>
      </c>
      <c r="E55" s="87">
        <f>107073+6402</f>
        <v>113475</v>
      </c>
      <c r="F55" s="87">
        <f>104091+6457</f>
        <v>110548</v>
      </c>
      <c r="G55" s="87">
        <f>105246+8255</f>
        <v>113501</v>
      </c>
      <c r="H55" s="87">
        <f>107881+6206</f>
        <v>114087</v>
      </c>
      <c r="I55" s="87">
        <f>118009+7288</f>
        <v>125297</v>
      </c>
      <c r="J55" s="87">
        <f>120093+9556</f>
        <v>129649</v>
      </c>
      <c r="K55" s="87">
        <f>99897+7076</f>
        <v>106973</v>
      </c>
      <c r="L55" s="87">
        <f>108878+7843</f>
        <v>116721</v>
      </c>
      <c r="M55" s="87">
        <f>102483+6936</f>
        <v>109419</v>
      </c>
      <c r="N55" s="87">
        <f>95156+7011</f>
        <v>102167</v>
      </c>
      <c r="O55" s="73">
        <f>AVERAGE(C55:N55)</f>
        <v>112753.75</v>
      </c>
      <c r="P55" s="81">
        <f>SUM(C55:N55)</f>
        <v>1353045</v>
      </c>
      <c r="Q55" s="75" t="s">
        <v>248</v>
      </c>
      <c r="R55" s="679">
        <f>P55</f>
        <v>1353045</v>
      </c>
      <c r="S55" s="679">
        <f>P67</f>
        <v>1459550</v>
      </c>
      <c r="T55" s="679">
        <f>P80</f>
        <v>1533213</v>
      </c>
      <c r="U55" s="679">
        <f>P93</f>
        <v>1642928</v>
      </c>
      <c r="V55" s="679">
        <f>P105</f>
        <v>1824792</v>
      </c>
      <c r="W55" s="679">
        <f>P117</f>
        <v>1664689</v>
      </c>
      <c r="X55" s="679">
        <f>P129</f>
        <v>1647667</v>
      </c>
      <c r="Y55" s="679">
        <f>P141</f>
        <v>1626716</v>
      </c>
      <c r="Z55" s="679">
        <f>P153</f>
        <v>1478683</v>
      </c>
    </row>
    <row r="56" spans="1:26" ht="0.75" customHeight="1" thickBot="1">
      <c r="A56" s="82" t="s">
        <v>261</v>
      </c>
      <c r="B56" s="667"/>
      <c r="C56" s="90">
        <f t="shared" ref="C56:N56" si="9">SUM(C53+C55)</f>
        <v>172187</v>
      </c>
      <c r="D56" s="90">
        <f t="shared" si="9"/>
        <v>152186</v>
      </c>
      <c r="E56" s="90">
        <f t="shared" si="9"/>
        <v>173128</v>
      </c>
      <c r="F56" s="90">
        <f t="shared" si="9"/>
        <v>165580</v>
      </c>
      <c r="G56" s="90">
        <f t="shared" si="9"/>
        <v>173420</v>
      </c>
      <c r="H56" s="90">
        <f t="shared" si="9"/>
        <v>188445</v>
      </c>
      <c r="I56" s="90">
        <f t="shared" si="9"/>
        <v>208143</v>
      </c>
      <c r="J56" s="90">
        <f t="shared" si="9"/>
        <v>213036</v>
      </c>
      <c r="K56" s="90">
        <f t="shared" si="9"/>
        <v>168023</v>
      </c>
      <c r="L56" s="90">
        <f t="shared" si="9"/>
        <v>177416</v>
      </c>
      <c r="M56" s="90">
        <f t="shared" si="9"/>
        <v>168490</v>
      </c>
      <c r="N56" s="90">
        <f t="shared" si="9"/>
        <v>168485</v>
      </c>
      <c r="O56" s="90">
        <f>SUM(O53+O55)</f>
        <v>177378.25</v>
      </c>
      <c r="P56" s="106">
        <f>SUM(P53+P55)</f>
        <v>2128539</v>
      </c>
      <c r="Q56" s="680" t="s">
        <v>33</v>
      </c>
      <c r="R56" s="681">
        <f>SUM(R52:R55)</f>
        <v>2308595</v>
      </c>
      <c r="S56" s="681">
        <f t="shared" ref="S56:Z56" si="10">SUM(S52:S55)</f>
        <v>2397295</v>
      </c>
      <c r="T56" s="681">
        <f t="shared" si="10"/>
        <v>2469765</v>
      </c>
      <c r="U56" s="681">
        <f t="shared" si="10"/>
        <v>2621572</v>
      </c>
      <c r="V56" s="681">
        <f t="shared" si="10"/>
        <v>2807454</v>
      </c>
      <c r="W56" s="681">
        <f t="shared" si="10"/>
        <v>2732417</v>
      </c>
      <c r="X56" s="681">
        <f t="shared" si="10"/>
        <v>2843651</v>
      </c>
      <c r="Y56" s="681">
        <f t="shared" si="10"/>
        <v>2945380</v>
      </c>
      <c r="Z56" s="681">
        <f t="shared" si="10"/>
        <v>2808986</v>
      </c>
    </row>
    <row r="57" spans="1:26" ht="0.75" customHeight="1">
      <c r="Q57" s="682" t="s">
        <v>615</v>
      </c>
      <c r="R57" s="683"/>
      <c r="S57" s="684">
        <f t="shared" ref="S57:Y57" si="11">S56/R56-1</f>
        <v>3.8421637402835884E-2</v>
      </c>
      <c r="T57" s="684">
        <f t="shared" si="11"/>
        <v>3.0229904955376696E-2</v>
      </c>
      <c r="U57" s="684">
        <f t="shared" si="11"/>
        <v>6.1466171882750054E-2</v>
      </c>
      <c r="V57" s="684">
        <f t="shared" si="11"/>
        <v>7.0904785373050894E-2</v>
      </c>
      <c r="W57" s="684">
        <f t="shared" si="11"/>
        <v>-2.6727775415020139E-2</v>
      </c>
      <c r="X57" s="684">
        <f t="shared" si="11"/>
        <v>4.0709013302142383E-2</v>
      </c>
      <c r="Y57" s="684">
        <f t="shared" si="11"/>
        <v>3.5774080574585199E-2</v>
      </c>
      <c r="Z57" s="684">
        <f>Z56/Y56-1</f>
        <v>-4.630777692521848E-2</v>
      </c>
    </row>
    <row r="58" spans="1:26" ht="0.75" customHeight="1">
      <c r="A58" s="93"/>
      <c r="B58" s="93"/>
      <c r="C58" s="107"/>
      <c r="D58" s="107"/>
      <c r="E58" s="107"/>
      <c r="F58" s="107"/>
      <c r="G58" s="107"/>
      <c r="H58" s="107"/>
      <c r="I58" s="107"/>
      <c r="J58" s="107"/>
      <c r="K58" s="107"/>
      <c r="L58" s="107"/>
      <c r="M58" s="107"/>
      <c r="N58" s="107"/>
      <c r="O58" s="108"/>
      <c r="P58" s="107"/>
      <c r="Q58" s="75" t="s">
        <v>616</v>
      </c>
      <c r="R58" s="666"/>
      <c r="S58" s="685">
        <f t="shared" ref="S58:Y58" si="12">S55/R55-1</f>
        <v>7.8715046432306313E-2</v>
      </c>
      <c r="T58" s="685">
        <f t="shared" si="12"/>
        <v>5.0469665307800282E-2</v>
      </c>
      <c r="U58" s="685">
        <f t="shared" si="12"/>
        <v>7.1558876685757333E-2</v>
      </c>
      <c r="V58" s="685">
        <f t="shared" si="12"/>
        <v>0.11069505176124572</v>
      </c>
      <c r="W58" s="685">
        <f t="shared" si="12"/>
        <v>-8.7737670923590194E-2</v>
      </c>
      <c r="X58" s="685">
        <f t="shared" si="12"/>
        <v>-1.0225333380589396E-2</v>
      </c>
      <c r="Y58" s="685">
        <f t="shared" si="12"/>
        <v>-1.2715554781396965E-2</v>
      </c>
      <c r="Z58" s="685">
        <f>Z55/Y55-1</f>
        <v>-9.1001133572178539E-2</v>
      </c>
    </row>
    <row r="59" spans="1:26" ht="0.75" customHeight="1">
      <c r="A59" s="96" t="s">
        <v>247</v>
      </c>
      <c r="B59" s="96"/>
      <c r="C59" s="108">
        <f t="shared" ref="C59:H59" si="13">SUM(C53/C40-1)</f>
        <v>0.11538169388530184</v>
      </c>
      <c r="D59" s="108">
        <f t="shared" si="13"/>
        <v>0.10711307283933036</v>
      </c>
      <c r="E59" s="108">
        <f t="shared" si="13"/>
        <v>0.21790526745610461</v>
      </c>
      <c r="F59" s="108">
        <f t="shared" si="13"/>
        <v>0.14889352818371604</v>
      </c>
      <c r="G59" s="108">
        <f t="shared" si="13"/>
        <v>0.24636505460218405</v>
      </c>
      <c r="H59" s="108">
        <f t="shared" si="13"/>
        <v>0.25171281878629737</v>
      </c>
      <c r="I59" s="108">
        <f t="shared" ref="I59:N59" si="14">SUM(I53/I40-1)</f>
        <v>0.1293537085758687</v>
      </c>
      <c r="J59" s="108">
        <f t="shared" si="14"/>
        <v>0.17784903101870153</v>
      </c>
      <c r="K59" s="108">
        <f t="shared" si="14"/>
        <v>0.12391612511275985</v>
      </c>
      <c r="L59" s="108">
        <f t="shared" si="14"/>
        <v>0.12592056690225761</v>
      </c>
      <c r="M59" s="108">
        <f t="shared" si="14"/>
        <v>2.3352909585433901E-2</v>
      </c>
      <c r="N59" s="108">
        <f t="shared" si="14"/>
        <v>4.2850628213797037E-2</v>
      </c>
      <c r="O59" s="108"/>
      <c r="P59" s="108">
        <f>(P53-(SUM(C40:N40)))/(SUM(C40:N40))</f>
        <v>0.14063699663763204</v>
      </c>
      <c r="Q59" s="568" t="s">
        <v>617</v>
      </c>
      <c r="R59" s="686"/>
      <c r="S59" s="687">
        <f t="shared" ref="S59:Y59" si="15">S53/R53-1</f>
        <v>2.1220022334150768E-2</v>
      </c>
      <c r="T59" s="687">
        <f t="shared" si="15"/>
        <v>3.3998358482227431E-2</v>
      </c>
      <c r="U59" s="687">
        <f t="shared" si="15"/>
        <v>5.6901236452449933E-2</v>
      </c>
      <c r="V59" s="687">
        <f t="shared" si="15"/>
        <v>-4.2277606387280953E-3</v>
      </c>
      <c r="W59" s="687">
        <f t="shared" si="15"/>
        <v>0.11712660896646709</v>
      </c>
      <c r="X59" s="687">
        <f t="shared" si="15"/>
        <v>0.12093560958585381</v>
      </c>
      <c r="Y59" s="687">
        <f t="shared" si="15"/>
        <v>0.10332723921707432</v>
      </c>
      <c r="Z59" s="687">
        <f>Z53/Y53-1</f>
        <v>2.0693008771369925E-2</v>
      </c>
    </row>
    <row r="60" spans="1:26" ht="0.75" customHeight="1">
      <c r="A60" s="96" t="s">
        <v>248</v>
      </c>
      <c r="B60" s="96"/>
      <c r="C60" s="108">
        <f t="shared" ref="C60:E61" si="16">SUM(C55/C42-1)</f>
        <v>0.25664314750611972</v>
      </c>
      <c r="D60" s="108">
        <f t="shared" si="16"/>
        <v>0.2091455570947951</v>
      </c>
      <c r="E60" s="108">
        <f t="shared" si="16"/>
        <v>0.16320191893720404</v>
      </c>
      <c r="F60" s="108">
        <f t="shared" ref="F60:H61" si="17">SUM(F55/F42-1)</f>
        <v>0.2155077626775741</v>
      </c>
      <c r="G60" s="108">
        <f t="shared" si="17"/>
        <v>0.15096233800474579</v>
      </c>
      <c r="H60" s="108">
        <f t="shared" si="17"/>
        <v>0.19922425210755357</v>
      </c>
      <c r="I60" s="108">
        <f>SUM(I55/I42-1)</f>
        <v>0.1141571594981281</v>
      </c>
      <c r="J60" s="108">
        <f t="shared" ref="J60:N61" si="18">SUM(J55/J42-1)</f>
        <v>9.7585547146170848E-2</v>
      </c>
      <c r="K60" s="108">
        <f t="shared" si="18"/>
        <v>1.6032673220306881E-2</v>
      </c>
      <c r="L60" s="108">
        <f t="shared" si="18"/>
        <v>0.13397324421214218</v>
      </c>
      <c r="M60" s="108">
        <f t="shared" si="18"/>
        <v>4.7121871859897579E-2</v>
      </c>
      <c r="N60" s="108">
        <f t="shared" si="18"/>
        <v>-0.14262096977224281</v>
      </c>
      <c r="O60" s="108"/>
      <c r="P60" s="108">
        <f>(P55-(SUM(C42:N42)))/(SUM(C42:N42))</f>
        <v>0.11285431469617949</v>
      </c>
    </row>
    <row r="61" spans="1:26" ht="0.75" customHeight="1">
      <c r="A61" s="99" t="s">
        <v>169</v>
      </c>
      <c r="B61" s="99"/>
      <c r="C61" s="108">
        <f t="shared" si="16"/>
        <v>0.20460189868547163</v>
      </c>
      <c r="D61" s="108">
        <f t="shared" si="16"/>
        <v>0.17056249086615738</v>
      </c>
      <c r="E61" s="108">
        <f t="shared" si="16"/>
        <v>0.18148689041451127</v>
      </c>
      <c r="F61" s="108">
        <f t="shared" si="17"/>
        <v>0.19252707997234375</v>
      </c>
      <c r="G61" s="108">
        <f t="shared" si="17"/>
        <v>0.18222906966439201</v>
      </c>
      <c r="H61" s="108">
        <f t="shared" si="17"/>
        <v>0.21940092792110732</v>
      </c>
      <c r="I61" s="108">
        <f>SUM(I56/I43-1)</f>
        <v>0.12015649890213975</v>
      </c>
      <c r="J61" s="108">
        <f t="shared" si="18"/>
        <v>0.12766385415894721</v>
      </c>
      <c r="K61" s="108">
        <f t="shared" si="18"/>
        <v>5.2749304528708629E-2</v>
      </c>
      <c r="L61" s="108">
        <f t="shared" si="18"/>
        <v>0.13120544765936826</v>
      </c>
      <c r="M61" s="108">
        <f t="shared" si="18"/>
        <v>3.866402002243885E-2</v>
      </c>
      <c r="N61" s="108">
        <f t="shared" si="18"/>
        <v>-7.80826789964707E-2</v>
      </c>
      <c r="O61" s="108"/>
      <c r="P61" s="108">
        <f>(P56-(SUM(C43:N43)))/(SUM(C43:N43))</f>
        <v>0.12281829878077408</v>
      </c>
    </row>
    <row r="62" spans="1:26" s="111" customFormat="1" ht="0.75" customHeight="1">
      <c r="A62" s="109"/>
      <c r="B62" s="109"/>
      <c r="C62" s="110"/>
      <c r="D62" s="110"/>
      <c r="E62" s="110"/>
      <c r="F62" s="110"/>
      <c r="G62" s="110"/>
      <c r="H62" s="110"/>
      <c r="I62" s="110"/>
      <c r="J62" s="110"/>
      <c r="K62" s="110"/>
      <c r="L62" s="110"/>
      <c r="M62" s="110"/>
      <c r="N62" s="110"/>
      <c r="O62" s="110"/>
      <c r="P62" s="110"/>
    </row>
    <row r="63" spans="1:26" ht="0.75" customHeight="1">
      <c r="A63" s="3920" t="s">
        <v>262</v>
      </c>
      <c r="B63" s="3921"/>
      <c r="C63" s="3921"/>
      <c r="D63" s="3921"/>
      <c r="E63" s="3921"/>
      <c r="F63" s="3921"/>
      <c r="G63" s="3921"/>
      <c r="H63" s="3921"/>
      <c r="I63" s="3921"/>
      <c r="J63" s="3921"/>
      <c r="K63" s="3921"/>
      <c r="L63" s="3921"/>
      <c r="M63" s="3921"/>
      <c r="N63" s="3921"/>
      <c r="O63" s="3921"/>
      <c r="P63" s="3922"/>
    </row>
    <row r="64" spans="1:26" ht="0.75" customHeight="1">
      <c r="A64" s="75" t="s">
        <v>240</v>
      </c>
      <c r="B64" s="665"/>
      <c r="C64" s="76" t="s">
        <v>241</v>
      </c>
      <c r="D64" s="76" t="s">
        <v>230</v>
      </c>
      <c r="E64" s="76" t="s">
        <v>231</v>
      </c>
      <c r="F64" s="76" t="s">
        <v>242</v>
      </c>
      <c r="G64" s="76" t="s">
        <v>232</v>
      </c>
      <c r="H64" s="76" t="s">
        <v>233</v>
      </c>
      <c r="I64" s="76" t="s">
        <v>243</v>
      </c>
      <c r="J64" s="76" t="s">
        <v>244</v>
      </c>
      <c r="K64" s="76" t="s">
        <v>234</v>
      </c>
      <c r="L64" s="76" t="s">
        <v>235</v>
      </c>
      <c r="M64" s="76" t="s">
        <v>236</v>
      </c>
      <c r="N64" s="76" t="s">
        <v>245</v>
      </c>
      <c r="O64" s="76" t="s">
        <v>246</v>
      </c>
      <c r="P64" s="77" t="s">
        <v>169</v>
      </c>
    </row>
    <row r="65" spans="1:16" ht="0.75" customHeight="1">
      <c r="A65" s="78" t="s">
        <v>247</v>
      </c>
      <c r="B65" s="666"/>
      <c r="C65" s="112">
        <f>60963+1506</f>
        <v>62469</v>
      </c>
      <c r="D65" s="112">
        <f>52111+2212</f>
        <v>54323</v>
      </c>
      <c r="E65" s="112">
        <f>58265+2821</f>
        <v>61086</v>
      </c>
      <c r="F65" s="112">
        <f>50081+2253</f>
        <v>52334</v>
      </c>
      <c r="G65" s="112">
        <f>57759+4862</f>
        <v>62621</v>
      </c>
      <c r="H65" s="112">
        <f>70940+4657</f>
        <v>75597</v>
      </c>
      <c r="I65" s="112">
        <f>74627+6868</f>
        <v>81495</v>
      </c>
      <c r="J65" s="112">
        <f>75332+9062</f>
        <v>84394</v>
      </c>
      <c r="K65" s="112">
        <f>56720+3932</f>
        <v>60652</v>
      </c>
      <c r="L65" s="112">
        <f>60295+2923</f>
        <v>63218</v>
      </c>
      <c r="M65" s="112">
        <f>62249+2515</f>
        <v>64764</v>
      </c>
      <c r="N65" s="112">
        <f>65696+3301</f>
        <v>68997</v>
      </c>
      <c r="O65" s="73">
        <f>AVERAGE(C65:N65)</f>
        <v>65995.833333333328</v>
      </c>
      <c r="P65" s="81">
        <f>SUM(C65:N65)</f>
        <v>791950</v>
      </c>
    </row>
    <row r="66" spans="1:16" ht="0.75" customHeight="1">
      <c r="A66" s="78" t="s">
        <v>254</v>
      </c>
      <c r="B66" s="666"/>
      <c r="C66" s="112">
        <v>12366</v>
      </c>
      <c r="D66" s="112">
        <v>13067</v>
      </c>
      <c r="E66" s="112">
        <v>13789</v>
      </c>
      <c r="F66" s="112">
        <v>11616</v>
      </c>
      <c r="G66" s="112">
        <v>10699</v>
      </c>
      <c r="H66" s="112">
        <v>12242</v>
      </c>
      <c r="I66" s="112">
        <v>12596</v>
      </c>
      <c r="J66" s="112">
        <v>14710</v>
      </c>
      <c r="K66" s="112">
        <v>13090</v>
      </c>
      <c r="L66" s="112">
        <v>9802</v>
      </c>
      <c r="M66" s="112">
        <v>10529</v>
      </c>
      <c r="N66" s="112">
        <v>9281</v>
      </c>
      <c r="O66" s="73">
        <f>AVERAGE(C66:N66)</f>
        <v>11982.25</v>
      </c>
      <c r="P66" s="81">
        <f>SUM(C66:N66)</f>
        <v>143787</v>
      </c>
    </row>
    <row r="67" spans="1:16" ht="0.75" customHeight="1" thickBot="1">
      <c r="A67" s="113" t="s">
        <v>263</v>
      </c>
      <c r="B67" s="668"/>
      <c r="C67" s="114">
        <f>111635+8007</f>
        <v>119642</v>
      </c>
      <c r="D67" s="114">
        <f>98500+5029</f>
        <v>103529</v>
      </c>
      <c r="E67" s="114">
        <f>118503+5143</f>
        <v>123646</v>
      </c>
      <c r="F67" s="114">
        <f>114125+4322</f>
        <v>118447</v>
      </c>
      <c r="G67" s="114">
        <f>118757+4892</f>
        <v>123649</v>
      </c>
      <c r="H67" s="114">
        <f>108111+2200</f>
        <v>110311</v>
      </c>
      <c r="I67" s="114">
        <v>135864</v>
      </c>
      <c r="J67" s="114">
        <v>140220</v>
      </c>
      <c r="K67" s="114">
        <v>114928</v>
      </c>
      <c r="L67" s="114">
        <v>126769</v>
      </c>
      <c r="M67" s="114">
        <v>121935</v>
      </c>
      <c r="N67" s="114">
        <v>120610</v>
      </c>
      <c r="O67" s="73">
        <f>AVERAGE(C67:N67)</f>
        <v>121629.16666666667</v>
      </c>
      <c r="P67" s="81">
        <f>SUM(C67:N67)</f>
        <v>1459550</v>
      </c>
    </row>
    <row r="68" spans="1:16" ht="0.75" customHeight="1" thickBot="1">
      <c r="A68" s="82" t="s">
        <v>264</v>
      </c>
      <c r="B68" s="667"/>
      <c r="C68" s="90">
        <f>SUM(C65+C67)</f>
        <v>182111</v>
      </c>
      <c r="D68" s="90">
        <f>SUM(D65+D67)</f>
        <v>157852</v>
      </c>
      <c r="E68" s="90">
        <f t="shared" ref="E68:N68" si="19">SUM(E65+E67)</f>
        <v>184732</v>
      </c>
      <c r="F68" s="90">
        <f t="shared" si="19"/>
        <v>170781</v>
      </c>
      <c r="G68" s="90">
        <f t="shared" si="19"/>
        <v>186270</v>
      </c>
      <c r="H68" s="90">
        <f t="shared" si="19"/>
        <v>185908</v>
      </c>
      <c r="I68" s="90">
        <f t="shared" si="19"/>
        <v>217359</v>
      </c>
      <c r="J68" s="90">
        <f t="shared" si="19"/>
        <v>224614</v>
      </c>
      <c r="K68" s="90">
        <f t="shared" si="19"/>
        <v>175580</v>
      </c>
      <c r="L68" s="90">
        <f t="shared" si="19"/>
        <v>189987</v>
      </c>
      <c r="M68" s="90">
        <f t="shared" si="19"/>
        <v>186699</v>
      </c>
      <c r="N68" s="90">
        <f t="shared" si="19"/>
        <v>189607</v>
      </c>
      <c r="O68" s="90">
        <f>SUM(O65+O67)</f>
        <v>187625</v>
      </c>
      <c r="P68" s="106">
        <f>SUM(P65+P67)</f>
        <v>2251500</v>
      </c>
    </row>
    <row r="69" spans="1:16" s="111" customFormat="1" ht="0.75" customHeight="1">
      <c r="A69" s="109"/>
      <c r="B69" s="109"/>
      <c r="C69" s="110"/>
      <c r="D69" s="110"/>
      <c r="E69" s="110"/>
      <c r="F69" s="110"/>
      <c r="G69" s="110"/>
      <c r="H69" s="110"/>
      <c r="I69" s="110"/>
      <c r="J69" s="110"/>
      <c r="K69" s="110"/>
      <c r="L69" s="110"/>
      <c r="M69" s="110"/>
      <c r="N69" s="110"/>
      <c r="O69" s="110"/>
      <c r="P69" s="110"/>
    </row>
    <row r="70" spans="1:16" ht="0.75" customHeight="1">
      <c r="A70" s="115" t="s">
        <v>265</v>
      </c>
      <c r="B70" s="115"/>
      <c r="C70" s="116"/>
      <c r="D70" s="116"/>
      <c r="E70" s="116"/>
      <c r="F70" s="116"/>
      <c r="G70" s="116"/>
      <c r="H70" s="116"/>
      <c r="I70" s="116"/>
      <c r="J70" s="116"/>
      <c r="K70" s="116"/>
      <c r="L70" s="116"/>
      <c r="M70" s="116"/>
      <c r="N70" s="116"/>
      <c r="O70" s="117"/>
      <c r="P70" s="116"/>
    </row>
    <row r="71" spans="1:16" ht="0.75" customHeight="1">
      <c r="A71" s="118" t="s">
        <v>247</v>
      </c>
      <c r="B71" s="118"/>
      <c r="C71" s="117">
        <f t="shared" ref="C71:H71" si="20">SUM(C65/C53-1)</f>
        <v>6.3555570689185492E-2</v>
      </c>
      <c r="D71" s="117">
        <f t="shared" si="20"/>
        <v>-1.9474912271032485E-3</v>
      </c>
      <c r="E71" s="117">
        <f t="shared" si="20"/>
        <v>2.4022262082376455E-2</v>
      </c>
      <c r="F71" s="117">
        <f t="shared" si="20"/>
        <v>-4.9026021224015115E-2</v>
      </c>
      <c r="G71" s="117">
        <f t="shared" si="20"/>
        <v>4.5094210517532041E-2</v>
      </c>
      <c r="H71" s="117">
        <f t="shared" si="20"/>
        <v>1.6662632131041688E-2</v>
      </c>
      <c r="I71" s="117">
        <f t="shared" ref="I71:N71" si="21">SUM(I65/I53-1)</f>
        <v>-1.6307365473287816E-2</v>
      </c>
      <c r="J71" s="117">
        <f t="shared" si="21"/>
        <v>1.2076222912444479E-2</v>
      </c>
      <c r="K71" s="117">
        <f t="shared" si="21"/>
        <v>-6.5192465192465132E-3</v>
      </c>
      <c r="L71" s="117">
        <f t="shared" si="21"/>
        <v>4.1568498228849116E-2</v>
      </c>
      <c r="M71" s="117">
        <f t="shared" si="21"/>
        <v>9.637554806927251E-2</v>
      </c>
      <c r="N71" s="117">
        <f t="shared" si="21"/>
        <v>4.039627250520228E-2</v>
      </c>
      <c r="O71" s="117"/>
      <c r="P71" s="117">
        <f>(P65-(SUM(C53:N53)))/(SUM(C53:N53))</f>
        <v>2.1220022334150875E-2</v>
      </c>
    </row>
    <row r="72" spans="1:16" ht="0.75" customHeight="1">
      <c r="A72" s="118" t="s">
        <v>248</v>
      </c>
      <c r="B72" s="118"/>
      <c r="C72" s="117">
        <f t="shared" ref="C72:H73" si="22">SUM(C67/C55-1)</f>
        <v>5.456981428105534E-2</v>
      </c>
      <c r="D72" s="117">
        <f t="shared" si="22"/>
        <v>5.9044365109403918E-2</v>
      </c>
      <c r="E72" s="117">
        <f t="shared" si="22"/>
        <v>8.9632077550121148E-2</v>
      </c>
      <c r="F72" s="117">
        <f t="shared" si="22"/>
        <v>7.1453124434634807E-2</v>
      </c>
      <c r="G72" s="117">
        <f t="shared" si="22"/>
        <v>8.9408903886309288E-2</v>
      </c>
      <c r="H72" s="117">
        <f t="shared" si="22"/>
        <v>-3.309754836221479E-2</v>
      </c>
      <c r="I72" s="117">
        <f>SUM(I67/I55-1)</f>
        <v>8.4335618570277049E-2</v>
      </c>
      <c r="J72" s="117">
        <f t="shared" ref="J72:N73" si="23">SUM(J67/J55-1)</f>
        <v>8.1535530547863777E-2</v>
      </c>
      <c r="K72" s="117">
        <f t="shared" si="23"/>
        <v>7.4364559281314024E-2</v>
      </c>
      <c r="L72" s="117">
        <f t="shared" si="23"/>
        <v>8.6085622981297183E-2</v>
      </c>
      <c r="M72" s="117">
        <f t="shared" si="23"/>
        <v>0.11438598415266088</v>
      </c>
      <c r="N72" s="117">
        <f t="shared" si="23"/>
        <v>0.18051817122945768</v>
      </c>
      <c r="O72" s="117"/>
      <c r="P72" s="117">
        <f>(P67-(SUM(C55:N55)))/(SUM(C55:N55))</f>
        <v>7.8715046432306396E-2</v>
      </c>
    </row>
    <row r="73" spans="1:16" ht="0.75" customHeight="1">
      <c r="A73" s="119" t="s">
        <v>169</v>
      </c>
      <c r="B73" s="119"/>
      <c r="C73" s="117">
        <f t="shared" si="22"/>
        <v>5.7635013096226873E-2</v>
      </c>
      <c r="D73" s="117">
        <f t="shared" si="22"/>
        <v>3.7230757099864675E-2</v>
      </c>
      <c r="E73" s="117">
        <f t="shared" si="22"/>
        <v>6.7025553347812128E-2</v>
      </c>
      <c r="F73" s="117">
        <f t="shared" si="22"/>
        <v>3.1410798405604456E-2</v>
      </c>
      <c r="G73" s="117">
        <f t="shared" si="22"/>
        <v>7.4097566601314835E-2</v>
      </c>
      <c r="H73" s="117">
        <f t="shared" si="22"/>
        <v>-1.3462814083684882E-2</v>
      </c>
      <c r="I73" s="117">
        <f>SUM(I68/I56-1)</f>
        <v>4.4277251697150577E-2</v>
      </c>
      <c r="J73" s="117">
        <f t="shared" si="23"/>
        <v>5.4347621998160012E-2</v>
      </c>
      <c r="K73" s="117">
        <f t="shared" si="23"/>
        <v>4.4975985430566023E-2</v>
      </c>
      <c r="L73" s="117">
        <f t="shared" si="23"/>
        <v>7.0856067096541464E-2</v>
      </c>
      <c r="M73" s="117">
        <f t="shared" si="23"/>
        <v>0.10807169564959351</v>
      </c>
      <c r="N73" s="117">
        <f t="shared" si="23"/>
        <v>0.12536427575155051</v>
      </c>
      <c r="O73" s="117"/>
      <c r="P73" s="117">
        <f>(P68-(SUM(C56:N56)))/(SUM(C56:N56))</f>
        <v>5.7767792838186192E-2</v>
      </c>
    </row>
    <row r="74" spans="1:16" ht="0.75" customHeight="1">
      <c r="A74" s="109"/>
      <c r="B74" s="109"/>
      <c r="C74" s="120"/>
      <c r="D74" s="120"/>
      <c r="E74" s="120"/>
      <c r="F74" s="120"/>
      <c r="G74" s="120"/>
      <c r="H74" s="120"/>
      <c r="I74" s="120"/>
      <c r="J74" s="120"/>
      <c r="K74" s="120"/>
      <c r="L74" s="120"/>
      <c r="M74" s="120"/>
      <c r="N74" s="120"/>
      <c r="O74" s="110"/>
      <c r="P74" s="110"/>
    </row>
    <row r="75" spans="1:16" ht="0.75" customHeight="1">
      <c r="G75" s="121"/>
      <c r="I75" s="122"/>
      <c r="J75" s="121"/>
    </row>
    <row r="76" spans="1:16" ht="0.75" customHeight="1">
      <c r="A76" s="3920" t="s">
        <v>266</v>
      </c>
      <c r="B76" s="3921"/>
      <c r="C76" s="3921"/>
      <c r="D76" s="3921"/>
      <c r="E76" s="3921"/>
      <c r="F76" s="3921"/>
      <c r="G76" s="3921"/>
      <c r="H76" s="3921"/>
      <c r="I76" s="3921"/>
      <c r="J76" s="3921"/>
      <c r="K76" s="3921"/>
      <c r="L76" s="3921"/>
      <c r="M76" s="3921"/>
      <c r="N76" s="3921"/>
      <c r="O76" s="3921"/>
      <c r="P76" s="3922"/>
    </row>
    <row r="77" spans="1:16" ht="0.75" customHeight="1">
      <c r="A77" s="75" t="s">
        <v>240</v>
      </c>
      <c r="B77" s="665"/>
      <c r="C77" s="76" t="s">
        <v>241</v>
      </c>
      <c r="D77" s="76" t="s">
        <v>230</v>
      </c>
      <c r="E77" s="76" t="s">
        <v>231</v>
      </c>
      <c r="F77" s="76" t="s">
        <v>242</v>
      </c>
      <c r="G77" s="76" t="s">
        <v>232</v>
      </c>
      <c r="H77" s="76" t="s">
        <v>233</v>
      </c>
      <c r="I77" s="76" t="s">
        <v>243</v>
      </c>
      <c r="J77" s="76" t="s">
        <v>244</v>
      </c>
      <c r="K77" s="76" t="s">
        <v>234</v>
      </c>
      <c r="L77" s="76" t="s">
        <v>235</v>
      </c>
      <c r="M77" s="76" t="s">
        <v>236</v>
      </c>
      <c r="N77" s="76" t="s">
        <v>245</v>
      </c>
      <c r="O77" s="76" t="s">
        <v>246</v>
      </c>
      <c r="P77" s="77" t="s">
        <v>169</v>
      </c>
    </row>
    <row r="78" spans="1:16" ht="0.75" customHeight="1">
      <c r="A78" s="78" t="s">
        <v>247</v>
      </c>
      <c r="B78" s="666"/>
      <c r="C78" s="112">
        <v>61667</v>
      </c>
      <c r="D78" s="112">
        <v>57923</v>
      </c>
      <c r="E78" s="112">
        <v>56039</v>
      </c>
      <c r="F78" s="112">
        <v>61932</v>
      </c>
      <c r="G78" s="112">
        <v>61906</v>
      </c>
      <c r="H78" s="112">
        <v>76440</v>
      </c>
      <c r="I78" s="112">
        <v>82609</v>
      </c>
      <c r="J78" s="112">
        <v>84240</v>
      </c>
      <c r="K78" s="112">
        <v>64530</v>
      </c>
      <c r="L78" s="112">
        <v>65378</v>
      </c>
      <c r="M78" s="112">
        <v>70283</v>
      </c>
      <c r="N78" s="112">
        <v>75928</v>
      </c>
      <c r="O78" s="73">
        <f>AVERAGE(C78:N78)</f>
        <v>68239.583333333328</v>
      </c>
      <c r="P78" s="81">
        <f>SUM(C78:N78)</f>
        <v>818875</v>
      </c>
    </row>
    <row r="79" spans="1:16" ht="0.75" customHeight="1">
      <c r="A79" s="78" t="s">
        <v>254</v>
      </c>
      <c r="B79" s="666"/>
      <c r="C79" s="112">
        <v>9299</v>
      </c>
      <c r="D79" s="112">
        <v>8798</v>
      </c>
      <c r="E79" s="112">
        <v>9808</v>
      </c>
      <c r="F79" s="112">
        <v>9281</v>
      </c>
      <c r="G79" s="112">
        <v>8655</v>
      </c>
      <c r="H79" s="112">
        <v>11318</v>
      </c>
      <c r="I79" s="112">
        <v>11743</v>
      </c>
      <c r="J79" s="112">
        <v>11783</v>
      </c>
      <c r="K79" s="112">
        <v>9136</v>
      </c>
      <c r="L79" s="112">
        <v>8645</v>
      </c>
      <c r="M79" s="112">
        <v>9335</v>
      </c>
      <c r="N79" s="112">
        <v>7867</v>
      </c>
      <c r="O79" s="73">
        <f>AVERAGE(C79:N79)</f>
        <v>9639</v>
      </c>
      <c r="P79" s="81">
        <f>SUM(C79:N79)</f>
        <v>115668</v>
      </c>
    </row>
    <row r="80" spans="1:16" ht="0.75" customHeight="1" thickBot="1">
      <c r="A80" s="113" t="s">
        <v>263</v>
      </c>
      <c r="B80" s="668"/>
      <c r="C80" s="114">
        <v>120475</v>
      </c>
      <c r="D80" s="114">
        <v>113239</v>
      </c>
      <c r="E80" s="114">
        <v>124746</v>
      </c>
      <c r="F80" s="114">
        <v>128488</v>
      </c>
      <c r="G80" s="114">
        <v>124971</v>
      </c>
      <c r="H80" s="114">
        <v>122153</v>
      </c>
      <c r="I80" s="114">
        <v>140710</v>
      </c>
      <c r="J80" s="114">
        <v>144489</v>
      </c>
      <c r="K80" s="114">
        <v>126553</v>
      </c>
      <c r="L80" s="114">
        <v>132533</v>
      </c>
      <c r="M80" s="114">
        <v>125655</v>
      </c>
      <c r="N80" s="114">
        <v>129201</v>
      </c>
      <c r="O80" s="73">
        <f>AVERAGE(C80:N80)</f>
        <v>127767.75</v>
      </c>
      <c r="P80" s="81">
        <f>SUM(C80:N80)</f>
        <v>1533213</v>
      </c>
    </row>
    <row r="81" spans="1:16" ht="0.75" customHeight="1" thickBot="1">
      <c r="A81" s="82" t="s">
        <v>267</v>
      </c>
      <c r="B81" s="667"/>
      <c r="C81" s="90">
        <f t="shared" ref="C81:N81" si="24">SUM(C78+C80)</f>
        <v>182142</v>
      </c>
      <c r="D81" s="90">
        <f t="shared" si="24"/>
        <v>171162</v>
      </c>
      <c r="E81" s="90">
        <f t="shared" si="24"/>
        <v>180785</v>
      </c>
      <c r="F81" s="90">
        <f t="shared" si="24"/>
        <v>190420</v>
      </c>
      <c r="G81" s="90">
        <f t="shared" si="24"/>
        <v>186877</v>
      </c>
      <c r="H81" s="90">
        <f t="shared" si="24"/>
        <v>198593</v>
      </c>
      <c r="I81" s="90">
        <f t="shared" si="24"/>
        <v>223319</v>
      </c>
      <c r="J81" s="90">
        <f t="shared" si="24"/>
        <v>228729</v>
      </c>
      <c r="K81" s="90">
        <f t="shared" si="24"/>
        <v>191083</v>
      </c>
      <c r="L81" s="90">
        <f t="shared" si="24"/>
        <v>197911</v>
      </c>
      <c r="M81" s="90">
        <f t="shared" si="24"/>
        <v>195938</v>
      </c>
      <c r="N81" s="90">
        <f t="shared" si="24"/>
        <v>205129</v>
      </c>
      <c r="O81" s="90">
        <f>SUM(O78+O80)</f>
        <v>196007.33333333331</v>
      </c>
      <c r="P81" s="106">
        <f>SUM(P78+P80)</f>
        <v>2352088</v>
      </c>
    </row>
    <row r="82" spans="1:16" ht="0.75" customHeight="1">
      <c r="A82" s="109"/>
      <c r="B82" s="109"/>
      <c r="C82" s="110"/>
      <c r="D82" s="110"/>
      <c r="E82" s="110"/>
      <c r="F82" s="110"/>
      <c r="G82" s="110"/>
      <c r="H82" s="110"/>
      <c r="I82" s="110"/>
      <c r="J82" s="110"/>
      <c r="K82" s="110"/>
      <c r="L82" s="110"/>
      <c r="M82" s="110"/>
      <c r="N82" s="110"/>
      <c r="O82" s="110"/>
      <c r="P82" s="110"/>
    </row>
    <row r="83" spans="1:16" ht="0.75" customHeight="1">
      <c r="A83" s="115" t="s">
        <v>268</v>
      </c>
      <c r="B83" s="115"/>
      <c r="C83" s="116"/>
      <c r="D83" s="116"/>
      <c r="E83" s="116"/>
      <c r="F83" s="116"/>
      <c r="G83" s="116"/>
      <c r="H83" s="116"/>
      <c r="I83" s="116"/>
      <c r="J83" s="116"/>
      <c r="K83" s="116"/>
      <c r="L83" s="116"/>
      <c r="M83" s="116"/>
      <c r="N83" s="116"/>
      <c r="O83" s="117"/>
      <c r="P83" s="116"/>
    </row>
    <row r="84" spans="1:16" ht="0.75" customHeight="1">
      <c r="A84" s="118" t="s">
        <v>247</v>
      </c>
      <c r="B84" s="118"/>
      <c r="C84" s="117">
        <f t="shared" ref="C84:N84" si="25">SUM(C78/C65-1)</f>
        <v>-1.2838367830443898E-2</v>
      </c>
      <c r="D84" s="117">
        <f t="shared" si="25"/>
        <v>6.6270272260368523E-2</v>
      </c>
      <c r="E84" s="117">
        <f>SUM(E78/E65-1)</f>
        <v>-8.2621222538715955E-2</v>
      </c>
      <c r="F84" s="117">
        <f>SUM(F78/F65-1)</f>
        <v>0.18339893759315173</v>
      </c>
      <c r="G84" s="117">
        <f t="shared" si="25"/>
        <v>-1.1417894955366381E-2</v>
      </c>
      <c r="H84" s="117">
        <f t="shared" si="25"/>
        <v>1.1151236160165112E-2</v>
      </c>
      <c r="I84" s="117">
        <f t="shared" si="25"/>
        <v>1.3669550279158171E-2</v>
      </c>
      <c r="J84" s="117">
        <f t="shared" si="25"/>
        <v>-1.8247742730526095E-3</v>
      </c>
      <c r="K84" s="117">
        <f t="shared" si="25"/>
        <v>6.3938534590780138E-2</v>
      </c>
      <c r="L84" s="117">
        <f t="shared" si="25"/>
        <v>3.4167483944446131E-2</v>
      </c>
      <c r="M84" s="117">
        <f t="shared" si="25"/>
        <v>8.5217095917484942E-2</v>
      </c>
      <c r="N84" s="117">
        <f t="shared" si="25"/>
        <v>0.10045364291201064</v>
      </c>
      <c r="O84" s="117"/>
      <c r="P84" s="117">
        <f>(P78-(SUM(C65:N65)))/(SUM(C65:N65))</f>
        <v>3.399835848222741E-2</v>
      </c>
    </row>
    <row r="85" spans="1:16" ht="0.75" customHeight="1">
      <c r="A85" s="118" t="s">
        <v>248</v>
      </c>
      <c r="B85" s="118"/>
      <c r="C85" s="117">
        <f t="shared" ref="C85:H86" si="26">SUM(C80/C67-1)</f>
        <v>6.9624379398538494E-3</v>
      </c>
      <c r="D85" s="117">
        <f t="shared" si="26"/>
        <v>9.3790145756261545E-2</v>
      </c>
      <c r="E85" s="117">
        <f t="shared" si="26"/>
        <v>8.8963654303415574E-3</v>
      </c>
      <c r="F85" s="117">
        <f t="shared" si="26"/>
        <v>8.4772092159362433E-2</v>
      </c>
      <c r="G85" s="117">
        <f t="shared" si="26"/>
        <v>1.0691554319080643E-2</v>
      </c>
      <c r="H85" s="117">
        <f t="shared" si="26"/>
        <v>0.10735103480160646</v>
      </c>
      <c r="I85" s="117">
        <f>SUM(I80/I67-1)</f>
        <v>3.5668020962138502E-2</v>
      </c>
      <c r="J85" s="117">
        <f t="shared" ref="J85:M86" si="27">SUM(J80/J67-1)</f>
        <v>3.0445014976465457E-2</v>
      </c>
      <c r="K85" s="117">
        <f t="shared" si="27"/>
        <v>0.10115028539607396</v>
      </c>
      <c r="L85" s="117">
        <f t="shared" si="27"/>
        <v>4.546852937232293E-2</v>
      </c>
      <c r="M85" s="117">
        <f t="shared" si="27"/>
        <v>3.0508057571656977E-2</v>
      </c>
      <c r="N85" s="117">
        <f>SUM(N80/N67-1)</f>
        <v>7.1229582953320714E-2</v>
      </c>
      <c r="O85" s="117"/>
      <c r="P85" s="117">
        <f>(P80-(SUM(C67:N67)))/(SUM(C67:N67))</f>
        <v>5.0469665307800352E-2</v>
      </c>
    </row>
    <row r="86" spans="1:16" ht="0.75" customHeight="1">
      <c r="A86" s="119" t="s">
        <v>169</v>
      </c>
      <c r="B86" s="119"/>
      <c r="C86" s="117">
        <f t="shared" si="26"/>
        <v>1.7022585126658107E-4</v>
      </c>
      <c r="D86" s="117">
        <f t="shared" si="26"/>
        <v>8.4319489141727599E-2</v>
      </c>
      <c r="E86" s="117">
        <f t="shared" si="26"/>
        <v>-2.136608708832255E-2</v>
      </c>
      <c r="F86" s="117">
        <f t="shared" si="26"/>
        <v>0.11499522780637195</v>
      </c>
      <c r="G86" s="117">
        <f t="shared" si="26"/>
        <v>3.2587104740431361E-3</v>
      </c>
      <c r="H86" s="117">
        <f t="shared" si="26"/>
        <v>6.8232674225961132E-2</v>
      </c>
      <c r="I86" s="117">
        <f>SUM(I81/I68-1)</f>
        <v>2.7420074623089041E-2</v>
      </c>
      <c r="J86" s="117">
        <f t="shared" si="27"/>
        <v>1.8320318412921699E-2</v>
      </c>
      <c r="K86" s="117">
        <f t="shared" si="27"/>
        <v>8.8295933477616995E-2</v>
      </c>
      <c r="L86" s="117">
        <f t="shared" si="27"/>
        <v>4.1708116871154388E-2</v>
      </c>
      <c r="M86" s="117">
        <f t="shared" si="27"/>
        <v>4.9486071162673673E-2</v>
      </c>
      <c r="N86" s="117">
        <f>SUM(N81/N68-1)</f>
        <v>8.1864066200087571E-2</v>
      </c>
      <c r="O86" s="117"/>
      <c r="P86" s="117">
        <f>(P81-(SUM(C68:N68)))/(SUM(C68:N68))</f>
        <v>4.4675993781923162E-2</v>
      </c>
    </row>
    <row r="87" spans="1:16" ht="0.75" customHeight="1"/>
    <row r="88" spans="1:16" ht="0.75" customHeight="1"/>
    <row r="89" spans="1:16" ht="0.75" customHeight="1">
      <c r="A89" s="3920" t="s">
        <v>269</v>
      </c>
      <c r="B89" s="3921"/>
      <c r="C89" s="3921"/>
      <c r="D89" s="3921"/>
      <c r="E89" s="3921"/>
      <c r="F89" s="3921"/>
      <c r="G89" s="3921"/>
      <c r="H89" s="3921"/>
      <c r="I89" s="3921"/>
      <c r="J89" s="3921"/>
      <c r="K89" s="3921"/>
      <c r="L89" s="3921"/>
      <c r="M89" s="3921"/>
      <c r="N89" s="3921"/>
      <c r="O89" s="3921"/>
      <c r="P89" s="3922"/>
    </row>
    <row r="90" spans="1:16" ht="0.75" customHeight="1">
      <c r="A90" s="75" t="s">
        <v>240</v>
      </c>
      <c r="B90" s="665"/>
      <c r="C90" s="76" t="s">
        <v>241</v>
      </c>
      <c r="D90" s="76" t="s">
        <v>230</v>
      </c>
      <c r="E90" s="76" t="s">
        <v>231</v>
      </c>
      <c r="F90" s="76" t="s">
        <v>242</v>
      </c>
      <c r="G90" s="76" t="s">
        <v>232</v>
      </c>
      <c r="H90" s="76" t="s">
        <v>233</v>
      </c>
      <c r="I90" s="76" t="s">
        <v>243</v>
      </c>
      <c r="J90" s="76" t="s">
        <v>244</v>
      </c>
      <c r="K90" s="76" t="s">
        <v>234</v>
      </c>
      <c r="L90" s="76" t="s">
        <v>235</v>
      </c>
      <c r="M90" s="76" t="s">
        <v>236</v>
      </c>
      <c r="N90" s="76" t="s">
        <v>245</v>
      </c>
      <c r="O90" s="76" t="s">
        <v>246</v>
      </c>
      <c r="P90" s="77" t="s">
        <v>169</v>
      </c>
    </row>
    <row r="91" spans="1:16" ht="0.75" customHeight="1">
      <c r="A91" s="78" t="s">
        <v>270</v>
      </c>
      <c r="B91" s="666"/>
      <c r="C91" s="112">
        <f>64036+1043</f>
        <v>65079</v>
      </c>
      <c r="D91" s="112">
        <f>60316+1792</f>
        <v>62108</v>
      </c>
      <c r="E91" s="112">
        <f>64490+1599</f>
        <v>66089</v>
      </c>
      <c r="F91" s="112">
        <f>59558+3213</f>
        <v>62771</v>
      </c>
      <c r="G91" s="112">
        <f>68412+3062</f>
        <v>71474</v>
      </c>
      <c r="H91" s="112">
        <f>75604+2929</f>
        <v>78533</v>
      </c>
      <c r="I91" s="112">
        <f>80728+4007</f>
        <v>84735</v>
      </c>
      <c r="J91" s="112">
        <f>84554+7582</f>
        <v>92136</v>
      </c>
      <c r="K91" s="112">
        <f>66201+1597</f>
        <v>67798</v>
      </c>
      <c r="L91" s="112">
        <f>67121+658</f>
        <v>67779</v>
      </c>
      <c r="M91" s="112">
        <f>72844+35</f>
        <v>72879</v>
      </c>
      <c r="N91" s="112">
        <f>73397+692</f>
        <v>74089</v>
      </c>
      <c r="O91" s="73">
        <f>AVERAGE(C91:N91)</f>
        <v>72122.5</v>
      </c>
      <c r="P91" s="81">
        <f>SUM(C91:N91)</f>
        <v>865470</v>
      </c>
    </row>
    <row r="92" spans="1:16" ht="0.75" customHeight="1">
      <c r="A92" s="78" t="s">
        <v>254</v>
      </c>
      <c r="B92" s="666"/>
      <c r="C92" s="112">
        <v>11769</v>
      </c>
      <c r="D92" s="112">
        <v>9165</v>
      </c>
      <c r="E92" s="112">
        <v>10662</v>
      </c>
      <c r="F92" s="112">
        <v>8060</v>
      </c>
      <c r="G92" s="112">
        <v>8046</v>
      </c>
      <c r="H92" s="112">
        <v>9586</v>
      </c>
      <c r="I92" s="112">
        <v>9665</v>
      </c>
      <c r="J92" s="112">
        <v>8940</v>
      </c>
      <c r="K92" s="112">
        <v>9228</v>
      </c>
      <c r="L92" s="112">
        <v>8821</v>
      </c>
      <c r="M92" s="112">
        <v>7199</v>
      </c>
      <c r="N92" s="112">
        <v>10023</v>
      </c>
      <c r="O92" s="73">
        <f>AVERAGE(C92:N92)</f>
        <v>9263.6666666666661</v>
      </c>
      <c r="P92" s="81">
        <f>SUM(C92:N92)</f>
        <v>111164</v>
      </c>
    </row>
    <row r="93" spans="1:16" ht="0.75" customHeight="1" thickBot="1">
      <c r="A93" s="113" t="s">
        <v>263</v>
      </c>
      <c r="B93" s="668"/>
      <c r="C93" s="114">
        <v>129890</v>
      </c>
      <c r="D93" s="114">
        <v>124766</v>
      </c>
      <c r="E93" s="114">
        <v>135618</v>
      </c>
      <c r="F93" s="114">
        <v>134178</v>
      </c>
      <c r="G93" s="114">
        <v>135212</v>
      </c>
      <c r="H93" s="114">
        <v>134654</v>
      </c>
      <c r="I93" s="114">
        <v>149272</v>
      </c>
      <c r="J93" s="114">
        <v>155081</v>
      </c>
      <c r="K93" s="114">
        <v>138378</v>
      </c>
      <c r="L93" s="114">
        <v>143352</v>
      </c>
      <c r="M93" s="114">
        <v>119713</v>
      </c>
      <c r="N93" s="114">
        <v>142814</v>
      </c>
      <c r="O93" s="73">
        <f>AVERAGE(C93:N93)</f>
        <v>136910.66666666666</v>
      </c>
      <c r="P93" s="81">
        <f>SUM(C93:N93)</f>
        <v>1642928</v>
      </c>
    </row>
    <row r="94" spans="1:16" ht="0.75" customHeight="1" thickBot="1">
      <c r="A94" s="82" t="s">
        <v>271</v>
      </c>
      <c r="B94" s="667"/>
      <c r="C94" s="90">
        <f t="shared" ref="C94:K94" si="28">SUM(C91+C93)</f>
        <v>194969</v>
      </c>
      <c r="D94" s="90">
        <f t="shared" si="28"/>
        <v>186874</v>
      </c>
      <c r="E94" s="90">
        <f t="shared" si="28"/>
        <v>201707</v>
      </c>
      <c r="F94" s="90">
        <f t="shared" si="28"/>
        <v>196949</v>
      </c>
      <c r="G94" s="90">
        <f t="shared" si="28"/>
        <v>206686</v>
      </c>
      <c r="H94" s="90">
        <f t="shared" si="28"/>
        <v>213187</v>
      </c>
      <c r="I94" s="90">
        <f t="shared" si="28"/>
        <v>234007</v>
      </c>
      <c r="J94" s="90">
        <f t="shared" si="28"/>
        <v>247217</v>
      </c>
      <c r="K94" s="90">
        <f t="shared" si="28"/>
        <v>206176</v>
      </c>
      <c r="L94" s="90">
        <f>SUM(L91+L93)</f>
        <v>211131</v>
      </c>
      <c r="M94" s="90">
        <f>SUM(M91+M93)</f>
        <v>192592</v>
      </c>
      <c r="N94" s="90">
        <f>SUM(N91+N93)</f>
        <v>216903</v>
      </c>
      <c r="O94" s="90">
        <f>SUM(O91+O93)</f>
        <v>209033.16666666666</v>
      </c>
      <c r="P94" s="106">
        <f>SUM(P91+P93)</f>
        <v>2508398</v>
      </c>
    </row>
    <row r="95" spans="1:16" ht="0.75" customHeight="1">
      <c r="A95" s="109"/>
      <c r="B95" s="109"/>
      <c r="C95" s="110"/>
      <c r="D95" s="110"/>
      <c r="E95" s="110"/>
      <c r="F95" s="110"/>
      <c r="G95" s="110"/>
      <c r="H95" s="110"/>
      <c r="I95" s="110"/>
      <c r="J95" s="110"/>
      <c r="K95" s="110"/>
      <c r="L95" s="110"/>
      <c r="M95" s="110"/>
      <c r="N95" s="110"/>
      <c r="O95" s="110"/>
      <c r="P95" s="110"/>
    </row>
    <row r="96" spans="1:16" ht="0.75" customHeight="1">
      <c r="A96" s="115" t="s">
        <v>272</v>
      </c>
      <c r="B96" s="115"/>
      <c r="C96" s="116"/>
      <c r="D96" s="116"/>
      <c r="E96" s="116"/>
      <c r="F96" s="116"/>
      <c r="G96" s="116"/>
      <c r="H96" s="116"/>
      <c r="I96" s="116"/>
      <c r="J96" s="116"/>
      <c r="K96" s="116"/>
      <c r="L96" s="116"/>
      <c r="M96" s="116"/>
      <c r="N96" s="116"/>
      <c r="O96" s="117"/>
      <c r="P96" s="116"/>
    </row>
    <row r="97" spans="1:26" ht="0.75" customHeight="1">
      <c r="A97" s="118" t="s">
        <v>247</v>
      </c>
      <c r="B97" s="118"/>
      <c r="C97" s="117">
        <f t="shared" ref="C97:H97" si="29">SUM(C91/C78-1)</f>
        <v>5.5329430651726241E-2</v>
      </c>
      <c r="D97" s="117">
        <f t="shared" si="29"/>
        <v>7.2251091966921699E-2</v>
      </c>
      <c r="E97" s="117">
        <f t="shared" si="29"/>
        <v>0.17933938864005428</v>
      </c>
      <c r="F97" s="117">
        <f t="shared" si="29"/>
        <v>1.354711619195248E-2</v>
      </c>
      <c r="G97" s="117">
        <f t="shared" si="29"/>
        <v>0.15455690886182283</v>
      </c>
      <c r="H97" s="117">
        <f t="shared" si="29"/>
        <v>2.7380952380952284E-2</v>
      </c>
      <c r="I97" s="117">
        <f t="shared" ref="I97:N97" si="30">SUM(I91/I78-1)</f>
        <v>2.573569465796699E-2</v>
      </c>
      <c r="J97" s="117">
        <f t="shared" si="30"/>
        <v>9.3732193732193769E-2</v>
      </c>
      <c r="K97" s="117">
        <f t="shared" si="30"/>
        <v>5.0643111730977797E-2</v>
      </c>
      <c r="L97" s="117">
        <f t="shared" si="30"/>
        <v>3.6724892165560297E-2</v>
      </c>
      <c r="M97" s="117">
        <f t="shared" si="30"/>
        <v>3.6936385754734458E-2</v>
      </c>
      <c r="N97" s="117">
        <f t="shared" si="30"/>
        <v>-2.4220313981666797E-2</v>
      </c>
      <c r="O97" s="117"/>
      <c r="P97" s="117">
        <f>(P91-(SUM(C78:N78)))/(SUM(C78:N78))</f>
        <v>5.6901236452450009E-2</v>
      </c>
    </row>
    <row r="98" spans="1:26" ht="0.75" customHeight="1">
      <c r="A98" s="118" t="s">
        <v>248</v>
      </c>
      <c r="B98" s="118"/>
      <c r="C98" s="117">
        <f t="shared" ref="C98:M99" si="31">SUM(C93/C80-1)</f>
        <v>7.814899356713001E-2</v>
      </c>
      <c r="D98" s="117">
        <f t="shared" si="31"/>
        <v>0.10179355169155513</v>
      </c>
      <c r="E98" s="117">
        <f t="shared" si="31"/>
        <v>8.71530950892212E-2</v>
      </c>
      <c r="F98" s="117">
        <f t="shared" si="31"/>
        <v>4.4284291140028742E-2</v>
      </c>
      <c r="G98" s="117">
        <f t="shared" si="31"/>
        <v>8.1947011706716033E-2</v>
      </c>
      <c r="H98" s="117">
        <f t="shared" si="31"/>
        <v>0.10233887010552345</v>
      </c>
      <c r="I98" s="117">
        <f>SUM(I93/I80-1)</f>
        <v>6.0848553763058755E-2</v>
      </c>
      <c r="J98" s="117">
        <f t="shared" si="31"/>
        <v>7.3306618496909781E-2</v>
      </c>
      <c r="K98" s="117">
        <f t="shared" si="31"/>
        <v>9.3439112466713548E-2</v>
      </c>
      <c r="L98" s="117">
        <f t="shared" si="31"/>
        <v>8.1632499075701803E-2</v>
      </c>
      <c r="M98" s="117">
        <f t="shared" si="31"/>
        <v>-4.728820978074888E-2</v>
      </c>
      <c r="N98" s="117">
        <f>SUM(N93/N80-1)</f>
        <v>0.10536296158698466</v>
      </c>
      <c r="O98" s="117"/>
      <c r="P98" s="123">
        <f>(P93-(SUM(C80:N80)))/(SUM(C80:N80))</f>
        <v>7.1558876685757292E-2</v>
      </c>
    </row>
    <row r="99" spans="1:26" ht="0.75" customHeight="1">
      <c r="A99" s="119" t="s">
        <v>169</v>
      </c>
      <c r="B99" s="119"/>
      <c r="C99" s="117">
        <f t="shared" si="31"/>
        <v>7.042307650075208E-2</v>
      </c>
      <c r="D99" s="117">
        <f t="shared" si="31"/>
        <v>9.1796076231873913E-2</v>
      </c>
      <c r="E99" s="117">
        <f t="shared" si="31"/>
        <v>0.11572862792820193</v>
      </c>
      <c r="F99" s="117">
        <f t="shared" si="31"/>
        <v>3.4287364772607853E-2</v>
      </c>
      <c r="G99" s="117">
        <f t="shared" si="31"/>
        <v>0.10600020334230531</v>
      </c>
      <c r="H99" s="117">
        <f t="shared" si="31"/>
        <v>7.3486980910706823E-2</v>
      </c>
      <c r="I99" s="117">
        <f>SUM(I94/I81-1)</f>
        <v>4.7859788016245908E-2</v>
      </c>
      <c r="J99" s="117">
        <f t="shared" si="31"/>
        <v>8.0829278316260744E-2</v>
      </c>
      <c r="K99" s="117">
        <f t="shared" si="31"/>
        <v>7.8986618380494367E-2</v>
      </c>
      <c r="L99" s="117">
        <f t="shared" si="31"/>
        <v>6.6797701997362458E-2</v>
      </c>
      <c r="M99" s="117">
        <f t="shared" si="31"/>
        <v>-1.7076830425951095E-2</v>
      </c>
      <c r="N99" s="117">
        <f>SUM(N94/N81-1)</f>
        <v>5.7398027582643119E-2</v>
      </c>
      <c r="O99" s="117"/>
      <c r="P99" s="117">
        <f>(P94-(SUM(C81:N81)))/(SUM(C81:N81))</f>
        <v>6.645584689008234E-2</v>
      </c>
    </row>
    <row r="100" spans="1:26" ht="0.75" customHeight="1"/>
    <row r="101" spans="1:26" ht="0.75" customHeight="1">
      <c r="A101" s="3920" t="s">
        <v>273</v>
      </c>
      <c r="B101" s="3921"/>
      <c r="C101" s="3921"/>
      <c r="D101" s="3921"/>
      <c r="E101" s="3921"/>
      <c r="F101" s="3921"/>
      <c r="G101" s="3921"/>
      <c r="H101" s="3921"/>
      <c r="I101" s="3921"/>
      <c r="J101" s="3921"/>
      <c r="K101" s="3921"/>
      <c r="L101" s="3921"/>
      <c r="M101" s="3921"/>
      <c r="N101" s="3921"/>
      <c r="O101" s="3921"/>
      <c r="P101" s="3922"/>
    </row>
    <row r="102" spans="1:26" ht="0.75" customHeight="1">
      <c r="A102" s="75" t="s">
        <v>240</v>
      </c>
      <c r="B102" s="665"/>
      <c r="C102" s="76" t="s">
        <v>241</v>
      </c>
      <c r="D102" s="76" t="s">
        <v>230</v>
      </c>
      <c r="E102" s="76" t="s">
        <v>231</v>
      </c>
      <c r="F102" s="76" t="s">
        <v>242</v>
      </c>
      <c r="G102" s="76" t="s">
        <v>232</v>
      </c>
      <c r="H102" s="76" t="s">
        <v>233</v>
      </c>
      <c r="I102" s="76" t="s">
        <v>243</v>
      </c>
      <c r="J102" s="76" t="s">
        <v>244</v>
      </c>
      <c r="K102" s="76" t="s">
        <v>234</v>
      </c>
      <c r="L102" s="76" t="s">
        <v>235</v>
      </c>
      <c r="M102" s="76" t="s">
        <v>236</v>
      </c>
      <c r="N102" s="76" t="s">
        <v>245</v>
      </c>
      <c r="O102" s="76" t="s">
        <v>246</v>
      </c>
      <c r="P102" s="77" t="s">
        <v>169</v>
      </c>
    </row>
    <row r="103" spans="1:26" ht="0.75" customHeight="1">
      <c r="A103" s="78" t="s">
        <v>247</v>
      </c>
      <c r="B103" s="666"/>
      <c r="C103" s="112">
        <f>58730+293</f>
        <v>59023</v>
      </c>
      <c r="D103" s="112">
        <f>57940+343</f>
        <v>58283</v>
      </c>
      <c r="E103" s="112">
        <f>65875+84</f>
        <v>65959</v>
      </c>
      <c r="F103" s="112">
        <f>61145+2116</f>
        <v>63261</v>
      </c>
      <c r="G103" s="112">
        <f>67843+2791</f>
        <v>70634</v>
      </c>
      <c r="H103" s="112">
        <f>64590+2325</f>
        <v>66915</v>
      </c>
      <c r="I103" s="112">
        <f>83881+5829</f>
        <v>89710</v>
      </c>
      <c r="J103" s="112">
        <f>82454+12225</f>
        <v>94679</v>
      </c>
      <c r="K103" s="112">
        <f>65904+3538</f>
        <v>69442</v>
      </c>
      <c r="L103" s="112">
        <f>70951+448</f>
        <v>71399</v>
      </c>
      <c r="M103" s="112">
        <f>75584+1810</f>
        <v>77394</v>
      </c>
      <c r="N103" s="112">
        <f>74129+983</f>
        <v>75112</v>
      </c>
      <c r="O103" s="73">
        <f>AVERAGE(C103:N103)</f>
        <v>71817.583333333328</v>
      </c>
      <c r="P103" s="81">
        <f>SUM(C103:N103)</f>
        <v>861811</v>
      </c>
      <c r="R103" s="688"/>
    </row>
    <row r="104" spans="1:26" s="125" customFormat="1" ht="0.75" customHeight="1">
      <c r="A104" s="78" t="s">
        <v>254</v>
      </c>
      <c r="B104" s="666"/>
      <c r="C104" s="112">
        <v>11491</v>
      </c>
      <c r="D104" s="112">
        <v>10214</v>
      </c>
      <c r="E104" s="112">
        <v>10397</v>
      </c>
      <c r="F104" s="112">
        <v>9553</v>
      </c>
      <c r="G104" s="112">
        <v>8801</v>
      </c>
      <c r="H104" s="112">
        <v>9225</v>
      </c>
      <c r="I104" s="112">
        <v>10506</v>
      </c>
      <c r="J104" s="112">
        <v>10215</v>
      </c>
      <c r="K104" s="112">
        <v>9537</v>
      </c>
      <c r="L104" s="112">
        <v>8836</v>
      </c>
      <c r="M104" s="112">
        <v>8817</v>
      </c>
      <c r="N104" s="112">
        <v>11248</v>
      </c>
      <c r="O104" s="73">
        <f>AVERAGE(C104:N104)</f>
        <v>9903.3333333333339</v>
      </c>
      <c r="P104" s="81">
        <f>SUM(C104:N104)</f>
        <v>118840</v>
      </c>
      <c r="Q104" s="689"/>
      <c r="R104" s="689"/>
      <c r="S104" s="689"/>
      <c r="T104" s="689"/>
      <c r="U104" s="689"/>
      <c r="V104" s="689"/>
      <c r="W104" s="689"/>
      <c r="X104" s="689"/>
      <c r="Y104" s="689"/>
      <c r="Z104" s="689"/>
    </row>
    <row r="105" spans="1:26" ht="0.75" customHeight="1" thickBot="1">
      <c r="A105" s="113" t="s">
        <v>263</v>
      </c>
      <c r="B105" s="668"/>
      <c r="C105" s="114">
        <v>146098</v>
      </c>
      <c r="D105" s="114">
        <v>137332</v>
      </c>
      <c r="E105" s="114">
        <v>146888</v>
      </c>
      <c r="F105" s="114">
        <v>144977</v>
      </c>
      <c r="G105" s="114">
        <v>154928</v>
      </c>
      <c r="H105" s="114">
        <v>155364</v>
      </c>
      <c r="I105" s="114">
        <v>171808</v>
      </c>
      <c r="J105" s="114">
        <v>174975</v>
      </c>
      <c r="K105" s="114">
        <v>148989</v>
      </c>
      <c r="L105" s="114">
        <v>149114</v>
      </c>
      <c r="M105" s="114">
        <v>146963</v>
      </c>
      <c r="N105" s="114">
        <v>147356</v>
      </c>
      <c r="O105" s="73">
        <f>AVERAGE(C105:N105)</f>
        <v>152066</v>
      </c>
      <c r="P105" s="81">
        <f>SUM(C105:N105)</f>
        <v>1824792</v>
      </c>
    </row>
    <row r="106" spans="1:26" ht="0.75" customHeight="1" thickBot="1">
      <c r="A106" s="82" t="s">
        <v>274</v>
      </c>
      <c r="B106" s="667"/>
      <c r="C106" s="90">
        <f t="shared" ref="C106:N106" si="32">SUM(C103+C105)</f>
        <v>205121</v>
      </c>
      <c r="D106" s="90">
        <f t="shared" si="32"/>
        <v>195615</v>
      </c>
      <c r="E106" s="90">
        <f t="shared" si="32"/>
        <v>212847</v>
      </c>
      <c r="F106" s="90">
        <f t="shared" si="32"/>
        <v>208238</v>
      </c>
      <c r="G106" s="90">
        <f t="shared" si="32"/>
        <v>225562</v>
      </c>
      <c r="H106" s="90">
        <f t="shared" si="32"/>
        <v>222279</v>
      </c>
      <c r="I106" s="90">
        <f t="shared" si="32"/>
        <v>261518</v>
      </c>
      <c r="J106" s="90">
        <f t="shared" si="32"/>
        <v>269654</v>
      </c>
      <c r="K106" s="90">
        <f t="shared" si="32"/>
        <v>218431</v>
      </c>
      <c r="L106" s="90">
        <f t="shared" si="32"/>
        <v>220513</v>
      </c>
      <c r="M106" s="90">
        <f t="shared" si="32"/>
        <v>224357</v>
      </c>
      <c r="N106" s="90">
        <f t="shared" si="32"/>
        <v>222468</v>
      </c>
      <c r="O106" s="90">
        <f>SUM(O103+O105)</f>
        <v>223883.58333333331</v>
      </c>
      <c r="P106" s="106">
        <f>SUM(P103+P105)</f>
        <v>2686603</v>
      </c>
    </row>
    <row r="107" spans="1:26" ht="0.75" customHeight="1">
      <c r="A107" s="109"/>
      <c r="B107" s="109"/>
      <c r="C107" s="110"/>
      <c r="D107" s="110"/>
      <c r="E107" s="110"/>
      <c r="F107" s="110"/>
      <c r="G107" s="110"/>
      <c r="H107" s="110"/>
      <c r="I107" s="110"/>
      <c r="J107" s="110"/>
      <c r="K107" s="110"/>
      <c r="L107" s="110"/>
      <c r="M107" s="110"/>
      <c r="N107" s="110"/>
      <c r="O107" s="110"/>
      <c r="P107" s="110"/>
    </row>
    <row r="108" spans="1:26" ht="0.75" customHeight="1">
      <c r="A108" s="115" t="s">
        <v>275</v>
      </c>
      <c r="B108" s="115"/>
      <c r="C108" s="116"/>
      <c r="D108" s="116"/>
      <c r="E108" s="116"/>
      <c r="F108" s="116"/>
      <c r="G108" s="116"/>
      <c r="H108" s="116"/>
      <c r="I108" s="116"/>
      <c r="J108" s="116"/>
      <c r="K108" s="116"/>
      <c r="L108" s="116"/>
      <c r="M108" s="116"/>
      <c r="N108" s="116"/>
      <c r="O108" s="117"/>
      <c r="P108" s="116"/>
    </row>
    <row r="109" spans="1:26" ht="0.75" customHeight="1">
      <c r="A109" s="118" t="s">
        <v>247</v>
      </c>
      <c r="B109" s="118"/>
      <c r="C109" s="117">
        <f t="shared" ref="C109:H109" si="33">SUM(C103/C91-1)</f>
        <v>-9.3056131778300188E-2</v>
      </c>
      <c r="D109" s="117">
        <f t="shared" si="33"/>
        <v>-6.1586269079667688E-2</v>
      </c>
      <c r="E109" s="117">
        <f t="shared" si="33"/>
        <v>-1.967044440073229E-3</v>
      </c>
      <c r="F109" s="117">
        <f t="shared" si="33"/>
        <v>7.8061525226618134E-3</v>
      </c>
      <c r="G109" s="117">
        <f t="shared" si="33"/>
        <v>-1.1752525393849522E-2</v>
      </c>
      <c r="H109" s="117">
        <f t="shared" si="33"/>
        <v>-0.14793780958323255</v>
      </c>
      <c r="I109" s="117">
        <f t="shared" ref="I109:N109" si="34">SUM(I103/I91-1)</f>
        <v>5.8712456481973208E-2</v>
      </c>
      <c r="J109" s="117">
        <f t="shared" si="34"/>
        <v>2.7600503603368853E-2</v>
      </c>
      <c r="K109" s="117">
        <f t="shared" si="34"/>
        <v>2.4248502905690472E-2</v>
      </c>
      <c r="L109" s="117">
        <f t="shared" si="34"/>
        <v>5.3408872954749942E-2</v>
      </c>
      <c r="M109" s="117">
        <f t="shared" si="34"/>
        <v>6.1952002634503733E-2</v>
      </c>
      <c r="N109" s="117">
        <f t="shared" si="34"/>
        <v>1.3807717744874326E-2</v>
      </c>
      <c r="O109" s="117"/>
      <c r="P109" s="117">
        <f>(P103-(SUM(C91:N91)))/(SUM(C91:N91))</f>
        <v>-4.2277606387280901E-3</v>
      </c>
    </row>
    <row r="110" spans="1:26" ht="0.75" customHeight="1">
      <c r="A110" s="118" t="s">
        <v>248</v>
      </c>
      <c r="B110" s="118"/>
      <c r="C110" s="117">
        <f t="shared" ref="C110:M111" si="35">SUM(C105/C93-1)</f>
        <v>0.12478250827623372</v>
      </c>
      <c r="D110" s="117">
        <f t="shared" si="35"/>
        <v>0.10071654136543606</v>
      </c>
      <c r="E110" s="117">
        <f t="shared" si="35"/>
        <v>8.310106328068545E-2</v>
      </c>
      <c r="F110" s="117">
        <f t="shared" si="35"/>
        <v>8.0482642460015796E-2</v>
      </c>
      <c r="G110" s="117">
        <f t="shared" si="35"/>
        <v>0.14581546016625735</v>
      </c>
      <c r="H110" s="117">
        <f t="shared" si="35"/>
        <v>0.15380159519954839</v>
      </c>
      <c r="I110" s="117">
        <f>SUM(I105/I93-1)</f>
        <v>0.15097272093895708</v>
      </c>
      <c r="J110" s="117">
        <f t="shared" si="35"/>
        <v>0.1282813497462616</v>
      </c>
      <c r="K110" s="117">
        <f t="shared" si="35"/>
        <v>7.6681264362832291E-2</v>
      </c>
      <c r="L110" s="117">
        <f t="shared" si="35"/>
        <v>4.0194765332886906E-2</v>
      </c>
      <c r="M110" s="117">
        <f t="shared" si="35"/>
        <v>0.22762774301871969</v>
      </c>
      <c r="N110" s="117">
        <f>SUM(N105/N93-1)</f>
        <v>3.1803604688615872E-2</v>
      </c>
      <c r="O110" s="117"/>
      <c r="P110" s="123">
        <f>(P105-(SUM(C93:N93)))/(SUM(C93:N93))</f>
        <v>0.11069505176124578</v>
      </c>
    </row>
    <row r="111" spans="1:26" ht="0.75" customHeight="1">
      <c r="A111" s="119" t="s">
        <v>169</v>
      </c>
      <c r="B111" s="119"/>
      <c r="C111" s="117">
        <f t="shared" si="35"/>
        <v>5.2069816227195087E-2</v>
      </c>
      <c r="D111" s="117">
        <f t="shared" si="35"/>
        <v>4.6774832239904862E-2</v>
      </c>
      <c r="E111" s="117">
        <f t="shared" si="35"/>
        <v>5.5228623696748302E-2</v>
      </c>
      <c r="F111" s="117">
        <f t="shared" si="35"/>
        <v>5.7319407562363756E-2</v>
      </c>
      <c r="G111" s="117">
        <f t="shared" si="35"/>
        <v>9.132694038299638E-2</v>
      </c>
      <c r="H111" s="117">
        <f t="shared" si="35"/>
        <v>4.2648003865151329E-2</v>
      </c>
      <c r="I111" s="117">
        <f>SUM(I106/I94-1)</f>
        <v>0.11756485917087955</v>
      </c>
      <c r="J111" s="117">
        <f t="shared" si="35"/>
        <v>9.075832163645714E-2</v>
      </c>
      <c r="K111" s="117">
        <f t="shared" si="35"/>
        <v>5.9439507993170881E-2</v>
      </c>
      <c r="L111" s="117">
        <f t="shared" si="35"/>
        <v>4.4436866211025272E-2</v>
      </c>
      <c r="M111" s="117">
        <f t="shared" si="35"/>
        <v>0.16493416133588101</v>
      </c>
      <c r="N111" s="117">
        <f>SUM(N106/N94-1)</f>
        <v>2.5656629922131025E-2</v>
      </c>
      <c r="O111" s="117"/>
      <c r="P111" s="117">
        <f>(P106-(SUM(C94:N94)))/(SUM(C94:N94))</f>
        <v>7.1043351174733829E-2</v>
      </c>
    </row>
    <row r="112" spans="1:26" ht="0.75" customHeight="1"/>
    <row r="113" spans="1:19" ht="0.75" customHeight="1">
      <c r="A113" s="3920" t="s">
        <v>276</v>
      </c>
      <c r="B113" s="3921"/>
      <c r="C113" s="3921"/>
      <c r="D113" s="3921"/>
      <c r="E113" s="3921"/>
      <c r="F113" s="3921"/>
      <c r="G113" s="3921"/>
      <c r="H113" s="3921"/>
      <c r="I113" s="3921"/>
      <c r="J113" s="3921"/>
      <c r="K113" s="3921"/>
      <c r="L113" s="3921"/>
      <c r="M113" s="3921"/>
      <c r="N113" s="3921"/>
      <c r="O113" s="3921"/>
      <c r="P113" s="3922"/>
    </row>
    <row r="114" spans="1:19" ht="0.75" customHeight="1">
      <c r="A114" s="75" t="s">
        <v>240</v>
      </c>
      <c r="B114" s="665"/>
      <c r="C114" s="76" t="s">
        <v>241</v>
      </c>
      <c r="D114" s="76" t="s">
        <v>230</v>
      </c>
      <c r="E114" s="76" t="s">
        <v>231</v>
      </c>
      <c r="F114" s="76" t="s">
        <v>242</v>
      </c>
      <c r="G114" s="76" t="s">
        <v>232</v>
      </c>
      <c r="H114" s="76" t="s">
        <v>233</v>
      </c>
      <c r="I114" s="76" t="s">
        <v>243</v>
      </c>
      <c r="J114" s="76" t="s">
        <v>244</v>
      </c>
      <c r="K114" s="76" t="s">
        <v>234</v>
      </c>
      <c r="L114" s="76" t="s">
        <v>235</v>
      </c>
      <c r="M114" s="76" t="s">
        <v>236</v>
      </c>
      <c r="N114" s="76" t="s">
        <v>245</v>
      </c>
      <c r="O114" s="76" t="s">
        <v>246</v>
      </c>
      <c r="P114" s="77" t="s">
        <v>169</v>
      </c>
    </row>
    <row r="115" spans="1:19" ht="0.75" customHeight="1">
      <c r="A115" s="78" t="s">
        <v>247</v>
      </c>
      <c r="B115" s="666"/>
      <c r="C115" s="112">
        <f>68317+671</f>
        <v>68988</v>
      </c>
      <c r="D115" s="112">
        <f>65373+1579</f>
        <v>66952</v>
      </c>
      <c r="E115" s="112">
        <f>68447+393</f>
        <v>68840</v>
      </c>
      <c r="F115" s="112">
        <f>65085+802</f>
        <v>65887</v>
      </c>
      <c r="G115" s="112">
        <f>73096+3418</f>
        <v>76514</v>
      </c>
      <c r="H115" s="112">
        <f>84050+2973</f>
        <v>87023</v>
      </c>
      <c r="I115" s="112">
        <f>86619+7843</f>
        <v>94462</v>
      </c>
      <c r="J115" s="112">
        <f>91363+10058</f>
        <v>101421</v>
      </c>
      <c r="K115" s="112">
        <f>76968+1625</f>
        <v>78593</v>
      </c>
      <c r="L115" s="112">
        <f>80157+251</f>
        <v>80408</v>
      </c>
      <c r="M115" s="112">
        <f>83638+212</f>
        <v>83850</v>
      </c>
      <c r="N115" s="112">
        <f>89579+235</f>
        <v>89814</v>
      </c>
      <c r="O115" s="73">
        <f>AVERAGE(C115:N115)</f>
        <v>80229.333333333328</v>
      </c>
      <c r="P115" s="81">
        <f>SUM(C115:N115)</f>
        <v>962752</v>
      </c>
    </row>
    <row r="116" spans="1:19" ht="0.75" customHeight="1">
      <c r="A116" s="78" t="s">
        <v>254</v>
      </c>
      <c r="B116" s="666"/>
      <c r="C116" s="112">
        <v>10532</v>
      </c>
      <c r="D116" s="112">
        <v>8621</v>
      </c>
      <c r="E116" s="112">
        <v>9608</v>
      </c>
      <c r="F116" s="112">
        <v>8403</v>
      </c>
      <c r="G116" s="112">
        <v>8010</v>
      </c>
      <c r="H116" s="112">
        <v>7854</v>
      </c>
      <c r="I116" s="112">
        <v>8169</v>
      </c>
      <c r="J116" s="112">
        <v>7990</v>
      </c>
      <c r="K116" s="112">
        <v>7532</v>
      </c>
      <c r="L116" s="112">
        <v>7667</v>
      </c>
      <c r="M116" s="112">
        <v>7822</v>
      </c>
      <c r="N116" s="112">
        <v>10756</v>
      </c>
      <c r="O116" s="73">
        <f>AVERAGE(C116:N116)</f>
        <v>8580.3333333333339</v>
      </c>
      <c r="P116" s="81">
        <f>SUM(C116:N116)</f>
        <v>102964</v>
      </c>
      <c r="R116" s="688"/>
    </row>
    <row r="117" spans="1:19" ht="0.75" customHeight="1" thickBot="1">
      <c r="A117" s="113" t="s">
        <v>263</v>
      </c>
      <c r="B117" s="668"/>
      <c r="C117" s="114">
        <v>134226</v>
      </c>
      <c r="D117" s="114">
        <v>125740</v>
      </c>
      <c r="E117" s="114">
        <v>143027</v>
      </c>
      <c r="F117" s="114">
        <v>131782</v>
      </c>
      <c r="G117" s="114">
        <v>139770</v>
      </c>
      <c r="H117" s="114">
        <v>136606</v>
      </c>
      <c r="I117" s="114">
        <v>147934</v>
      </c>
      <c r="J117" s="114">
        <v>153470</v>
      </c>
      <c r="K117" s="114">
        <v>135789</v>
      </c>
      <c r="L117" s="114">
        <v>142987</v>
      </c>
      <c r="M117" s="114">
        <v>142581</v>
      </c>
      <c r="N117" s="114">
        <v>130777</v>
      </c>
      <c r="O117" s="73">
        <f>AVERAGE(C117:N117)</f>
        <v>138724.08333333334</v>
      </c>
      <c r="P117" s="81">
        <f>SUM(C117:N117)</f>
        <v>1664689</v>
      </c>
      <c r="R117" s="690"/>
      <c r="S117" s="688"/>
    </row>
    <row r="118" spans="1:19" ht="0.75" customHeight="1" thickBot="1">
      <c r="A118" s="82" t="s">
        <v>277</v>
      </c>
      <c r="B118" s="667"/>
      <c r="C118" s="90">
        <f t="shared" ref="C118:P118" si="36">SUM(C115+C117)</f>
        <v>203214</v>
      </c>
      <c r="D118" s="90">
        <f t="shared" si="36"/>
        <v>192692</v>
      </c>
      <c r="E118" s="90">
        <f t="shared" si="36"/>
        <v>211867</v>
      </c>
      <c r="F118" s="90">
        <f t="shared" si="36"/>
        <v>197669</v>
      </c>
      <c r="G118" s="90">
        <f t="shared" si="36"/>
        <v>216284</v>
      </c>
      <c r="H118" s="90">
        <f t="shared" si="36"/>
        <v>223629</v>
      </c>
      <c r="I118" s="90">
        <f t="shared" si="36"/>
        <v>242396</v>
      </c>
      <c r="J118" s="90">
        <f t="shared" si="36"/>
        <v>254891</v>
      </c>
      <c r="K118" s="90">
        <f t="shared" si="36"/>
        <v>214382</v>
      </c>
      <c r="L118" s="90">
        <f t="shared" si="36"/>
        <v>223395</v>
      </c>
      <c r="M118" s="90">
        <f t="shared" si="36"/>
        <v>226431</v>
      </c>
      <c r="N118" s="90">
        <f t="shared" si="36"/>
        <v>220591</v>
      </c>
      <c r="O118" s="90">
        <f t="shared" si="36"/>
        <v>218953.41666666669</v>
      </c>
      <c r="P118" s="90">
        <f t="shared" si="36"/>
        <v>2627441</v>
      </c>
      <c r="S118" s="689"/>
    </row>
    <row r="119" spans="1:19" ht="0.75" customHeight="1">
      <c r="A119" s="109"/>
      <c r="B119" s="109"/>
      <c r="C119" s="110"/>
      <c r="D119" s="110"/>
      <c r="E119" s="110"/>
      <c r="F119" s="110"/>
      <c r="G119" s="110"/>
      <c r="H119" s="110"/>
      <c r="I119" s="110"/>
      <c r="J119" s="110"/>
      <c r="K119" s="110"/>
      <c r="L119" s="110"/>
      <c r="M119" s="110"/>
      <c r="N119" s="110"/>
      <c r="O119" s="110"/>
      <c r="P119" s="110"/>
    </row>
    <row r="120" spans="1:19" ht="0.75" customHeight="1">
      <c r="A120" s="115" t="s">
        <v>278</v>
      </c>
      <c r="B120" s="115"/>
      <c r="C120" s="116"/>
      <c r="D120" s="116"/>
      <c r="E120" s="116"/>
      <c r="F120" s="116"/>
      <c r="G120" s="116"/>
      <c r="H120" s="116"/>
      <c r="I120" s="116"/>
      <c r="J120" s="116"/>
      <c r="K120" s="116"/>
      <c r="L120" s="116"/>
      <c r="M120" s="116"/>
      <c r="N120" s="116"/>
      <c r="O120" s="117"/>
      <c r="P120" s="116"/>
    </row>
    <row r="121" spans="1:19" ht="0.75" customHeight="1">
      <c r="A121" s="118" t="s">
        <v>247</v>
      </c>
      <c r="B121" s="118"/>
      <c r="C121" s="117">
        <f t="shared" ref="C121:H121" si="37">SUM(C115/C103-1)</f>
        <v>0.16883248902970038</v>
      </c>
      <c r="D121" s="117">
        <f t="shared" si="37"/>
        <v>0.14873976974417924</v>
      </c>
      <c r="E121" s="117">
        <f t="shared" si="37"/>
        <v>4.3678648857623736E-2</v>
      </c>
      <c r="F121" s="117">
        <f t="shared" si="37"/>
        <v>4.1510567332163628E-2</v>
      </c>
      <c r="G121" s="117">
        <f t="shared" si="37"/>
        <v>8.3246028824645268E-2</v>
      </c>
      <c r="H121" s="117">
        <f t="shared" si="37"/>
        <v>0.30050063513412528</v>
      </c>
      <c r="I121" s="117">
        <f t="shared" ref="I121:N121" si="38">SUM(I115/I103-1)</f>
        <v>5.2970683312897116E-2</v>
      </c>
      <c r="J121" s="117">
        <f t="shared" si="38"/>
        <v>7.1209032626031066E-2</v>
      </c>
      <c r="K121" s="117">
        <f t="shared" si="38"/>
        <v>0.13177903862215956</v>
      </c>
      <c r="L121" s="117">
        <f t="shared" si="38"/>
        <v>0.12617823779044524</v>
      </c>
      <c r="M121" s="117">
        <f t="shared" si="38"/>
        <v>8.3417319172028881E-2</v>
      </c>
      <c r="N121" s="117">
        <f t="shared" si="38"/>
        <v>0.19573437000745564</v>
      </c>
      <c r="O121" s="117"/>
      <c r="P121" s="117">
        <f>(P115-(SUM(C103:N103)))/(SUM(C103:N103))</f>
        <v>0.11712660896646712</v>
      </c>
    </row>
    <row r="122" spans="1:19" ht="0.75" customHeight="1">
      <c r="A122" s="118" t="s">
        <v>248</v>
      </c>
      <c r="B122" s="118"/>
      <c r="C122" s="117">
        <f t="shared" ref="C122:N123" si="39">SUM(C117/C105-1)</f>
        <v>-8.1260523758025394E-2</v>
      </c>
      <c r="D122" s="117">
        <f t="shared" si="39"/>
        <v>-8.4408586491131032E-2</v>
      </c>
      <c r="E122" s="117">
        <f t="shared" si="39"/>
        <v>-2.6285333042862624E-2</v>
      </c>
      <c r="F122" s="117">
        <f t="shared" si="39"/>
        <v>-9.1014436772729468E-2</v>
      </c>
      <c r="G122" s="117">
        <f t="shared" si="39"/>
        <v>-9.7838996178870152E-2</v>
      </c>
      <c r="H122" s="117">
        <f t="shared" si="39"/>
        <v>-0.1207358203959733</v>
      </c>
      <c r="I122" s="117">
        <f>SUM(I117/I105-1)</f>
        <v>-0.13895744086422057</v>
      </c>
      <c r="J122" s="117">
        <f t="shared" si="39"/>
        <v>-0.12290327189598516</v>
      </c>
      <c r="K122" s="117">
        <f t="shared" si="39"/>
        <v>-8.8597144755653057E-2</v>
      </c>
      <c r="L122" s="117">
        <f t="shared" si="39"/>
        <v>-4.1089367866196325E-2</v>
      </c>
      <c r="M122" s="117">
        <f t="shared" si="39"/>
        <v>-2.9817028775950383E-2</v>
      </c>
      <c r="N122" s="117">
        <f t="shared" si="39"/>
        <v>-0.11250984011509546</v>
      </c>
      <c r="O122" s="117"/>
      <c r="P122" s="123">
        <f>(P117-(SUM(C105:N105)))/(SUM(C105:N105))</f>
        <v>-8.7737670923590194E-2</v>
      </c>
    </row>
    <row r="123" spans="1:19" ht="0.75" customHeight="1">
      <c r="A123" s="119" t="s">
        <v>169</v>
      </c>
      <c r="B123" s="119"/>
      <c r="C123" s="117">
        <f t="shared" si="39"/>
        <v>-9.2969515554234272E-3</v>
      </c>
      <c r="D123" s="117">
        <f t="shared" si="39"/>
        <v>-1.4942616874983994E-2</v>
      </c>
      <c r="E123" s="117">
        <f t="shared" si="39"/>
        <v>-4.6042462426061359E-3</v>
      </c>
      <c r="F123" s="117">
        <f t="shared" si="39"/>
        <v>-5.0754425224982969E-2</v>
      </c>
      <c r="G123" s="117">
        <f t="shared" si="39"/>
        <v>-4.1132814924499717E-2</v>
      </c>
      <c r="H123" s="117">
        <f t="shared" si="39"/>
        <v>6.0734482339761531E-3</v>
      </c>
      <c r="I123" s="117">
        <f>SUM(I118/I106-1)</f>
        <v>-7.3119249917787732E-2</v>
      </c>
      <c r="J123" s="117">
        <f t="shared" si="39"/>
        <v>-5.4747936244224027E-2</v>
      </c>
      <c r="K123" s="117">
        <f t="shared" si="39"/>
        <v>-1.8536746157825634E-2</v>
      </c>
      <c r="L123" s="117">
        <f t="shared" si="39"/>
        <v>1.3069524245736153E-2</v>
      </c>
      <c r="M123" s="117">
        <f t="shared" si="39"/>
        <v>9.2441956346358545E-3</v>
      </c>
      <c r="N123" s="117">
        <f t="shared" si="39"/>
        <v>-8.437168491648217E-3</v>
      </c>
      <c r="O123" s="117"/>
      <c r="P123" s="117">
        <f>(P118-(SUM(C106:N106)))/(SUM(C106:N106))</f>
        <v>-2.2021117373873252E-2</v>
      </c>
    </row>
    <row r="124" spans="1:19" ht="0.75" customHeight="1"/>
    <row r="125" spans="1:19" ht="0.75" customHeight="1">
      <c r="A125" s="3920" t="s">
        <v>279</v>
      </c>
      <c r="B125" s="3921"/>
      <c r="C125" s="3921"/>
      <c r="D125" s="3921"/>
      <c r="E125" s="3921"/>
      <c r="F125" s="3921"/>
      <c r="G125" s="3921"/>
      <c r="H125" s="3921"/>
      <c r="I125" s="3921"/>
      <c r="J125" s="3921"/>
      <c r="K125" s="3921"/>
      <c r="L125" s="3921"/>
      <c r="M125" s="3921"/>
      <c r="N125" s="3921"/>
      <c r="O125" s="3921"/>
      <c r="P125" s="3922"/>
    </row>
    <row r="126" spans="1:19" ht="0.75" customHeight="1">
      <c r="A126" s="75" t="s">
        <v>240</v>
      </c>
      <c r="B126" s="665"/>
      <c r="C126" s="76" t="s">
        <v>241</v>
      </c>
      <c r="D126" s="76" t="s">
        <v>230</v>
      </c>
      <c r="E126" s="76" t="s">
        <v>231</v>
      </c>
      <c r="F126" s="76" t="s">
        <v>242</v>
      </c>
      <c r="G126" s="76" t="s">
        <v>232</v>
      </c>
      <c r="H126" s="76" t="s">
        <v>233</v>
      </c>
      <c r="I126" s="76" t="s">
        <v>243</v>
      </c>
      <c r="J126" s="76" t="s">
        <v>244</v>
      </c>
      <c r="K126" s="76" t="s">
        <v>234</v>
      </c>
      <c r="L126" s="76" t="s">
        <v>235</v>
      </c>
      <c r="M126" s="76" t="s">
        <v>236</v>
      </c>
      <c r="N126" s="76" t="s">
        <v>245</v>
      </c>
      <c r="O126" s="76" t="s">
        <v>246</v>
      </c>
      <c r="P126" s="77" t="s">
        <v>169</v>
      </c>
    </row>
    <row r="127" spans="1:19" ht="0.75" customHeight="1">
      <c r="A127" s="78" t="s">
        <v>247</v>
      </c>
      <c r="B127" s="666"/>
      <c r="C127" s="134">
        <v>77456</v>
      </c>
      <c r="D127" s="134">
        <v>78911</v>
      </c>
      <c r="E127" s="134">
        <v>84693</v>
      </c>
      <c r="F127" s="134">
        <v>78076</v>
      </c>
      <c r="G127" s="134">
        <v>83219</v>
      </c>
      <c r="H127" s="134">
        <v>95627</v>
      </c>
      <c r="I127" s="134">
        <v>99216</v>
      </c>
      <c r="J127" s="134">
        <v>109120</v>
      </c>
      <c r="K127" s="134">
        <v>89693</v>
      </c>
      <c r="L127" s="134">
        <v>92433</v>
      </c>
      <c r="M127" s="134">
        <v>92226</v>
      </c>
      <c r="N127" s="134">
        <v>98513</v>
      </c>
      <c r="O127" s="73">
        <f>AVERAGE(C127:N127)</f>
        <v>89931.916666666672</v>
      </c>
      <c r="P127" s="81">
        <f>SUM(C127:N127)</f>
        <v>1079183</v>
      </c>
    </row>
    <row r="128" spans="1:19" ht="0.75" customHeight="1">
      <c r="A128" s="78" t="s">
        <v>254</v>
      </c>
      <c r="B128" s="666"/>
      <c r="C128" s="134">
        <v>10020</v>
      </c>
      <c r="D128" s="134">
        <v>8145</v>
      </c>
      <c r="E128" s="134">
        <v>9633</v>
      </c>
      <c r="F128" s="134">
        <v>9248</v>
      </c>
      <c r="G128" s="134">
        <v>9083</v>
      </c>
      <c r="H128" s="134">
        <v>9655</v>
      </c>
      <c r="I128" s="134">
        <v>8834</v>
      </c>
      <c r="J128" s="134">
        <v>8938</v>
      </c>
      <c r="K128" s="134">
        <v>9744</v>
      </c>
      <c r="L128" s="134">
        <v>11174</v>
      </c>
      <c r="M128" s="134">
        <v>10107</v>
      </c>
      <c r="N128" s="134">
        <v>10207</v>
      </c>
      <c r="O128" s="73">
        <f>AVERAGE(C128:N128)</f>
        <v>9565.6666666666661</v>
      </c>
      <c r="P128" s="81">
        <f>SUM(C128:N128)</f>
        <v>114788</v>
      </c>
    </row>
    <row r="129" spans="1:16" ht="0.75" customHeight="1" thickBot="1">
      <c r="A129" s="113" t="s">
        <v>263</v>
      </c>
      <c r="B129" s="668"/>
      <c r="C129" s="136">
        <v>149505</v>
      </c>
      <c r="D129" s="136">
        <v>127669</v>
      </c>
      <c r="E129" s="136">
        <v>129382</v>
      </c>
      <c r="F129" s="136">
        <v>131573</v>
      </c>
      <c r="G129" s="136">
        <v>136238</v>
      </c>
      <c r="H129" s="136">
        <v>136834</v>
      </c>
      <c r="I129" s="136">
        <v>149917</v>
      </c>
      <c r="J129" s="136">
        <v>155729</v>
      </c>
      <c r="K129" s="136">
        <v>127961</v>
      </c>
      <c r="L129" s="136">
        <v>142034</v>
      </c>
      <c r="M129" s="136">
        <v>135083</v>
      </c>
      <c r="N129" s="136">
        <v>125742</v>
      </c>
      <c r="O129" s="73">
        <f>AVERAGE(C129:N129)</f>
        <v>137305.58333333334</v>
      </c>
      <c r="P129" s="81">
        <f>SUM(C129:N129)</f>
        <v>1647667</v>
      </c>
    </row>
    <row r="130" spans="1:16" ht="0.75" customHeight="1" thickBot="1">
      <c r="A130" s="82" t="s">
        <v>280</v>
      </c>
      <c r="B130" s="667"/>
      <c r="C130" s="90">
        <f t="shared" ref="C130:N130" si="40">SUM(C127+C129)</f>
        <v>226961</v>
      </c>
      <c r="D130" s="90">
        <f t="shared" si="40"/>
        <v>206580</v>
      </c>
      <c r="E130" s="90">
        <f t="shared" si="40"/>
        <v>214075</v>
      </c>
      <c r="F130" s="90">
        <f t="shared" si="40"/>
        <v>209649</v>
      </c>
      <c r="G130" s="90">
        <f t="shared" si="40"/>
        <v>219457</v>
      </c>
      <c r="H130" s="90">
        <f t="shared" si="40"/>
        <v>232461</v>
      </c>
      <c r="I130" s="90">
        <f t="shared" si="40"/>
        <v>249133</v>
      </c>
      <c r="J130" s="90">
        <f t="shared" si="40"/>
        <v>264849</v>
      </c>
      <c r="K130" s="90">
        <f t="shared" si="40"/>
        <v>217654</v>
      </c>
      <c r="L130" s="90">
        <f t="shared" si="40"/>
        <v>234467</v>
      </c>
      <c r="M130" s="90">
        <f t="shared" si="40"/>
        <v>227309</v>
      </c>
      <c r="N130" s="90">
        <f t="shared" si="40"/>
        <v>224255</v>
      </c>
      <c r="O130" s="90">
        <f>SUM(O127+O129)</f>
        <v>227237.5</v>
      </c>
      <c r="P130" s="106">
        <f>SUM(P127+P129)</f>
        <v>2726850</v>
      </c>
    </row>
    <row r="131" spans="1:16" ht="0.75" customHeight="1">
      <c r="A131" s="109"/>
      <c r="B131" s="109"/>
      <c r="C131" s="110"/>
      <c r="D131" s="110"/>
      <c r="E131" s="110"/>
      <c r="F131" s="110"/>
      <c r="G131" s="110"/>
      <c r="H131" s="110"/>
      <c r="I131" s="110"/>
      <c r="J131" s="110"/>
      <c r="K131" s="110"/>
      <c r="L131" s="110"/>
      <c r="M131" s="110"/>
      <c r="N131" s="110"/>
      <c r="O131" s="110"/>
      <c r="P131" s="110"/>
    </row>
    <row r="132" spans="1:16" ht="0.75" customHeight="1">
      <c r="A132" s="115" t="s">
        <v>281</v>
      </c>
      <c r="B132" s="115"/>
      <c r="C132" s="116"/>
      <c r="D132" s="116"/>
      <c r="E132" s="116"/>
      <c r="F132" s="116"/>
      <c r="G132" s="116"/>
      <c r="H132" s="116"/>
      <c r="I132" s="116"/>
      <c r="J132" s="116"/>
      <c r="K132" s="116"/>
      <c r="L132" s="116"/>
      <c r="M132" s="116"/>
      <c r="N132" s="116"/>
      <c r="O132" s="117"/>
      <c r="P132" s="116"/>
    </row>
    <row r="133" spans="1:16" ht="0.75" customHeight="1">
      <c r="A133" s="118" t="s">
        <v>247</v>
      </c>
      <c r="B133" s="118"/>
      <c r="C133" s="117">
        <f t="shared" ref="C133:H133" si="41">SUM(C127/C115-1)</f>
        <v>0.12274598480895227</v>
      </c>
      <c r="D133" s="117">
        <f t="shared" si="41"/>
        <v>0.17862050424184495</v>
      </c>
      <c r="E133" s="117">
        <f t="shared" si="41"/>
        <v>0.23028762347472398</v>
      </c>
      <c r="F133" s="117">
        <f t="shared" si="41"/>
        <v>0.18499855813741717</v>
      </c>
      <c r="G133" s="117">
        <f t="shared" si="41"/>
        <v>8.7631021773793005E-2</v>
      </c>
      <c r="H133" s="117">
        <f t="shared" si="41"/>
        <v>9.8870413568826532E-2</v>
      </c>
      <c r="I133" s="117">
        <f t="shared" ref="I133:N133" si="42">SUM(I127/I115-1)</f>
        <v>5.0327115665558697E-2</v>
      </c>
      <c r="J133" s="117">
        <f t="shared" si="42"/>
        <v>7.5911300421017236E-2</v>
      </c>
      <c r="K133" s="117">
        <f t="shared" si="42"/>
        <v>0.1412339521331416</v>
      </c>
      <c r="L133" s="117">
        <f t="shared" si="42"/>
        <v>0.14954979604019503</v>
      </c>
      <c r="M133" s="117">
        <f t="shared" si="42"/>
        <v>9.9892665474060838E-2</v>
      </c>
      <c r="N133" s="117">
        <f t="shared" si="42"/>
        <v>9.6855724051929437E-2</v>
      </c>
      <c r="O133" s="117"/>
      <c r="P133" s="117">
        <f>(P127-(SUM(C115:N115)))/(SUM(C115:N115))</f>
        <v>0.12093560958585388</v>
      </c>
    </row>
    <row r="134" spans="1:16" ht="0.75" customHeight="1">
      <c r="A134" s="118" t="s">
        <v>248</v>
      </c>
      <c r="B134" s="118"/>
      <c r="C134" s="117">
        <f t="shared" ref="C134:N135" si="43">SUM(C129/C117-1)</f>
        <v>0.11383040543560852</v>
      </c>
      <c r="D134" s="117">
        <f t="shared" si="43"/>
        <v>1.5341180213138239E-2</v>
      </c>
      <c r="E134" s="117">
        <f t="shared" si="43"/>
        <v>-9.5401567536199439E-2</v>
      </c>
      <c r="F134" s="117">
        <f t="shared" si="43"/>
        <v>-1.5859525580125267E-3</v>
      </c>
      <c r="G134" s="117">
        <f t="shared" si="43"/>
        <v>-2.5270086570794881E-2</v>
      </c>
      <c r="H134" s="117">
        <f t="shared" si="43"/>
        <v>1.6690335709999005E-3</v>
      </c>
      <c r="I134" s="117">
        <f>SUM(I129/I117-1)</f>
        <v>1.3404626387442997E-2</v>
      </c>
      <c r="J134" s="117">
        <f t="shared" si="43"/>
        <v>1.4719489150974097E-2</v>
      </c>
      <c r="K134" s="117">
        <f t="shared" si="43"/>
        <v>-5.7648263114096099E-2</v>
      </c>
      <c r="L134" s="117">
        <f t="shared" si="43"/>
        <v>-6.6649415681145907E-3</v>
      </c>
      <c r="M134" s="117">
        <f t="shared" si="43"/>
        <v>-5.2587651931182977E-2</v>
      </c>
      <c r="N134" s="117">
        <f t="shared" si="43"/>
        <v>-3.8500653784686922E-2</v>
      </c>
      <c r="O134" s="117"/>
      <c r="P134" s="123">
        <f>(P129-(SUM(C117:N117)))/(SUM(C117:N117))</f>
        <v>-1.0225333380589407E-2</v>
      </c>
    </row>
    <row r="135" spans="1:16" ht="0.75" customHeight="1">
      <c r="A135" s="119" t="s">
        <v>169</v>
      </c>
      <c r="B135" s="119"/>
      <c r="C135" s="117">
        <f t="shared" si="43"/>
        <v>0.11685710630173118</v>
      </c>
      <c r="D135" s="117">
        <f t="shared" si="43"/>
        <v>7.207356818134647E-2</v>
      </c>
      <c r="E135" s="117">
        <f t="shared" si="43"/>
        <v>1.0421632439219009E-2</v>
      </c>
      <c r="F135" s="117">
        <f t="shared" si="43"/>
        <v>6.0606367209830481E-2</v>
      </c>
      <c r="G135" s="117">
        <f t="shared" si="43"/>
        <v>1.4670525790164701E-2</v>
      </c>
      <c r="H135" s="117">
        <f t="shared" si="43"/>
        <v>3.9493983338475758E-2</v>
      </c>
      <c r="I135" s="117">
        <f>SUM(I130/I118-1)</f>
        <v>2.7793362926781029E-2</v>
      </c>
      <c r="J135" s="117">
        <f t="shared" si="43"/>
        <v>3.9067679910236075E-2</v>
      </c>
      <c r="K135" s="117">
        <f t="shared" si="43"/>
        <v>1.5262475394389519E-2</v>
      </c>
      <c r="L135" s="117">
        <f t="shared" si="43"/>
        <v>4.9562434253228593E-2</v>
      </c>
      <c r="M135" s="117">
        <f t="shared" si="43"/>
        <v>3.8775609346777262E-3</v>
      </c>
      <c r="N135" s="117">
        <f t="shared" si="43"/>
        <v>1.6609925155604666E-2</v>
      </c>
      <c r="O135" s="117"/>
      <c r="P135" s="117">
        <f>(P130-(SUM(C118:N118)))/(SUM(C118:N118))</f>
        <v>3.7834912372913414E-2</v>
      </c>
    </row>
    <row r="136" spans="1:16" ht="0.75" customHeight="1"/>
    <row r="137" spans="1:16" ht="0.75" customHeight="1">
      <c r="A137" s="3920" t="s">
        <v>282</v>
      </c>
      <c r="B137" s="3921"/>
      <c r="C137" s="3921"/>
      <c r="D137" s="3921"/>
      <c r="E137" s="3921"/>
      <c r="F137" s="3921"/>
      <c r="G137" s="3921"/>
      <c r="H137" s="3921"/>
      <c r="I137" s="3921"/>
      <c r="J137" s="3921"/>
      <c r="K137" s="3921"/>
      <c r="L137" s="3921"/>
      <c r="M137" s="3921"/>
      <c r="N137" s="3921"/>
      <c r="O137" s="3921"/>
      <c r="P137" s="3922"/>
    </row>
    <row r="138" spans="1:16" ht="0.75" customHeight="1">
      <c r="A138" s="130" t="s">
        <v>240</v>
      </c>
      <c r="B138" s="669"/>
      <c r="C138" s="131" t="s">
        <v>241</v>
      </c>
      <c r="D138" s="131" t="s">
        <v>230</v>
      </c>
      <c r="E138" s="131" t="s">
        <v>231</v>
      </c>
      <c r="F138" s="131" t="s">
        <v>242</v>
      </c>
      <c r="G138" s="131" t="s">
        <v>232</v>
      </c>
      <c r="H138" s="131" t="s">
        <v>233</v>
      </c>
      <c r="I138" s="131" t="s">
        <v>243</v>
      </c>
      <c r="J138" s="131" t="s">
        <v>244</v>
      </c>
      <c r="K138" s="131" t="s">
        <v>234</v>
      </c>
      <c r="L138" s="131" t="s">
        <v>235</v>
      </c>
      <c r="M138" s="131" t="s">
        <v>236</v>
      </c>
      <c r="N138" s="131" t="s">
        <v>245</v>
      </c>
      <c r="O138" s="131" t="s">
        <v>246</v>
      </c>
      <c r="P138" s="132" t="s">
        <v>169</v>
      </c>
    </row>
    <row r="139" spans="1:16" ht="0.75" customHeight="1">
      <c r="A139" s="133" t="s">
        <v>247</v>
      </c>
      <c r="B139" s="670"/>
      <c r="C139" s="134">
        <v>85525</v>
      </c>
      <c r="D139" s="134">
        <v>88166</v>
      </c>
      <c r="E139" s="134">
        <v>88731</v>
      </c>
      <c r="F139" s="134">
        <v>88078</v>
      </c>
      <c r="G139" s="134">
        <v>93892</v>
      </c>
      <c r="H139" s="134">
        <v>100089</v>
      </c>
      <c r="I139" s="134">
        <v>107114</v>
      </c>
      <c r="J139" s="134">
        <v>117359</v>
      </c>
      <c r="K139" s="134">
        <v>97547</v>
      </c>
      <c r="L139" s="134">
        <v>100798</v>
      </c>
      <c r="M139" s="134">
        <v>104521</v>
      </c>
      <c r="N139" s="134">
        <v>118872</v>
      </c>
      <c r="O139" s="73">
        <f>AVERAGE(C139:N139)</f>
        <v>99224.333333333328</v>
      </c>
      <c r="P139" s="81">
        <f>SUM(C139:N139)</f>
        <v>1190692</v>
      </c>
    </row>
    <row r="140" spans="1:16" ht="0.75" customHeight="1">
      <c r="A140" s="133" t="s">
        <v>254</v>
      </c>
      <c r="B140" s="670"/>
      <c r="C140" s="134">
        <v>12497</v>
      </c>
      <c r="D140" s="134">
        <v>9631</v>
      </c>
      <c r="E140" s="134">
        <v>10278</v>
      </c>
      <c r="F140" s="134">
        <v>11547</v>
      </c>
      <c r="G140" s="134">
        <v>9880</v>
      </c>
      <c r="H140" s="134">
        <v>8636</v>
      </c>
      <c r="I140" s="134">
        <v>8261</v>
      </c>
      <c r="J140" s="134">
        <v>7498</v>
      </c>
      <c r="K140" s="134">
        <v>8308</v>
      </c>
      <c r="L140" s="134">
        <v>10756</v>
      </c>
      <c r="M140" s="134">
        <v>12609</v>
      </c>
      <c r="N140" s="134">
        <v>16057</v>
      </c>
      <c r="O140" s="73">
        <f>AVERAGE(C140:N140)</f>
        <v>10496.5</v>
      </c>
      <c r="P140" s="81">
        <f>SUM(C140:N140)</f>
        <v>125958</v>
      </c>
    </row>
    <row r="141" spans="1:16" ht="0.75" customHeight="1" thickBot="1">
      <c r="A141" s="135" t="s">
        <v>263</v>
      </c>
      <c r="B141" s="671"/>
      <c r="C141" s="136">
        <v>138579</v>
      </c>
      <c r="D141" s="136">
        <v>129738</v>
      </c>
      <c r="E141" s="136">
        <v>139637</v>
      </c>
      <c r="F141" s="136">
        <v>137090</v>
      </c>
      <c r="G141" s="136">
        <v>134579</v>
      </c>
      <c r="H141" s="136">
        <v>127939</v>
      </c>
      <c r="I141" s="136">
        <v>141322</v>
      </c>
      <c r="J141" s="136">
        <v>148226</v>
      </c>
      <c r="K141" s="136">
        <v>135744</v>
      </c>
      <c r="L141" s="136">
        <v>137316</v>
      </c>
      <c r="M141" s="136">
        <v>133258</v>
      </c>
      <c r="N141" s="136">
        <v>123288</v>
      </c>
      <c r="O141" s="73">
        <f>AVERAGE(C141:N141)</f>
        <v>135559.66666666666</v>
      </c>
      <c r="P141" s="81">
        <f>SUM(C141:N141)</f>
        <v>1626716</v>
      </c>
    </row>
    <row r="142" spans="1:16" ht="0.75" customHeight="1" thickBot="1">
      <c r="A142" s="137" t="s">
        <v>283</v>
      </c>
      <c r="B142" s="672"/>
      <c r="C142" s="138">
        <f t="shared" ref="C142:N142" si="44">SUM(C139+C141)</f>
        <v>224104</v>
      </c>
      <c r="D142" s="138">
        <f t="shared" si="44"/>
        <v>217904</v>
      </c>
      <c r="E142" s="138">
        <f t="shared" si="44"/>
        <v>228368</v>
      </c>
      <c r="F142" s="138">
        <f t="shared" si="44"/>
        <v>225168</v>
      </c>
      <c r="G142" s="138">
        <f t="shared" si="44"/>
        <v>228471</v>
      </c>
      <c r="H142" s="138">
        <f t="shared" si="44"/>
        <v>228028</v>
      </c>
      <c r="I142" s="138">
        <f t="shared" si="44"/>
        <v>248436</v>
      </c>
      <c r="J142" s="138">
        <f t="shared" si="44"/>
        <v>265585</v>
      </c>
      <c r="K142" s="138">
        <f t="shared" si="44"/>
        <v>233291</v>
      </c>
      <c r="L142" s="138">
        <f t="shared" si="44"/>
        <v>238114</v>
      </c>
      <c r="M142" s="138">
        <f t="shared" si="44"/>
        <v>237779</v>
      </c>
      <c r="N142" s="138">
        <f t="shared" si="44"/>
        <v>242160</v>
      </c>
      <c r="O142" s="138">
        <f>SUM(O139+O141)</f>
        <v>234784</v>
      </c>
      <c r="P142" s="139">
        <f>SUM(P139+P141)</f>
        <v>2817408</v>
      </c>
    </row>
    <row r="143" spans="1:16" ht="0.75" customHeight="1">
      <c r="A143" s="109"/>
      <c r="B143" s="109"/>
      <c r="C143" s="110"/>
      <c r="D143" s="110"/>
      <c r="E143" s="110"/>
      <c r="F143" s="110"/>
      <c r="G143" s="110"/>
      <c r="H143" s="110"/>
      <c r="I143" s="110"/>
      <c r="J143" s="110"/>
      <c r="K143" s="110"/>
      <c r="L143" s="110"/>
      <c r="M143" s="110"/>
      <c r="N143" s="110"/>
      <c r="O143" s="110"/>
      <c r="P143" s="110"/>
    </row>
    <row r="144" spans="1:16" ht="0.75" customHeight="1">
      <c r="A144" s="140" t="s">
        <v>284</v>
      </c>
      <c r="B144" s="140"/>
      <c r="C144" s="141"/>
      <c r="D144" s="141"/>
      <c r="E144" s="141"/>
      <c r="F144" s="141"/>
      <c r="G144" s="141"/>
      <c r="H144" s="141"/>
      <c r="I144" s="141"/>
      <c r="J144" s="141"/>
      <c r="K144" s="141"/>
      <c r="L144" s="141"/>
      <c r="M144" s="141"/>
      <c r="N144" s="141"/>
      <c r="O144" s="142"/>
      <c r="P144" s="141"/>
    </row>
    <row r="145" spans="1:26" ht="0.75" customHeight="1">
      <c r="A145" s="143" t="s">
        <v>247</v>
      </c>
      <c r="B145" s="143"/>
      <c r="C145" s="142">
        <f t="shared" ref="C145:H145" si="45">SUM(C139/C127-1)</f>
        <v>0.10417527370378021</v>
      </c>
      <c r="D145" s="142">
        <f t="shared" si="45"/>
        <v>0.11728402884262024</v>
      </c>
      <c r="E145" s="142">
        <f t="shared" si="45"/>
        <v>4.7678084375332164E-2</v>
      </c>
      <c r="F145" s="142">
        <f t="shared" si="45"/>
        <v>0.12810594805061726</v>
      </c>
      <c r="G145" s="142">
        <f t="shared" si="45"/>
        <v>0.1282519616914406</v>
      </c>
      <c r="H145" s="142">
        <f t="shared" si="45"/>
        <v>4.6660462003409009E-2</v>
      </c>
      <c r="I145" s="142">
        <f t="shared" ref="I145:N145" si="46">SUM(I139/I127-1)</f>
        <v>7.9604096113530032E-2</v>
      </c>
      <c r="J145" s="142">
        <f t="shared" si="46"/>
        <v>7.5504032258064457E-2</v>
      </c>
      <c r="K145" s="142">
        <f t="shared" si="46"/>
        <v>8.7565361845405976E-2</v>
      </c>
      <c r="L145" s="142">
        <f t="shared" si="46"/>
        <v>9.0497982322330861E-2</v>
      </c>
      <c r="M145" s="142">
        <f t="shared" si="46"/>
        <v>0.13331381606054693</v>
      </c>
      <c r="N145" s="142">
        <f t="shared" si="46"/>
        <v>0.20666307999959388</v>
      </c>
      <c r="O145" s="142"/>
      <c r="P145" s="558">
        <f>(P139-(SUM(C127:N127)))/(SUM(C127:N127))</f>
        <v>0.1033272392170744</v>
      </c>
    </row>
    <row r="146" spans="1:26" ht="0.75" customHeight="1">
      <c r="A146" s="143" t="s">
        <v>248</v>
      </c>
      <c r="B146" s="143"/>
      <c r="C146" s="142">
        <f t="shared" ref="C146:H147" si="47">SUM(C141/C129-1)</f>
        <v>-7.3081167853917939E-2</v>
      </c>
      <c r="D146" s="142">
        <f t="shared" si="47"/>
        <v>1.6205970125872327E-2</v>
      </c>
      <c r="E146" s="142">
        <f t="shared" si="47"/>
        <v>7.9261411942928683E-2</v>
      </c>
      <c r="F146" s="142">
        <f t="shared" si="47"/>
        <v>4.1931095285506981E-2</v>
      </c>
      <c r="G146" s="142">
        <f t="shared" si="47"/>
        <v>-1.2177219278028173E-2</v>
      </c>
      <c r="H146" s="142">
        <f t="shared" si="47"/>
        <v>-6.5005773418887136E-2</v>
      </c>
      <c r="I146" s="142">
        <f>SUM(I141/I129-1)</f>
        <v>-5.7331723553699754E-2</v>
      </c>
      <c r="J146" s="142">
        <f t="shared" ref="J146:N147" si="48">SUM(J141/J129-1)</f>
        <v>-4.8179850894823684E-2</v>
      </c>
      <c r="K146" s="142">
        <f t="shared" si="48"/>
        <v>6.082321957471426E-2</v>
      </c>
      <c r="L146" s="142">
        <f t="shared" si="48"/>
        <v>-3.3217398651027241E-2</v>
      </c>
      <c r="M146" s="142">
        <f t="shared" si="48"/>
        <v>-1.3510212239882136E-2</v>
      </c>
      <c r="N146" s="142">
        <f t="shared" si="48"/>
        <v>-1.9516152121009656E-2</v>
      </c>
      <c r="O146" s="142"/>
      <c r="P146" s="559">
        <f>(P141-(SUM(C129:N129)))/(SUM(C129:N129))</f>
        <v>-1.2715554781396968E-2</v>
      </c>
    </row>
    <row r="147" spans="1:26" ht="0.75" customHeight="1">
      <c r="A147" s="144" t="s">
        <v>169</v>
      </c>
      <c r="B147" s="144"/>
      <c r="C147" s="142">
        <f t="shared" si="47"/>
        <v>-1.2588065791038994E-2</v>
      </c>
      <c r="D147" s="142">
        <f t="shared" si="47"/>
        <v>5.4816535966695668E-2</v>
      </c>
      <c r="E147" s="142">
        <f t="shared" si="47"/>
        <v>6.676632021487805E-2</v>
      </c>
      <c r="F147" s="142">
        <f t="shared" si="47"/>
        <v>7.4023725369546156E-2</v>
      </c>
      <c r="G147" s="142">
        <f t="shared" si="47"/>
        <v>4.107410563344982E-2</v>
      </c>
      <c r="H147" s="142">
        <f t="shared" si="47"/>
        <v>-1.9069865482812198E-2</v>
      </c>
      <c r="I147" s="142">
        <f>SUM(I142/I130-1)</f>
        <v>-2.7977024320342547E-3</v>
      </c>
      <c r="J147" s="142">
        <f t="shared" si="48"/>
        <v>2.7789419631563117E-3</v>
      </c>
      <c r="K147" s="142">
        <f t="shared" si="48"/>
        <v>7.1843384454225445E-2</v>
      </c>
      <c r="L147" s="142">
        <f t="shared" si="48"/>
        <v>1.5554427701979456E-2</v>
      </c>
      <c r="M147" s="142">
        <f t="shared" si="48"/>
        <v>4.6060648720464226E-2</v>
      </c>
      <c r="N147" s="142">
        <f t="shared" si="48"/>
        <v>7.9842143987870928E-2</v>
      </c>
      <c r="O147" s="142"/>
      <c r="P147" s="117">
        <f>(P142-(SUM(C130:N130)))/(SUM(C130:N130))</f>
        <v>3.3209747510864182E-2</v>
      </c>
    </row>
    <row r="148" spans="1:26" ht="0.75" customHeight="1" thickBot="1">
      <c r="A148" s="145"/>
      <c r="B148" s="145"/>
      <c r="C148" s="145"/>
      <c r="D148" s="145"/>
      <c r="E148" s="145"/>
      <c r="F148" s="145"/>
      <c r="G148" s="145"/>
      <c r="H148" s="145"/>
      <c r="I148" s="145"/>
      <c r="J148" s="145"/>
      <c r="K148" s="145"/>
      <c r="L148" s="145"/>
      <c r="M148" s="145"/>
      <c r="N148" s="145"/>
      <c r="O148" s="145"/>
      <c r="P148" s="145"/>
    </row>
    <row r="149" spans="1:26" ht="0.75" customHeight="1">
      <c r="A149" s="3928" t="s">
        <v>287</v>
      </c>
      <c r="B149" s="3929"/>
      <c r="C149" s="3929"/>
      <c r="D149" s="3929"/>
      <c r="E149" s="3929"/>
      <c r="F149" s="3929"/>
      <c r="G149" s="3929"/>
      <c r="H149" s="3929"/>
      <c r="I149" s="3929"/>
      <c r="J149" s="3929"/>
      <c r="K149" s="3929"/>
      <c r="L149" s="3929"/>
      <c r="M149" s="3929"/>
      <c r="N149" s="3929"/>
      <c r="O149" s="3929"/>
      <c r="P149" s="3930"/>
    </row>
    <row r="150" spans="1:26" ht="0.75" customHeight="1">
      <c r="A150" s="163" t="s">
        <v>240</v>
      </c>
      <c r="B150" s="669"/>
      <c r="C150" s="131" t="s">
        <v>241</v>
      </c>
      <c r="D150" s="131" t="s">
        <v>230</v>
      </c>
      <c r="E150" s="131" t="s">
        <v>231</v>
      </c>
      <c r="F150" s="131" t="s">
        <v>242</v>
      </c>
      <c r="G150" s="131" t="s">
        <v>232</v>
      </c>
      <c r="H150" s="131" t="s">
        <v>233</v>
      </c>
      <c r="I150" s="131" t="s">
        <v>243</v>
      </c>
      <c r="J150" s="131" t="s">
        <v>244</v>
      </c>
      <c r="K150" s="131" t="s">
        <v>234</v>
      </c>
      <c r="L150" s="131" t="s">
        <v>235</v>
      </c>
      <c r="M150" s="131" t="s">
        <v>236</v>
      </c>
      <c r="N150" s="131" t="s">
        <v>245</v>
      </c>
      <c r="O150" s="131" t="s">
        <v>246</v>
      </c>
      <c r="P150" s="164" t="s">
        <v>169</v>
      </c>
    </row>
    <row r="151" spans="1:26" ht="0.75" customHeight="1">
      <c r="A151" s="165" t="s">
        <v>247</v>
      </c>
      <c r="B151" s="670"/>
      <c r="C151" s="134">
        <v>101497</v>
      </c>
      <c r="D151" s="134">
        <v>93167</v>
      </c>
      <c r="E151" s="134">
        <v>95353</v>
      </c>
      <c r="F151" s="134">
        <v>88814</v>
      </c>
      <c r="G151" s="134">
        <v>96056</v>
      </c>
      <c r="H151" s="134">
        <v>100515</v>
      </c>
      <c r="I151" s="134">
        <v>109542</v>
      </c>
      <c r="J151" s="134">
        <v>113575</v>
      </c>
      <c r="K151" s="134">
        <v>100469</v>
      </c>
      <c r="L151" s="134">
        <v>102647</v>
      </c>
      <c r="M151" s="134">
        <v>106274</v>
      </c>
      <c r="N151" s="134">
        <v>107422</v>
      </c>
      <c r="O151" s="73">
        <f>AVERAGE(C151:N151)</f>
        <v>101277.58333333333</v>
      </c>
      <c r="P151" s="166">
        <f>SUM(C151:N151)</f>
        <v>1215331</v>
      </c>
    </row>
    <row r="152" spans="1:26" ht="0.75" customHeight="1">
      <c r="A152" s="165" t="s">
        <v>254</v>
      </c>
      <c r="B152" s="670"/>
      <c r="C152" s="134">
        <v>14008</v>
      </c>
      <c r="D152" s="134">
        <v>12761</v>
      </c>
      <c r="E152" s="134">
        <v>11133</v>
      </c>
      <c r="F152" s="134">
        <v>8523</v>
      </c>
      <c r="G152" s="134">
        <v>7596</v>
      </c>
      <c r="H152" s="134">
        <v>9107</v>
      </c>
      <c r="I152" s="134">
        <v>11397</v>
      </c>
      <c r="J152" s="134">
        <v>10833</v>
      </c>
      <c r="K152" s="134">
        <v>8729</v>
      </c>
      <c r="L152" s="134">
        <v>5813</v>
      </c>
      <c r="M152" s="134">
        <v>5846</v>
      </c>
      <c r="N152" s="134">
        <v>7211</v>
      </c>
      <c r="O152" s="73">
        <f>AVERAGE(C152:N152)</f>
        <v>9413.0833333333339</v>
      </c>
      <c r="P152" s="166">
        <f>SUM(C152:N152)</f>
        <v>112957</v>
      </c>
    </row>
    <row r="153" spans="1:26" ht="0.75" customHeight="1" thickBot="1">
      <c r="A153" s="167" t="s">
        <v>263</v>
      </c>
      <c r="B153" s="671"/>
      <c r="C153" s="136">
        <v>125659</v>
      </c>
      <c r="D153" s="136">
        <v>116344</v>
      </c>
      <c r="E153" s="136">
        <v>134086</v>
      </c>
      <c r="F153" s="136">
        <v>128202</v>
      </c>
      <c r="G153" s="136">
        <v>122503</v>
      </c>
      <c r="H153" s="136">
        <v>121181</v>
      </c>
      <c r="I153" s="136">
        <v>129387</v>
      </c>
      <c r="J153" s="136">
        <v>131167</v>
      </c>
      <c r="K153" s="136">
        <v>119256</v>
      </c>
      <c r="L153" s="136">
        <v>123219</v>
      </c>
      <c r="M153" s="136">
        <v>116177</v>
      </c>
      <c r="N153" s="136">
        <v>111502</v>
      </c>
      <c r="O153" s="73">
        <f>AVERAGE(C153:N153)</f>
        <v>123223.58333333333</v>
      </c>
      <c r="P153" s="166">
        <f>SUM(C153:N153)</f>
        <v>1478683</v>
      </c>
    </row>
    <row r="154" spans="1:26" ht="0.75" customHeight="1" thickBot="1">
      <c r="A154" s="137" t="s">
        <v>288</v>
      </c>
      <c r="B154" s="672"/>
      <c r="C154" s="138">
        <f t="shared" ref="C154:N154" si="49">SUM(C151+C153)</f>
        <v>227156</v>
      </c>
      <c r="D154" s="138">
        <f t="shared" si="49"/>
        <v>209511</v>
      </c>
      <c r="E154" s="138">
        <f t="shared" si="49"/>
        <v>229439</v>
      </c>
      <c r="F154" s="138">
        <f t="shared" si="49"/>
        <v>217016</v>
      </c>
      <c r="G154" s="138">
        <f t="shared" si="49"/>
        <v>218559</v>
      </c>
      <c r="H154" s="138">
        <f t="shared" si="49"/>
        <v>221696</v>
      </c>
      <c r="I154" s="138">
        <f t="shared" si="49"/>
        <v>238929</v>
      </c>
      <c r="J154" s="138">
        <f t="shared" si="49"/>
        <v>244742</v>
      </c>
      <c r="K154" s="138">
        <f t="shared" si="49"/>
        <v>219725</v>
      </c>
      <c r="L154" s="138">
        <f t="shared" si="49"/>
        <v>225866</v>
      </c>
      <c r="M154" s="138">
        <f t="shared" si="49"/>
        <v>222451</v>
      </c>
      <c r="N154" s="138">
        <f t="shared" si="49"/>
        <v>218924</v>
      </c>
      <c r="O154" s="138">
        <f>SUM(O151+O153)</f>
        <v>224501.16666666666</v>
      </c>
      <c r="P154" s="1440">
        <f>SUM(P151+P153)</f>
        <v>2694014</v>
      </c>
    </row>
    <row r="155" spans="1:26" s="145" customFormat="1" ht="0.75" customHeight="1">
      <c r="A155" s="168"/>
      <c r="B155" s="673"/>
      <c r="C155" s="169"/>
      <c r="D155" s="169"/>
      <c r="E155" s="169"/>
      <c r="F155" s="169"/>
      <c r="G155" s="169"/>
      <c r="H155" s="169"/>
      <c r="I155" s="169"/>
      <c r="J155" s="169"/>
      <c r="K155" s="169"/>
      <c r="L155" s="169"/>
      <c r="M155" s="169"/>
      <c r="N155" s="169"/>
      <c r="O155" s="169"/>
      <c r="P155" s="170"/>
      <c r="Q155" s="691"/>
      <c r="R155" s="691"/>
      <c r="S155" s="691"/>
      <c r="T155" s="691"/>
      <c r="U155" s="691"/>
      <c r="V155" s="691"/>
      <c r="W155" s="691"/>
      <c r="X155" s="691"/>
      <c r="Y155" s="691"/>
      <c r="Z155" s="691"/>
    </row>
    <row r="156" spans="1:26" s="927" customFormat="1" ht="0.75" customHeight="1">
      <c r="A156" s="922" t="s">
        <v>289</v>
      </c>
      <c r="B156" s="923"/>
      <c r="C156" s="924"/>
      <c r="D156" s="924"/>
      <c r="E156" s="924"/>
      <c r="F156" s="924"/>
      <c r="G156" s="924"/>
      <c r="H156" s="924"/>
      <c r="I156" s="924"/>
      <c r="J156" s="924"/>
      <c r="K156" s="924"/>
      <c r="L156" s="924"/>
      <c r="M156" s="924"/>
      <c r="N156" s="924"/>
      <c r="O156" s="925"/>
      <c r="P156" s="926"/>
    </row>
    <row r="157" spans="1:26" s="927" customFormat="1" ht="0.75" customHeight="1">
      <c r="A157" s="928" t="s">
        <v>247</v>
      </c>
      <c r="B157" s="924"/>
      <c r="C157" s="925">
        <f t="shared" ref="C157:H157" si="50">SUM(C151/C139-1)</f>
        <v>0.18675241157556277</v>
      </c>
      <c r="D157" s="925">
        <f t="shared" si="50"/>
        <v>5.6722546106208638E-2</v>
      </c>
      <c r="E157" s="925">
        <f t="shared" si="50"/>
        <v>7.463006164700059E-2</v>
      </c>
      <c r="F157" s="925">
        <f t="shared" si="50"/>
        <v>8.3562297054882162E-3</v>
      </c>
      <c r="G157" s="925">
        <f t="shared" si="50"/>
        <v>2.3047756997401248E-2</v>
      </c>
      <c r="H157" s="925">
        <f t="shared" si="50"/>
        <v>4.2562119713454027E-3</v>
      </c>
      <c r="I157" s="925">
        <f t="shared" ref="I157:N157" si="51">SUM(I151/I139-1)</f>
        <v>2.2667438430083786E-2</v>
      </c>
      <c r="J157" s="925">
        <f t="shared" si="51"/>
        <v>-3.2242946855375432E-2</v>
      </c>
      <c r="K157" s="925">
        <f t="shared" si="51"/>
        <v>2.9954791023814265E-2</v>
      </c>
      <c r="L157" s="925">
        <f t="shared" si="51"/>
        <v>1.8343617928927136E-2</v>
      </c>
      <c r="M157" s="925">
        <f t="shared" si="51"/>
        <v>1.677174921786051E-2</v>
      </c>
      <c r="N157" s="925">
        <f t="shared" si="51"/>
        <v>-9.6322094353590404E-2</v>
      </c>
      <c r="O157" s="925"/>
      <c r="P157" s="929">
        <f>(P151-(SUM(C139:N139)))/(SUM(C139:N139))</f>
        <v>2.0693008771369925E-2</v>
      </c>
    </row>
    <row r="158" spans="1:26" s="927" customFormat="1" ht="0.75" customHeight="1">
      <c r="A158" s="928" t="s">
        <v>248</v>
      </c>
      <c r="B158" s="924"/>
      <c r="C158" s="925">
        <f t="shared" ref="C158:H158" si="52">SUM(C153/C141-1)</f>
        <v>-9.3232019281420664E-2</v>
      </c>
      <c r="D158" s="925">
        <f t="shared" si="52"/>
        <v>-0.10323883519092325</v>
      </c>
      <c r="E158" s="925">
        <f t="shared" si="52"/>
        <v>-3.9753074041980252E-2</v>
      </c>
      <c r="F158" s="925">
        <f t="shared" si="52"/>
        <v>-6.4833321175869818E-2</v>
      </c>
      <c r="G158" s="925">
        <f t="shared" si="52"/>
        <v>-8.9731681763127957E-2</v>
      </c>
      <c r="H158" s="925">
        <f t="shared" si="52"/>
        <v>-5.282204800725343E-2</v>
      </c>
      <c r="I158" s="925">
        <f t="shared" ref="I158:N159" si="53">SUM(I153/I141-1)</f>
        <v>-8.445252685356841E-2</v>
      </c>
      <c r="J158" s="925">
        <f t="shared" si="53"/>
        <v>-0.11508777137614179</v>
      </c>
      <c r="K158" s="925">
        <f t="shared" si="53"/>
        <v>-0.12146393210749651</v>
      </c>
      <c r="L158" s="925">
        <f t="shared" si="53"/>
        <v>-0.10266101546797168</v>
      </c>
      <c r="M158" s="925">
        <f t="shared" si="53"/>
        <v>-0.12817992165573544</v>
      </c>
      <c r="N158" s="925">
        <f t="shared" si="53"/>
        <v>-9.5597300629420512E-2</v>
      </c>
      <c r="O158" s="925"/>
      <c r="P158" s="930">
        <f>(P153-(SUM(C141:N141)))/(SUM(C141:N141))</f>
        <v>-9.1001133572178552E-2</v>
      </c>
    </row>
    <row r="159" spans="1:26" s="927" customFormat="1" ht="0.75" customHeight="1" thickBot="1">
      <c r="A159" s="931" t="s">
        <v>169</v>
      </c>
      <c r="B159" s="932"/>
      <c r="C159" s="933">
        <f t="shared" ref="C159:H159" si="54">SUM(C154/C142-1)</f>
        <v>1.3618677042801508E-2</v>
      </c>
      <c r="D159" s="933">
        <f t="shared" si="54"/>
        <v>-3.8516961597767851E-2</v>
      </c>
      <c r="E159" s="933">
        <f t="shared" si="54"/>
        <v>4.6897989210397117E-3</v>
      </c>
      <c r="F159" s="933">
        <f t="shared" si="54"/>
        <v>-3.6204078732324341E-2</v>
      </c>
      <c r="G159" s="933">
        <f t="shared" si="54"/>
        <v>-4.3384061872185131E-2</v>
      </c>
      <c r="H159" s="933">
        <f t="shared" si="54"/>
        <v>-2.7768519655480883E-2</v>
      </c>
      <c r="I159" s="933">
        <f t="shared" si="53"/>
        <v>-3.8267400859778755E-2</v>
      </c>
      <c r="J159" s="933">
        <f t="shared" si="53"/>
        <v>-7.8479582807764015E-2</v>
      </c>
      <c r="K159" s="933">
        <f t="shared" si="53"/>
        <v>-5.8150550171245374E-2</v>
      </c>
      <c r="L159" s="933">
        <f t="shared" si="53"/>
        <v>-5.1437546721318395E-2</v>
      </c>
      <c r="M159" s="933">
        <f t="shared" si="53"/>
        <v>-6.4463220048868952E-2</v>
      </c>
      <c r="N159" s="933">
        <f t="shared" si="53"/>
        <v>-9.5953088866864933E-2</v>
      </c>
      <c r="O159" s="933"/>
      <c r="P159" s="937">
        <f>(P154-(SUM(C142:N142)))/(SUM(C142:N142))</f>
        <v>-4.3796993548680205E-2</v>
      </c>
    </row>
    <row r="160" spans="1:26" ht="0.75" customHeight="1" thickBot="1">
      <c r="A160" s="145"/>
      <c r="B160" s="145"/>
      <c r="C160" s="145"/>
      <c r="D160" s="145"/>
      <c r="E160" s="145"/>
      <c r="F160" s="145"/>
      <c r="G160" s="145"/>
      <c r="H160" s="145"/>
      <c r="I160" s="145"/>
      <c r="J160" s="145"/>
      <c r="K160" s="145"/>
      <c r="L160" s="145"/>
      <c r="M160" s="145"/>
      <c r="N160" s="145"/>
      <c r="O160" s="145"/>
      <c r="P160" s="145"/>
    </row>
    <row r="161" spans="1:26" s="145" customFormat="1" ht="20.25" customHeight="1">
      <c r="A161" s="3928" t="s">
        <v>607</v>
      </c>
      <c r="B161" s="3929"/>
      <c r="C161" s="3929"/>
      <c r="D161" s="3929"/>
      <c r="E161" s="3929"/>
      <c r="F161" s="3929"/>
      <c r="G161" s="3929"/>
      <c r="H161" s="3929"/>
      <c r="I161" s="3929"/>
      <c r="J161" s="3929"/>
      <c r="K161" s="3929"/>
      <c r="L161" s="3929"/>
      <c r="M161" s="3929"/>
      <c r="N161" s="3929"/>
      <c r="O161" s="3929"/>
      <c r="P161" s="3930"/>
      <c r="Q161" s="691"/>
      <c r="R161" s="691"/>
      <c r="S161" s="691"/>
      <c r="T161" s="691"/>
      <c r="U161" s="691"/>
      <c r="V161" s="691"/>
      <c r="W161" s="691"/>
      <c r="X161" s="691"/>
      <c r="Y161" s="691"/>
      <c r="Z161" s="691"/>
    </row>
    <row r="162" spans="1:26" s="145" customFormat="1" ht="20.25" customHeight="1">
      <c r="A162" s="163" t="s">
        <v>240</v>
      </c>
      <c r="B162" s="669"/>
      <c r="C162" s="131" t="s">
        <v>241</v>
      </c>
      <c r="D162" s="131" t="s">
        <v>230</v>
      </c>
      <c r="E162" s="131" t="s">
        <v>231</v>
      </c>
      <c r="F162" s="131" t="s">
        <v>242</v>
      </c>
      <c r="G162" s="131" t="s">
        <v>232</v>
      </c>
      <c r="H162" s="131" t="s">
        <v>233</v>
      </c>
      <c r="I162" s="131" t="s">
        <v>243</v>
      </c>
      <c r="J162" s="131" t="s">
        <v>244</v>
      </c>
      <c r="K162" s="131" t="s">
        <v>234</v>
      </c>
      <c r="L162" s="131" t="s">
        <v>235</v>
      </c>
      <c r="M162" s="131" t="s">
        <v>236</v>
      </c>
      <c r="N162" s="131" t="s">
        <v>245</v>
      </c>
      <c r="O162" s="131" t="s">
        <v>246</v>
      </c>
      <c r="P162" s="164" t="s">
        <v>169</v>
      </c>
      <c r="Q162" s="691"/>
      <c r="R162" s="691"/>
      <c r="S162" s="691"/>
      <c r="T162" s="691"/>
      <c r="U162" s="691"/>
      <c r="V162" s="691"/>
      <c r="W162" s="691"/>
      <c r="X162" s="691"/>
      <c r="Y162" s="691"/>
      <c r="Z162" s="691"/>
    </row>
    <row r="163" spans="1:26" s="145" customFormat="1" ht="20.25" customHeight="1">
      <c r="A163" s="165" t="s">
        <v>247</v>
      </c>
      <c r="B163" s="670" t="s">
        <v>900</v>
      </c>
      <c r="C163" s="134">
        <v>91476</v>
      </c>
      <c r="D163" s="134">
        <v>89410</v>
      </c>
      <c r="E163" s="134">
        <v>91540</v>
      </c>
      <c r="F163" s="134">
        <v>79098</v>
      </c>
      <c r="G163" s="134">
        <v>82023</v>
      </c>
      <c r="H163" s="134">
        <v>92423</v>
      </c>
      <c r="I163" s="134">
        <v>101264</v>
      </c>
      <c r="J163" s="134">
        <v>106882</v>
      </c>
      <c r="K163" s="134">
        <v>86018</v>
      </c>
      <c r="L163" s="134">
        <v>92148</v>
      </c>
      <c r="M163" s="134">
        <v>89116</v>
      </c>
      <c r="N163" s="134">
        <v>93710</v>
      </c>
      <c r="O163" s="73">
        <f>AVERAGE(C163:N163)</f>
        <v>91259</v>
      </c>
      <c r="P163" s="166">
        <f>SUM(C163:N163)</f>
        <v>1095108</v>
      </c>
      <c r="Q163" s="691"/>
      <c r="R163" s="691"/>
      <c r="S163" s="691"/>
      <c r="T163" s="691"/>
      <c r="U163" s="691"/>
      <c r="V163" s="691"/>
      <c r="W163" s="691"/>
      <c r="X163" s="691"/>
      <c r="Y163" s="691"/>
      <c r="Z163" s="691"/>
    </row>
    <row r="164" spans="1:26" s="145" customFormat="1" ht="20.25" customHeight="1">
      <c r="A164" s="165" t="s">
        <v>254</v>
      </c>
      <c r="B164" s="670" t="s">
        <v>900</v>
      </c>
      <c r="C164" s="134">
        <v>5041</v>
      </c>
      <c r="D164" s="134">
        <v>4729</v>
      </c>
      <c r="E164" s="134">
        <v>5310</v>
      </c>
      <c r="F164" s="134">
        <v>5347</v>
      </c>
      <c r="G164" s="134">
        <v>5310</v>
      </c>
      <c r="H164" s="134">
        <v>6639</v>
      </c>
      <c r="I164" s="134">
        <v>5258</v>
      </c>
      <c r="J164" s="134">
        <v>5275</v>
      </c>
      <c r="K164" s="134">
        <v>6015</v>
      </c>
      <c r="L164" s="134">
        <v>5583</v>
      </c>
      <c r="M164" s="134">
        <v>5789</v>
      </c>
      <c r="N164" s="134">
        <v>6617</v>
      </c>
      <c r="O164" s="73">
        <f>AVERAGE(C164:N164)</f>
        <v>5576.083333333333</v>
      </c>
      <c r="P164" s="166">
        <f>SUM(C164:N164)</f>
        <v>66913</v>
      </c>
      <c r="Q164" s="691"/>
      <c r="R164" s="691"/>
      <c r="S164" s="691"/>
      <c r="T164" s="691"/>
      <c r="U164" s="691"/>
      <c r="V164" s="691"/>
      <c r="W164" s="691"/>
      <c r="X164" s="691"/>
      <c r="Y164" s="691"/>
      <c r="Z164" s="691"/>
    </row>
    <row r="165" spans="1:26" s="145" customFormat="1" ht="20.25" customHeight="1" thickBot="1">
      <c r="A165" s="167" t="s">
        <v>263</v>
      </c>
      <c r="B165" s="671" t="s">
        <v>900</v>
      </c>
      <c r="C165" s="136">
        <v>111070</v>
      </c>
      <c r="D165" s="136">
        <v>107374</v>
      </c>
      <c r="E165" s="136">
        <v>117081</v>
      </c>
      <c r="F165" s="136">
        <v>99773</v>
      </c>
      <c r="G165" s="136">
        <v>103633</v>
      </c>
      <c r="H165" s="136">
        <v>105930</v>
      </c>
      <c r="I165" s="136">
        <v>115522</v>
      </c>
      <c r="J165" s="136">
        <v>116655</v>
      </c>
      <c r="K165" s="136">
        <v>105556</v>
      </c>
      <c r="L165" s="136">
        <v>112366</v>
      </c>
      <c r="M165" s="136">
        <v>109793</v>
      </c>
      <c r="N165" s="136">
        <v>108669</v>
      </c>
      <c r="O165" s="73">
        <f>AVERAGE(C165:N165)</f>
        <v>109451.83333333333</v>
      </c>
      <c r="P165" s="166">
        <f>SUM(C165:N165)</f>
        <v>1313422</v>
      </c>
      <c r="Q165" s="691"/>
      <c r="R165" s="691"/>
      <c r="S165" s="691"/>
      <c r="T165" s="691"/>
      <c r="U165" s="691"/>
      <c r="V165" s="691"/>
      <c r="W165" s="691"/>
      <c r="X165" s="691"/>
      <c r="Y165" s="691"/>
      <c r="Z165" s="691"/>
    </row>
    <row r="166" spans="1:26" s="145" customFormat="1" ht="20.25" customHeight="1" thickBot="1">
      <c r="A166" s="137" t="s">
        <v>682</v>
      </c>
      <c r="B166" s="672"/>
      <c r="C166" s="138">
        <f>SUM(C163+C165)</f>
        <v>202546</v>
      </c>
      <c r="D166" s="138">
        <f t="shared" ref="D166:N166" si="55">SUM(D163+D165)</f>
        <v>196784</v>
      </c>
      <c r="E166" s="138">
        <f t="shared" si="55"/>
        <v>208621</v>
      </c>
      <c r="F166" s="138">
        <f t="shared" si="55"/>
        <v>178871</v>
      </c>
      <c r="G166" s="138">
        <f t="shared" si="55"/>
        <v>185656</v>
      </c>
      <c r="H166" s="138">
        <f t="shared" si="55"/>
        <v>198353</v>
      </c>
      <c r="I166" s="138">
        <f t="shared" si="55"/>
        <v>216786</v>
      </c>
      <c r="J166" s="138">
        <f t="shared" si="55"/>
        <v>223537</v>
      </c>
      <c r="K166" s="138">
        <f t="shared" si="55"/>
        <v>191574</v>
      </c>
      <c r="L166" s="138">
        <f t="shared" si="55"/>
        <v>204514</v>
      </c>
      <c r="M166" s="138">
        <f t="shared" si="55"/>
        <v>198909</v>
      </c>
      <c r="N166" s="138">
        <f t="shared" si="55"/>
        <v>202379</v>
      </c>
      <c r="O166" s="138">
        <f>SUM(O163+O165)</f>
        <v>200710.83333333331</v>
      </c>
      <c r="P166" s="1440">
        <f>SUM(P163+P165)</f>
        <v>2408530</v>
      </c>
      <c r="Q166" s="691"/>
      <c r="R166" s="691"/>
      <c r="S166" s="691"/>
      <c r="T166" s="691"/>
      <c r="U166" s="691"/>
      <c r="V166" s="691"/>
      <c r="W166" s="691"/>
      <c r="X166" s="691"/>
      <c r="Y166" s="691"/>
      <c r="Z166" s="691"/>
    </row>
    <row r="167" spans="1:26" s="145" customFormat="1" ht="20.25" customHeight="1">
      <c r="A167" s="168"/>
      <c r="B167" s="673"/>
      <c r="C167" s="169"/>
      <c r="D167" s="169"/>
      <c r="E167" s="169"/>
      <c r="F167" s="169"/>
      <c r="G167" s="169"/>
      <c r="H167" s="169"/>
      <c r="I167" s="169"/>
      <c r="J167" s="169"/>
      <c r="K167" s="169"/>
      <c r="L167" s="169"/>
      <c r="M167" s="169"/>
      <c r="N167" s="169"/>
      <c r="O167" s="169"/>
      <c r="P167" s="170"/>
      <c r="Q167" s="691"/>
      <c r="R167" s="691"/>
      <c r="S167" s="691"/>
      <c r="T167" s="691"/>
      <c r="U167" s="691"/>
      <c r="V167" s="691"/>
      <c r="W167" s="691"/>
      <c r="X167" s="691"/>
      <c r="Y167" s="691"/>
      <c r="Z167" s="691"/>
    </row>
    <row r="168" spans="1:26" s="927" customFormat="1" ht="20.25" customHeight="1">
      <c r="A168" s="922" t="s">
        <v>608</v>
      </c>
      <c r="B168" s="923"/>
      <c r="C168" s="924"/>
      <c r="D168" s="924"/>
      <c r="E168" s="924"/>
      <c r="F168" s="924"/>
      <c r="G168" s="924"/>
      <c r="H168" s="924"/>
      <c r="I168" s="924"/>
      <c r="J168" s="924"/>
      <c r="K168" s="924"/>
      <c r="L168" s="924"/>
      <c r="M168" s="924"/>
      <c r="N168" s="924"/>
      <c r="O168" s="925"/>
      <c r="P168" s="926"/>
    </row>
    <row r="169" spans="1:26" s="927" customFormat="1" ht="20.25" customHeight="1">
      <c r="A169" s="928" t="s">
        <v>247</v>
      </c>
      <c r="B169" s="924"/>
      <c r="C169" s="925">
        <f t="shared" ref="C169:N169" si="56">SUM(C163/C151-1)</f>
        <v>-9.8731982226075599E-2</v>
      </c>
      <c r="D169" s="925">
        <f t="shared" si="56"/>
        <v>-4.0325437118292951E-2</v>
      </c>
      <c r="E169" s="925">
        <f t="shared" si="56"/>
        <v>-3.998825417134233E-2</v>
      </c>
      <c r="F169" s="925">
        <f t="shared" si="56"/>
        <v>-0.10939716711329295</v>
      </c>
      <c r="G169" s="925">
        <f t="shared" si="56"/>
        <v>-0.1460918630798701</v>
      </c>
      <c r="H169" s="925">
        <f t="shared" si="56"/>
        <v>-8.0505397204397311E-2</v>
      </c>
      <c r="I169" s="925">
        <f t="shared" si="56"/>
        <v>-7.556918807398072E-2</v>
      </c>
      <c r="J169" s="925">
        <f t="shared" si="56"/>
        <v>-5.893022232005285E-2</v>
      </c>
      <c r="K169" s="925">
        <f t="shared" si="56"/>
        <v>-0.14383541191810412</v>
      </c>
      <c r="L169" s="925">
        <f t="shared" si="56"/>
        <v>-0.10228258010463043</v>
      </c>
      <c r="M169" s="925">
        <f t="shared" si="56"/>
        <v>-0.16145058998438</v>
      </c>
      <c r="N169" s="925">
        <f t="shared" si="56"/>
        <v>-0.12764610601180393</v>
      </c>
      <c r="O169" s="925"/>
      <c r="P169" s="929">
        <f>(P163-(SUM(C151:N151)))/(SUM(C151:N151))</f>
        <v>-9.8922022066416468E-2</v>
      </c>
    </row>
    <row r="170" spans="1:26" s="927" customFormat="1" ht="20.25" customHeight="1">
      <c r="A170" s="928" t="s">
        <v>248</v>
      </c>
      <c r="B170" s="924"/>
      <c r="C170" s="925">
        <f t="shared" ref="C170:N170" si="57">SUM(C165/C153-1)</f>
        <v>-0.11609992121535262</v>
      </c>
      <c r="D170" s="925">
        <f t="shared" si="57"/>
        <v>-7.709894794746619E-2</v>
      </c>
      <c r="E170" s="925">
        <f t="shared" si="57"/>
        <v>-0.12682159211252475</v>
      </c>
      <c r="F170" s="925">
        <f t="shared" si="57"/>
        <v>-0.22175161073930205</v>
      </c>
      <c r="G170" s="925">
        <f t="shared" si="57"/>
        <v>-0.15403704399075946</v>
      </c>
      <c r="H170" s="925">
        <f t="shared" si="57"/>
        <v>-0.12585306277386721</v>
      </c>
      <c r="I170" s="925">
        <f t="shared" si="57"/>
        <v>-0.10715914272685823</v>
      </c>
      <c r="J170" s="925">
        <f t="shared" si="57"/>
        <v>-0.11063758414845193</v>
      </c>
      <c r="K170" s="925">
        <f t="shared" si="57"/>
        <v>-0.1148789159455289</v>
      </c>
      <c r="L170" s="925">
        <f t="shared" si="57"/>
        <v>-8.8078948863405837E-2</v>
      </c>
      <c r="M170" s="925">
        <f t="shared" si="57"/>
        <v>-5.4950635667989411E-2</v>
      </c>
      <c r="N170" s="925">
        <f t="shared" si="57"/>
        <v>-2.540761600688779E-2</v>
      </c>
      <c r="O170" s="925"/>
      <c r="P170" s="930">
        <f>(P165-(SUM(C153:N153)))/(SUM(C153:N153))</f>
        <v>-0.11176229117397035</v>
      </c>
    </row>
    <row r="171" spans="1:26" s="927" customFormat="1" ht="20.25" customHeight="1" thickBot="1">
      <c r="A171" s="931" t="s">
        <v>169</v>
      </c>
      <c r="B171" s="932"/>
      <c r="C171" s="933">
        <f t="shared" ref="C171:N171" si="58">SUM(C166/C154-1)</f>
        <v>-0.1083396432407685</v>
      </c>
      <c r="D171" s="933">
        <f t="shared" si="58"/>
        <v>-6.0746213802616578E-2</v>
      </c>
      <c r="E171" s="933">
        <f t="shared" si="58"/>
        <v>-9.0734356408457173E-2</v>
      </c>
      <c r="F171" s="933">
        <f t="shared" si="58"/>
        <v>-0.17577045010506143</v>
      </c>
      <c r="G171" s="933">
        <f t="shared" si="58"/>
        <v>-0.15054516171834609</v>
      </c>
      <c r="H171" s="933">
        <f t="shared" si="58"/>
        <v>-0.10529283342956119</v>
      </c>
      <c r="I171" s="933">
        <f t="shared" si="58"/>
        <v>-9.2676066948758851E-2</v>
      </c>
      <c r="J171" s="933">
        <f t="shared" si="58"/>
        <v>-8.6642260012584682E-2</v>
      </c>
      <c r="K171" s="933">
        <f t="shared" si="58"/>
        <v>-0.12811923995903973</v>
      </c>
      <c r="L171" s="933">
        <f t="shared" si="58"/>
        <v>-9.4533927195770917E-2</v>
      </c>
      <c r="M171" s="933">
        <f t="shared" si="58"/>
        <v>-0.10583004796561934</v>
      </c>
      <c r="N171" s="933">
        <f t="shared" si="58"/>
        <v>-7.5574171858727279E-2</v>
      </c>
      <c r="O171" s="933"/>
      <c r="P171" s="937">
        <f>(P166-(SUM(C154:N154)))/(SUM(C154:N154))</f>
        <v>-0.10596975368353691</v>
      </c>
    </row>
    <row r="172" spans="1:26" s="145" customFormat="1">
      <c r="C172" s="125"/>
      <c r="Q172" s="691"/>
      <c r="R172" s="691"/>
      <c r="S172" s="691"/>
      <c r="T172" s="691"/>
      <c r="U172" s="691"/>
      <c r="V172" s="691"/>
      <c r="W172" s="691"/>
      <c r="X172" s="691"/>
      <c r="Y172" s="691"/>
      <c r="Z172" s="691"/>
    </row>
    <row r="173" spans="1:26" s="145" customFormat="1">
      <c r="A173" s="3926" t="s">
        <v>690</v>
      </c>
      <c r="B173" s="3927"/>
      <c r="C173" s="3927"/>
      <c r="D173" s="3927"/>
      <c r="E173" s="3927"/>
      <c r="F173" s="3927"/>
      <c r="G173" s="3927"/>
      <c r="H173" s="3927"/>
      <c r="I173" s="3927"/>
      <c r="J173" s="3927"/>
      <c r="K173" s="3927"/>
      <c r="L173" s="3927"/>
      <c r="M173" s="3927"/>
      <c r="N173" s="3927"/>
      <c r="O173" s="3927"/>
      <c r="P173" s="3927"/>
    </row>
    <row r="174" spans="1:26" s="145" customFormat="1">
      <c r="A174" s="130" t="s">
        <v>240</v>
      </c>
      <c r="B174" s="669"/>
      <c r="C174" s="131" t="s">
        <v>241</v>
      </c>
      <c r="D174" s="131" t="s">
        <v>230</v>
      </c>
      <c r="E174" s="131" t="s">
        <v>231</v>
      </c>
      <c r="F174" s="131" t="s">
        <v>242</v>
      </c>
      <c r="G174" s="131" t="s">
        <v>232</v>
      </c>
      <c r="H174" s="131" t="s">
        <v>233</v>
      </c>
      <c r="I174" s="131" t="s">
        <v>243</v>
      </c>
      <c r="J174" s="131" t="s">
        <v>244</v>
      </c>
      <c r="K174" s="131" t="s">
        <v>234</v>
      </c>
      <c r="L174" s="131" t="s">
        <v>235</v>
      </c>
      <c r="M174" s="131" t="s">
        <v>236</v>
      </c>
      <c r="N174" s="131" t="s">
        <v>245</v>
      </c>
      <c r="O174" s="131" t="s">
        <v>246</v>
      </c>
      <c r="P174" s="132" t="s">
        <v>169</v>
      </c>
    </row>
    <row r="175" spans="1:26" s="145" customFormat="1">
      <c r="A175" s="133" t="s">
        <v>247</v>
      </c>
      <c r="B175" s="670" t="s">
        <v>1076</v>
      </c>
      <c r="C175" s="134">
        <v>83463</v>
      </c>
      <c r="D175" s="134">
        <v>74071</v>
      </c>
      <c r="E175" s="134">
        <v>90026</v>
      </c>
      <c r="F175" s="134">
        <v>92096</v>
      </c>
      <c r="G175" s="134">
        <v>93596</v>
      </c>
      <c r="H175" s="134">
        <v>98801</v>
      </c>
      <c r="I175" s="134">
        <v>106597</v>
      </c>
      <c r="J175" s="134">
        <v>116007</v>
      </c>
      <c r="K175" s="134">
        <v>94361</v>
      </c>
      <c r="L175" s="134">
        <v>95563</v>
      </c>
      <c r="M175" s="134">
        <v>95832</v>
      </c>
      <c r="N175" s="134">
        <v>103702</v>
      </c>
      <c r="O175" s="73">
        <f>AVERAGEIF(C175:N175, "&lt;&gt;0")</f>
        <v>95342.916666666672</v>
      </c>
      <c r="P175" s="81">
        <f>SUM(C175:N175)</f>
        <v>1144115</v>
      </c>
      <c r="Q175" s="2298"/>
    </row>
    <row r="176" spans="1:26" s="145" customFormat="1">
      <c r="A176" s="133" t="s">
        <v>254</v>
      </c>
      <c r="B176" s="670" t="s">
        <v>1076</v>
      </c>
      <c r="C176" s="134">
        <v>4624</v>
      </c>
      <c r="D176" s="134">
        <v>5197</v>
      </c>
      <c r="E176" s="134">
        <v>6725</v>
      </c>
      <c r="F176" s="134">
        <v>5704</v>
      </c>
      <c r="G176" s="134">
        <v>5599</v>
      </c>
      <c r="H176" s="134">
        <v>4889</v>
      </c>
      <c r="I176" s="134">
        <v>4647</v>
      </c>
      <c r="J176" s="134">
        <v>4047</v>
      </c>
      <c r="K176" s="134">
        <v>4286</v>
      </c>
      <c r="L176" s="134">
        <v>5410</v>
      </c>
      <c r="M176" s="134">
        <v>4756</v>
      </c>
      <c r="N176" s="134">
        <v>5233</v>
      </c>
      <c r="O176" s="73">
        <f>AVERAGEIF(C176:N176, "&lt;&gt;0")</f>
        <v>5093.083333333333</v>
      </c>
      <c r="P176" s="81">
        <f>SUM(C176:N176)</f>
        <v>61117</v>
      </c>
      <c r="Q176" s="2298"/>
    </row>
    <row r="177" spans="1:26" s="145" customFormat="1" ht="12" thickBot="1">
      <c r="A177" s="135" t="s">
        <v>263</v>
      </c>
      <c r="B177" s="671" t="s">
        <v>1076</v>
      </c>
      <c r="C177" s="136">
        <v>114740</v>
      </c>
      <c r="D177" s="136">
        <v>99942</v>
      </c>
      <c r="E177" s="136">
        <v>118558</v>
      </c>
      <c r="F177" s="136">
        <v>106528</v>
      </c>
      <c r="G177" s="136">
        <v>109519</v>
      </c>
      <c r="H177" s="136">
        <v>104030</v>
      </c>
      <c r="I177" s="136">
        <v>117847</v>
      </c>
      <c r="J177" s="136">
        <v>120681</v>
      </c>
      <c r="K177" s="136">
        <v>104295</v>
      </c>
      <c r="L177" s="136">
        <v>100926</v>
      </c>
      <c r="M177" s="136">
        <v>102365</v>
      </c>
      <c r="N177" s="136">
        <v>103932</v>
      </c>
      <c r="O177" s="73">
        <f>AVERAGEIF(C177:N177, "&lt;&gt;0")</f>
        <v>108613.58333333333</v>
      </c>
      <c r="P177" s="81">
        <f>SUM(C177:N177)</f>
        <v>1303363</v>
      </c>
      <c r="Q177" s="2298"/>
    </row>
    <row r="178" spans="1:26" s="145" customFormat="1" ht="12" thickBot="1">
      <c r="A178" s="137" t="s">
        <v>687</v>
      </c>
      <c r="B178" s="672"/>
      <c r="C178" s="138">
        <f t="shared" ref="C178:N178" si="59">SUM(C175+C177)</f>
        <v>198203</v>
      </c>
      <c r="D178" s="138">
        <f t="shared" si="59"/>
        <v>174013</v>
      </c>
      <c r="E178" s="138">
        <f t="shared" si="59"/>
        <v>208584</v>
      </c>
      <c r="F178" s="138">
        <f t="shared" si="59"/>
        <v>198624</v>
      </c>
      <c r="G178" s="138">
        <f t="shared" si="59"/>
        <v>203115</v>
      </c>
      <c r="H178" s="138">
        <f t="shared" si="59"/>
        <v>202831</v>
      </c>
      <c r="I178" s="138">
        <f t="shared" si="59"/>
        <v>224444</v>
      </c>
      <c r="J178" s="138">
        <f t="shared" si="59"/>
        <v>236688</v>
      </c>
      <c r="K178" s="138">
        <f t="shared" si="59"/>
        <v>198656</v>
      </c>
      <c r="L178" s="138">
        <f t="shared" si="59"/>
        <v>196489</v>
      </c>
      <c r="M178" s="138">
        <f t="shared" si="59"/>
        <v>198197</v>
      </c>
      <c r="N178" s="138">
        <f t="shared" si="59"/>
        <v>207634</v>
      </c>
      <c r="O178" s="138">
        <f>SUM(O175+O177)</f>
        <v>203956.5</v>
      </c>
      <c r="P178" s="1441">
        <f>SUM(P175+P177)</f>
        <v>2447478</v>
      </c>
      <c r="Q178" s="2298"/>
    </row>
    <row r="179" spans="1:26" s="145" customFormat="1">
      <c r="C179" s="918"/>
      <c r="D179" s="918"/>
      <c r="E179" s="918"/>
      <c r="F179" s="918"/>
      <c r="G179" s="918"/>
      <c r="H179" s="918"/>
      <c r="I179" s="918"/>
      <c r="J179" s="918"/>
      <c r="K179" s="918"/>
      <c r="L179" s="918"/>
      <c r="M179" s="918"/>
      <c r="N179" s="918"/>
    </row>
    <row r="180" spans="1:26" s="145" customFormat="1">
      <c r="A180" s="171" t="s">
        <v>688</v>
      </c>
      <c r="B180" s="140"/>
      <c r="C180" s="143"/>
      <c r="D180" s="143"/>
      <c r="E180" s="143"/>
      <c r="F180" s="143"/>
      <c r="G180" s="143"/>
      <c r="H180" s="143"/>
      <c r="I180" s="143"/>
      <c r="J180" s="143"/>
      <c r="K180" s="143"/>
      <c r="L180" s="143"/>
      <c r="M180" s="143"/>
      <c r="N180" s="143"/>
      <c r="O180" s="172"/>
      <c r="P180" s="173"/>
      <c r="Q180" s="691"/>
      <c r="R180" s="691"/>
      <c r="S180" s="691"/>
      <c r="T180" s="691"/>
      <c r="U180" s="691"/>
      <c r="V180" s="691"/>
      <c r="W180" s="691"/>
      <c r="X180" s="691"/>
      <c r="Y180" s="691"/>
      <c r="Z180" s="691"/>
    </row>
    <row r="181" spans="1:26" s="145" customFormat="1">
      <c r="A181" s="174" t="s">
        <v>247</v>
      </c>
      <c r="B181" s="143"/>
      <c r="C181" s="172">
        <f>SUM(C175/C163-1)</f>
        <v>-8.7596746687655824E-2</v>
      </c>
      <c r="D181" s="172">
        <f t="shared" ref="D181:O181" si="60">SUM(D175/D163-1)</f>
        <v>-0.17155799127614357</v>
      </c>
      <c r="E181" s="172">
        <f t="shared" si="60"/>
        <v>-1.6539217828271835E-2</v>
      </c>
      <c r="F181" s="172">
        <f t="shared" si="60"/>
        <v>0.16432779589875857</v>
      </c>
      <c r="G181" s="172">
        <f t="shared" si="60"/>
        <v>0.1410945710349536</v>
      </c>
      <c r="H181" s="172">
        <f t="shared" si="60"/>
        <v>6.9008796511690784E-2</v>
      </c>
      <c r="I181" s="172">
        <f t="shared" si="60"/>
        <v>5.2664322957813203E-2</v>
      </c>
      <c r="J181" s="172">
        <f t="shared" si="60"/>
        <v>8.5374525177298377E-2</v>
      </c>
      <c r="K181" s="172">
        <f t="shared" si="60"/>
        <v>9.6991327396591442E-2</v>
      </c>
      <c r="L181" s="172">
        <f t="shared" si="60"/>
        <v>3.7059947041715446E-2</v>
      </c>
      <c r="M181" s="172">
        <f t="shared" si="60"/>
        <v>7.5362448942950744E-2</v>
      </c>
      <c r="N181" s="172">
        <f t="shared" si="60"/>
        <v>0.10662682744637708</v>
      </c>
      <c r="O181" s="142">
        <f t="shared" si="60"/>
        <v>4.4750837360333362E-2</v>
      </c>
      <c r="P181" s="818">
        <f>SUM(P175/P163-1)</f>
        <v>4.4750837360333362E-2</v>
      </c>
      <c r="Q181" s="691"/>
      <c r="R181" s="691"/>
      <c r="S181" s="691"/>
      <c r="T181" s="691"/>
      <c r="U181" s="691"/>
      <c r="V181" s="691"/>
      <c r="W181" s="691"/>
      <c r="X181" s="691"/>
      <c r="Y181" s="691"/>
      <c r="Z181" s="691"/>
    </row>
    <row r="182" spans="1:26" s="145" customFormat="1">
      <c r="A182" s="174" t="s">
        <v>248</v>
      </c>
      <c r="B182" s="143"/>
      <c r="C182" s="172">
        <f>SUM(C177/C165-1)</f>
        <v>3.3042225623480581E-2</v>
      </c>
      <c r="D182" s="172">
        <f t="shared" ref="D182:O183" si="61">SUM(D177/D165-1)</f>
        <v>-6.9216011324901738E-2</v>
      </c>
      <c r="E182" s="172">
        <f t="shared" si="61"/>
        <v>1.2615198025298646E-2</v>
      </c>
      <c r="F182" s="172">
        <f t="shared" si="61"/>
        <v>6.7703687370330723E-2</v>
      </c>
      <c r="G182" s="172">
        <f t="shared" si="61"/>
        <v>5.6796580239884875E-2</v>
      </c>
      <c r="H182" s="172">
        <f t="shared" si="61"/>
        <v>-1.7936373076560042E-2</v>
      </c>
      <c r="I182" s="172">
        <f t="shared" si="61"/>
        <v>2.0126036599089403E-2</v>
      </c>
      <c r="J182" s="172">
        <f t="shared" si="61"/>
        <v>3.4512022630834416E-2</v>
      </c>
      <c r="K182" s="172">
        <f t="shared" si="61"/>
        <v>-1.194626548940847E-2</v>
      </c>
      <c r="L182" s="172">
        <f t="shared" si="61"/>
        <v>-0.10181015609704003</v>
      </c>
      <c r="M182" s="172">
        <f t="shared" si="61"/>
        <v>-6.7654586357964508E-2</v>
      </c>
      <c r="N182" s="172">
        <f t="shared" si="61"/>
        <v>-4.3591088534908784E-2</v>
      </c>
      <c r="O182" s="142">
        <f t="shared" si="61"/>
        <v>-7.6586200017968453E-3</v>
      </c>
      <c r="P182" s="819">
        <f>SUM(P177/P165-1)</f>
        <v>-7.6586200017968453E-3</v>
      </c>
      <c r="Q182" s="691"/>
      <c r="R182" s="691"/>
      <c r="S182" s="691"/>
      <c r="T182" s="691"/>
      <c r="U182" s="691"/>
      <c r="V182" s="691"/>
      <c r="W182" s="691"/>
      <c r="X182" s="691"/>
      <c r="Y182" s="691"/>
      <c r="Z182" s="691"/>
    </row>
    <row r="183" spans="1:26" s="145" customFormat="1" ht="12" thickBot="1">
      <c r="A183" s="175" t="s">
        <v>169</v>
      </c>
      <c r="B183" s="674"/>
      <c r="C183" s="176">
        <f>SUM(C178/C166-1)</f>
        <v>-2.1442042795216887E-2</v>
      </c>
      <c r="D183" s="176">
        <f t="shared" ref="D183:N183" si="62">SUM(D178/D166-1)</f>
        <v>-0.11571570859419467</v>
      </c>
      <c r="E183" s="176">
        <f t="shared" si="62"/>
        <v>-1.7735510806682342E-4</v>
      </c>
      <c r="F183" s="176">
        <f t="shared" si="62"/>
        <v>0.11043154004841482</v>
      </c>
      <c r="G183" s="176">
        <f t="shared" si="62"/>
        <v>9.4039513939759622E-2</v>
      </c>
      <c r="H183" s="176">
        <f t="shared" si="62"/>
        <v>2.257591264059533E-2</v>
      </c>
      <c r="I183" s="176">
        <f t="shared" si="62"/>
        <v>3.532515937376024E-2</v>
      </c>
      <c r="J183" s="176">
        <f t="shared" si="62"/>
        <v>5.8831423880610467E-2</v>
      </c>
      <c r="K183" s="176">
        <f t="shared" si="62"/>
        <v>3.6967438170106615E-2</v>
      </c>
      <c r="L183" s="176">
        <f t="shared" si="62"/>
        <v>-3.9239367476065157E-2</v>
      </c>
      <c r="M183" s="176">
        <f t="shared" si="62"/>
        <v>-3.5795263160540713E-3</v>
      </c>
      <c r="N183" s="176">
        <f t="shared" si="62"/>
        <v>2.5966132849752244E-2</v>
      </c>
      <c r="O183" s="176">
        <f t="shared" si="61"/>
        <v>1.6170859403868754E-2</v>
      </c>
      <c r="P183" s="1670">
        <f>SUM(P178/P166-1)</f>
        <v>1.6170859403868754E-2</v>
      </c>
      <c r="Q183" s="691"/>
      <c r="R183" s="691"/>
      <c r="S183" s="691"/>
      <c r="T183" s="691"/>
      <c r="U183" s="691"/>
      <c r="V183" s="691"/>
      <c r="W183" s="691"/>
      <c r="X183" s="691"/>
      <c r="Y183" s="691"/>
      <c r="Z183" s="691"/>
    </row>
    <row r="184" spans="1:26" s="145" customFormat="1">
      <c r="B184" s="918"/>
      <c r="C184" s="918"/>
      <c r="D184" s="918"/>
      <c r="E184" s="918"/>
      <c r="F184" s="918"/>
      <c r="G184" s="918"/>
      <c r="H184" s="918"/>
      <c r="I184" s="918"/>
      <c r="J184" s="918"/>
      <c r="K184" s="918"/>
      <c r="L184" s="918"/>
      <c r="M184" s="918"/>
      <c r="N184" s="918"/>
    </row>
    <row r="185" spans="1:26" s="145" customFormat="1">
      <c r="A185" s="3923" t="s">
        <v>1012</v>
      </c>
      <c r="B185" s="3924"/>
      <c r="C185" s="3924"/>
      <c r="D185" s="3924"/>
      <c r="E185" s="3924"/>
      <c r="F185" s="3924"/>
      <c r="G185" s="3924"/>
      <c r="H185" s="3924"/>
      <c r="I185" s="3924"/>
      <c r="J185" s="3924"/>
      <c r="K185" s="3924"/>
      <c r="L185" s="3924"/>
      <c r="M185" s="3924"/>
      <c r="N185" s="3924"/>
      <c r="O185" s="3925"/>
    </row>
    <row r="186" spans="1:26" s="145" customFormat="1">
      <c r="A186" s="130" t="s">
        <v>240</v>
      </c>
      <c r="B186" s="669"/>
      <c r="C186" s="131" t="s">
        <v>241</v>
      </c>
      <c r="D186" s="131" t="s">
        <v>230</v>
      </c>
      <c r="E186" s="131" t="s">
        <v>231</v>
      </c>
      <c r="F186" s="131" t="s">
        <v>242</v>
      </c>
      <c r="G186" s="131" t="s">
        <v>232</v>
      </c>
      <c r="H186" s="131" t="s">
        <v>233</v>
      </c>
      <c r="I186" s="131" t="s">
        <v>243</v>
      </c>
      <c r="J186" s="131" t="s">
        <v>244</v>
      </c>
      <c r="K186" s="131" t="s">
        <v>234</v>
      </c>
      <c r="L186" s="131" t="s">
        <v>235</v>
      </c>
      <c r="M186" s="131" t="s">
        <v>236</v>
      </c>
      <c r="N186" s="131" t="s">
        <v>245</v>
      </c>
      <c r="O186" s="131" t="s">
        <v>246</v>
      </c>
      <c r="P186" s="132" t="s">
        <v>169</v>
      </c>
    </row>
    <row r="187" spans="1:26" s="145" customFormat="1">
      <c r="A187" s="133" t="s">
        <v>247</v>
      </c>
      <c r="B187" s="670" t="s">
        <v>1142</v>
      </c>
      <c r="C187" s="134">
        <v>89795</v>
      </c>
      <c r="D187" s="134">
        <v>101814</v>
      </c>
      <c r="E187" s="134">
        <v>90272</v>
      </c>
      <c r="F187" s="134">
        <v>90685</v>
      </c>
      <c r="G187" s="134">
        <v>97675</v>
      </c>
      <c r="H187" s="134">
        <v>106021</v>
      </c>
      <c r="I187" s="134">
        <v>114776</v>
      </c>
      <c r="J187" s="134">
        <v>120648</v>
      </c>
      <c r="K187" s="134">
        <v>104012</v>
      </c>
      <c r="L187" s="134">
        <v>100633</v>
      </c>
      <c r="M187" s="134">
        <v>92003</v>
      </c>
      <c r="N187" s="134">
        <v>85370</v>
      </c>
      <c r="O187" s="73">
        <f>AVERAGEIF(C187:N187, "&lt;&gt;0")</f>
        <v>99475.333333333328</v>
      </c>
      <c r="P187" s="81">
        <f>SUM(C187:N187)</f>
        <v>1193704</v>
      </c>
      <c r="Q187" s="2298"/>
      <c r="S187" s="2298"/>
    </row>
    <row r="188" spans="1:26" s="145" customFormat="1">
      <c r="A188" s="133" t="s">
        <v>254</v>
      </c>
      <c r="B188" s="670" t="s">
        <v>1143</v>
      </c>
      <c r="C188" s="134">
        <v>6833</v>
      </c>
      <c r="D188" s="134">
        <v>5621</v>
      </c>
      <c r="E188" s="134">
        <v>6993</v>
      </c>
      <c r="F188" s="134">
        <v>6802</v>
      </c>
      <c r="G188" s="134">
        <v>6570</v>
      </c>
      <c r="H188" s="134">
        <v>7751</v>
      </c>
      <c r="I188" s="134">
        <v>10119</v>
      </c>
      <c r="J188" s="134">
        <v>8318</v>
      </c>
      <c r="K188" s="134">
        <v>6192</v>
      </c>
      <c r="L188" s="134">
        <v>6621</v>
      </c>
      <c r="M188" s="134">
        <v>5537</v>
      </c>
      <c r="N188" s="134">
        <v>9289</v>
      </c>
      <c r="O188" s="73">
        <f>AVERAGEIF(C188:N188, "&lt;&gt;0")</f>
        <v>7220.5</v>
      </c>
      <c r="P188" s="81">
        <f>SUM(C188:N188)</f>
        <v>86646</v>
      </c>
      <c r="Q188" s="2298"/>
      <c r="S188" s="2298"/>
    </row>
    <row r="189" spans="1:26" s="145" customFormat="1" ht="12" thickBot="1">
      <c r="A189" s="135" t="s">
        <v>1085</v>
      </c>
      <c r="B189" s="671" t="s">
        <v>1144</v>
      </c>
      <c r="C189" s="136">
        <v>103491</v>
      </c>
      <c r="D189" s="136">
        <v>99191</v>
      </c>
      <c r="E189" s="136">
        <v>117631</v>
      </c>
      <c r="F189" s="136">
        <v>121198</v>
      </c>
      <c r="G189" s="136">
        <v>120981</v>
      </c>
      <c r="H189" s="136">
        <v>122750</v>
      </c>
      <c r="I189" s="136">
        <v>134221</v>
      </c>
      <c r="J189" s="136">
        <v>132177</v>
      </c>
      <c r="K189" s="136">
        <v>117436</v>
      </c>
      <c r="L189" s="136">
        <v>120567</v>
      </c>
      <c r="M189" s="136">
        <v>118004</v>
      </c>
      <c r="N189" s="136">
        <v>124092</v>
      </c>
      <c r="O189" s="73">
        <f>AVERAGEIF(C189:N189, "&lt;&gt;0")</f>
        <v>119311.58333333333</v>
      </c>
      <c r="P189" s="81">
        <f>SUM(C189:N189)</f>
        <v>1431739</v>
      </c>
      <c r="Q189" s="2298"/>
      <c r="S189" s="2298"/>
    </row>
    <row r="190" spans="1:26" s="145" customFormat="1" ht="12" thickBot="1">
      <c r="A190" s="137" t="s">
        <v>1013</v>
      </c>
      <c r="B190" s="672"/>
      <c r="C190" s="138">
        <f>SUM(C187+C189)</f>
        <v>193286</v>
      </c>
      <c r="D190" s="138">
        <f>SUM(D187+D189)</f>
        <v>201005</v>
      </c>
      <c r="E190" s="138">
        <f>SUM(E187+E189)</f>
        <v>207903</v>
      </c>
      <c r="F190" s="138">
        <f t="shared" ref="F190:N190" si="63">SUM(F187+F189)</f>
        <v>211883</v>
      </c>
      <c r="G190" s="138">
        <f t="shared" si="63"/>
        <v>218656</v>
      </c>
      <c r="H190" s="138">
        <f t="shared" si="63"/>
        <v>228771</v>
      </c>
      <c r="I190" s="138">
        <f t="shared" si="63"/>
        <v>248997</v>
      </c>
      <c r="J190" s="138">
        <f t="shared" si="63"/>
        <v>252825</v>
      </c>
      <c r="K190" s="138">
        <f t="shared" si="63"/>
        <v>221448</v>
      </c>
      <c r="L190" s="138">
        <f t="shared" si="63"/>
        <v>221200</v>
      </c>
      <c r="M190" s="138">
        <f t="shared" si="63"/>
        <v>210007</v>
      </c>
      <c r="N190" s="138">
        <f t="shared" si="63"/>
        <v>209462</v>
      </c>
      <c r="O190" s="138">
        <f>SUM(O187+O189)</f>
        <v>218786.91666666666</v>
      </c>
      <c r="P190" s="139">
        <f>SUM(P187+P189)</f>
        <v>2625443</v>
      </c>
      <c r="Q190" s="2298"/>
      <c r="S190" s="2298"/>
    </row>
    <row r="191" spans="1:26" s="145" customFormat="1">
      <c r="A191" s="1672"/>
      <c r="B191" s="1673"/>
      <c r="C191" s="1674"/>
      <c r="D191" s="1674"/>
      <c r="E191" s="1674"/>
      <c r="F191" s="1674"/>
      <c r="G191" s="1674"/>
      <c r="H191" s="1674"/>
      <c r="I191" s="1674"/>
      <c r="J191" s="1674"/>
      <c r="K191" s="1674"/>
      <c r="L191" s="1674"/>
      <c r="M191" s="1674"/>
      <c r="N191" s="1674"/>
      <c r="O191" s="1674"/>
      <c r="P191" s="1675"/>
    </row>
    <row r="192" spans="1:26" s="145" customFormat="1">
      <c r="A192" s="171" t="s">
        <v>1014</v>
      </c>
      <c r="B192" s="140"/>
      <c r="C192" s="143"/>
      <c r="D192" s="143"/>
      <c r="E192" s="143"/>
      <c r="F192" s="143"/>
      <c r="G192" s="143"/>
      <c r="H192" s="143"/>
      <c r="I192" s="143"/>
      <c r="J192" s="143"/>
      <c r="K192" s="143"/>
      <c r="L192" s="143"/>
      <c r="M192" s="143"/>
      <c r="N192" s="143"/>
      <c r="O192" s="172"/>
      <c r="P192" s="173"/>
    </row>
    <row r="193" spans="1:26" s="145" customFormat="1">
      <c r="A193" s="174" t="s">
        <v>247</v>
      </c>
      <c r="B193" s="143"/>
      <c r="C193" s="1761">
        <f>SUM(C187/C175-1)</f>
        <v>7.5865952577788942E-2</v>
      </c>
      <c r="D193" s="1761">
        <f>IF(D187="","",SUM(D187/D175-1))</f>
        <v>0.3745460436608119</v>
      </c>
      <c r="E193" s="1761">
        <f t="shared" ref="E193:N193" si="64">IF(E187="","",SUM(E187/E175-1))</f>
        <v>2.7325439317531508E-3</v>
      </c>
      <c r="F193" s="1761">
        <f t="shared" si="64"/>
        <v>-1.5320969423210595E-2</v>
      </c>
      <c r="G193" s="1761">
        <f t="shared" si="64"/>
        <v>4.3580922261635013E-2</v>
      </c>
      <c r="H193" s="1761">
        <f t="shared" si="64"/>
        <v>7.3076183439438891E-2</v>
      </c>
      <c r="I193" s="1761">
        <f t="shared" si="64"/>
        <v>7.6728238130528981E-2</v>
      </c>
      <c r="J193" s="1761">
        <f t="shared" si="64"/>
        <v>4.0006206522020138E-2</v>
      </c>
      <c r="K193" s="1761">
        <f t="shared" si="64"/>
        <v>0.10227742393573624</v>
      </c>
      <c r="L193" s="1761">
        <f t="shared" si="64"/>
        <v>5.3054006257652109E-2</v>
      </c>
      <c r="M193" s="1761">
        <f t="shared" si="64"/>
        <v>-3.9955338509057525E-2</v>
      </c>
      <c r="N193" s="2340">
        <f t="shared" si="64"/>
        <v>-0.17677576131607875</v>
      </c>
      <c r="O193" s="1761">
        <f>SUM(O187/O175-1)</f>
        <v>4.3342670972760455E-2</v>
      </c>
      <c r="P193" s="2341">
        <f>SUM(P187/P175-1)</f>
        <v>4.3342670972760677E-2</v>
      </c>
    </row>
    <row r="194" spans="1:26" s="145" customFormat="1">
      <c r="A194" s="174" t="s">
        <v>248</v>
      </c>
      <c r="B194" s="143"/>
      <c r="C194" s="1761">
        <f>SUM(C189/C177-1)</f>
        <v>-9.8039044796932151E-2</v>
      </c>
      <c r="D194" s="1761">
        <f>IF(D189="","",SUM(D189/D177-1))</f>
        <v>-7.5143583278300952E-3</v>
      </c>
      <c r="E194" s="1761">
        <f t="shared" ref="E194:N194" si="65">IF(E189="","",SUM(E189/E177-1))</f>
        <v>-7.8189578096796719E-3</v>
      </c>
      <c r="F194" s="1761">
        <f t="shared" si="65"/>
        <v>0.1377102733553619</v>
      </c>
      <c r="G194" s="1761">
        <f t="shared" si="65"/>
        <v>0.1046576393137264</v>
      </c>
      <c r="H194" s="1761">
        <f t="shared" si="65"/>
        <v>0.17994809189656835</v>
      </c>
      <c r="I194" s="1761">
        <f t="shared" si="65"/>
        <v>0.13894286659821642</v>
      </c>
      <c r="J194" s="1761">
        <f t="shared" si="65"/>
        <v>9.5259402888607125E-2</v>
      </c>
      <c r="K194" s="1761">
        <f t="shared" si="65"/>
        <v>0.12599837000814995</v>
      </c>
      <c r="L194" s="1761">
        <f t="shared" si="65"/>
        <v>0.19460793056298664</v>
      </c>
      <c r="M194" s="1761">
        <f t="shared" si="65"/>
        <v>0.15277682801738868</v>
      </c>
      <c r="N194" s="2340">
        <f t="shared" si="65"/>
        <v>0.19397298233460347</v>
      </c>
      <c r="O194" s="1761">
        <f>SUM(O189/O177-1)</f>
        <v>9.8495967738841728E-2</v>
      </c>
      <c r="P194" s="2341">
        <f>SUM(P189/P177-1)</f>
        <v>9.8495967738841728E-2</v>
      </c>
    </row>
    <row r="195" spans="1:26" s="145" customFormat="1" ht="12" thickBot="1">
      <c r="A195" s="175" t="s">
        <v>169</v>
      </c>
      <c r="B195" s="674"/>
      <c r="C195" s="1762">
        <f>SUM(C190/C178-1)</f>
        <v>-2.4807898972265763E-2</v>
      </c>
      <c r="D195" s="1762">
        <f>IF(D190="","",SUM(D190/D178-1))</f>
        <v>0.15511484774126072</v>
      </c>
      <c r="E195" s="1762">
        <f>SUM(E190/E178-1)</f>
        <v>-3.2648717063629151E-3</v>
      </c>
      <c r="F195" s="1762">
        <f t="shared" ref="F195:N195" si="66">IF(F190="","",SUM(F190/F178-1))</f>
        <v>6.6754269373288322E-2</v>
      </c>
      <c r="G195" s="1762">
        <f t="shared" si="66"/>
        <v>7.6513305270413223E-2</v>
      </c>
      <c r="H195" s="1762">
        <f t="shared" si="66"/>
        <v>0.12788972099925555</v>
      </c>
      <c r="I195" s="1762">
        <f t="shared" si="66"/>
        <v>0.10939477107875462</v>
      </c>
      <c r="J195" s="1762">
        <f t="shared" si="66"/>
        <v>6.8178361387142505E-2</v>
      </c>
      <c r="K195" s="1762">
        <f t="shared" si="66"/>
        <v>0.11473099226804129</v>
      </c>
      <c r="L195" s="1762">
        <f t="shared" si="66"/>
        <v>0.12576276534564279</v>
      </c>
      <c r="M195" s="1762">
        <f t="shared" si="66"/>
        <v>5.958717841339678E-2</v>
      </c>
      <c r="N195" s="1671">
        <f t="shared" si="66"/>
        <v>8.8039531097989787E-3</v>
      </c>
      <c r="O195" s="1762">
        <f>SUM(O190/O178-1)</f>
        <v>7.2713626026464695E-2</v>
      </c>
      <c r="P195" s="1670">
        <f>SUM(P190/P178-1)</f>
        <v>7.2713626026464695E-2</v>
      </c>
    </row>
    <row r="196" spans="1:26" s="1669" customFormat="1">
      <c r="A196" s="1667"/>
      <c r="B196" s="1668"/>
      <c r="C196" s="1668"/>
      <c r="D196" s="1668"/>
      <c r="E196" s="1668"/>
      <c r="F196" s="1668"/>
      <c r="G196" s="1668"/>
      <c r="H196" s="1668"/>
      <c r="I196" s="1668"/>
      <c r="J196" s="1668"/>
      <c r="K196" s="1668"/>
      <c r="L196" s="1668"/>
      <c r="M196" s="1668"/>
      <c r="N196" s="1668"/>
      <c r="O196" s="1668"/>
    </row>
    <row r="197" spans="1:26" s="145" customFormat="1" ht="11.25" customHeight="1">
      <c r="A197" s="919" t="s">
        <v>689</v>
      </c>
      <c r="B197" s="920"/>
      <c r="C197" s="920"/>
      <c r="D197" s="920"/>
      <c r="E197" s="920"/>
      <c r="F197" s="920"/>
      <c r="G197" s="920"/>
      <c r="H197" s="920"/>
      <c r="I197" s="920"/>
      <c r="J197" s="920"/>
      <c r="K197" s="920"/>
      <c r="L197" s="920"/>
      <c r="M197" s="920"/>
      <c r="N197" s="920"/>
    </row>
    <row r="198" spans="1:26" s="145" customFormat="1" ht="11.25" customHeight="1">
      <c r="A198" s="919" t="s">
        <v>248</v>
      </c>
      <c r="B198" s="921" t="s">
        <v>1015</v>
      </c>
      <c r="C198" s="921"/>
      <c r="D198" s="921"/>
      <c r="E198" s="921"/>
      <c r="F198" s="921"/>
      <c r="G198" s="921"/>
      <c r="H198" s="921"/>
      <c r="I198" s="921"/>
      <c r="J198" s="921"/>
      <c r="K198" s="921"/>
      <c r="L198" s="921"/>
      <c r="M198" s="921"/>
      <c r="N198" s="921"/>
    </row>
    <row r="199" spans="1:26" s="145" customFormat="1">
      <c r="A199" s="919" t="s">
        <v>247</v>
      </c>
      <c r="B199" s="921" t="s">
        <v>1016</v>
      </c>
      <c r="C199" s="921"/>
      <c r="D199" s="921"/>
      <c r="E199" s="921"/>
      <c r="F199" s="921"/>
      <c r="G199" s="921"/>
      <c r="H199" s="921"/>
      <c r="I199" s="921"/>
      <c r="J199" s="921"/>
      <c r="K199" s="921"/>
      <c r="L199" s="921"/>
      <c r="M199" s="921"/>
      <c r="N199" s="921"/>
    </row>
    <row r="200" spans="1:26">
      <c r="A200" s="178"/>
      <c r="B200" s="178"/>
      <c r="C200" s="183" t="s">
        <v>635</v>
      </c>
      <c r="D200" s="183" t="s">
        <v>352</v>
      </c>
      <c r="E200" s="183" t="s">
        <v>351</v>
      </c>
      <c r="F200" s="183" t="s">
        <v>350</v>
      </c>
      <c r="G200" s="183" t="s">
        <v>342</v>
      </c>
      <c r="H200" s="183" t="s">
        <v>343</v>
      </c>
      <c r="I200" s="183" t="s">
        <v>344</v>
      </c>
      <c r="J200" s="183" t="s">
        <v>345</v>
      </c>
      <c r="K200" s="183" t="s">
        <v>349</v>
      </c>
      <c r="L200" s="183" t="s">
        <v>346</v>
      </c>
      <c r="M200" s="183" t="s">
        <v>347</v>
      </c>
      <c r="N200" s="183" t="s">
        <v>348</v>
      </c>
      <c r="O200" s="178"/>
      <c r="P200" s="178"/>
    </row>
    <row r="201" spans="1:26">
      <c r="A201" s="647" t="s">
        <v>321</v>
      </c>
      <c r="B201" s="648">
        <v>2017</v>
      </c>
      <c r="C201" s="649">
        <f>SUM(C175)</f>
        <v>83463</v>
      </c>
      <c r="D201" s="649">
        <f>SUM(C175:D175)</f>
        <v>157534</v>
      </c>
      <c r="E201" s="649">
        <f>SUM(E175)</f>
        <v>90026</v>
      </c>
      <c r="F201" s="649">
        <f>SUM(C175:F175)</f>
        <v>339656</v>
      </c>
      <c r="G201" s="649">
        <f>SUM(C175:G175)</f>
        <v>433252</v>
      </c>
      <c r="H201" s="649">
        <f>SUM(C175:H175)</f>
        <v>532053</v>
      </c>
      <c r="I201" s="649">
        <f>SUM(C175:I175)</f>
        <v>638650</v>
      </c>
      <c r="J201" s="649">
        <f>SUM(C175:J175)</f>
        <v>754657</v>
      </c>
      <c r="K201" s="649">
        <f>SUM(C175:K175)</f>
        <v>849018</v>
      </c>
      <c r="L201" s="649">
        <f>SUM(C175:L175)</f>
        <v>944581</v>
      </c>
      <c r="M201" s="649">
        <f>SUM(C175:M175)</f>
        <v>1040413</v>
      </c>
      <c r="N201" s="649">
        <f>SUM(C175:N175)</f>
        <v>1144115</v>
      </c>
      <c r="O201" s="647"/>
      <c r="P201" s="178"/>
    </row>
    <row r="202" spans="1:26">
      <c r="A202" s="178" t="s">
        <v>321</v>
      </c>
      <c r="B202" s="179">
        <v>2018</v>
      </c>
      <c r="C202" s="180">
        <f>SUM(C187)</f>
        <v>89795</v>
      </c>
      <c r="D202" s="180">
        <f>SUM(C187:D187)</f>
        <v>191609</v>
      </c>
      <c r="E202" s="180">
        <f>SUM(E187)</f>
        <v>90272</v>
      </c>
      <c r="F202" s="180">
        <f>SUM(C187:F187)</f>
        <v>372566</v>
      </c>
      <c r="G202" s="180">
        <f>SUM(C187:G187)</f>
        <v>470241</v>
      </c>
      <c r="H202" s="180">
        <f>SUM(C187:H187)</f>
        <v>576262</v>
      </c>
      <c r="I202" s="180">
        <f>SUM(C187:I187)</f>
        <v>691038</v>
      </c>
      <c r="J202" s="180">
        <f>SUM(C187:J187)</f>
        <v>811686</v>
      </c>
      <c r="K202" s="180">
        <f>SUM(C187:K187)</f>
        <v>915698</v>
      </c>
      <c r="L202" s="180">
        <f>SUM(C187:L187)</f>
        <v>1016331</v>
      </c>
      <c r="M202" s="180">
        <f>SUM(C187:M187)</f>
        <v>1108334</v>
      </c>
      <c r="N202" s="180">
        <f>SUM(C187:N187)</f>
        <v>1193704</v>
      </c>
      <c r="O202" s="178"/>
      <c r="P202" s="178"/>
    </row>
    <row r="203" spans="1:26" s="177" customFormat="1" ht="27">
      <c r="A203" s="181"/>
      <c r="B203" s="182" t="s">
        <v>1017</v>
      </c>
      <c r="C203" s="1445">
        <f>C202/C201-1</f>
        <v>7.5865952577788942E-2</v>
      </c>
      <c r="D203" s="1445">
        <f>D202/D201-1</f>
        <v>0.21630251247349785</v>
      </c>
      <c r="E203" s="1445">
        <f>E202/E201-1</f>
        <v>2.7325439317531508E-3</v>
      </c>
      <c r="F203" s="1416">
        <f>F202/F201-1</f>
        <v>9.6892149704406849E-2</v>
      </c>
      <c r="G203" s="1416">
        <f>G202/G201-1</f>
        <v>8.537525504787058E-2</v>
      </c>
      <c r="H203" s="1416">
        <f t="shared" ref="H203:N203" si="67">H202/H201-1</f>
        <v>8.3091346162882163E-2</v>
      </c>
      <c r="I203" s="1445">
        <f t="shared" si="67"/>
        <v>8.202928051358338E-2</v>
      </c>
      <c r="J203" s="1445">
        <f t="shared" si="67"/>
        <v>7.5569430880519262E-2</v>
      </c>
      <c r="K203" s="1445">
        <f t="shared" si="67"/>
        <v>7.8537793073880646E-2</v>
      </c>
      <c r="L203" s="1445">
        <f t="shared" si="67"/>
        <v>7.5959605370000016E-2</v>
      </c>
      <c r="M203" s="1445">
        <f t="shared" si="67"/>
        <v>6.5282729070090362E-2</v>
      </c>
      <c r="N203" s="1417">
        <f t="shared" si="67"/>
        <v>4.3342670972760677E-2</v>
      </c>
      <c r="O203" s="181"/>
      <c r="P203" s="181"/>
      <c r="Q203" s="692"/>
      <c r="R203" s="692"/>
      <c r="S203" s="692"/>
      <c r="T203" s="692"/>
      <c r="U203" s="692"/>
      <c r="V203" s="692"/>
      <c r="W203" s="692"/>
      <c r="X203" s="692"/>
      <c r="Y203" s="692"/>
      <c r="Z203" s="692"/>
    </row>
    <row r="204" spans="1:26" s="177" customFormat="1">
      <c r="A204" s="178"/>
      <c r="B204" s="178"/>
      <c r="C204" s="183" t="s">
        <v>635</v>
      </c>
      <c r="D204" s="183" t="s">
        <v>352</v>
      </c>
      <c r="E204" s="183" t="s">
        <v>351</v>
      </c>
      <c r="F204" s="183" t="s">
        <v>350</v>
      </c>
      <c r="G204" s="183" t="s">
        <v>342</v>
      </c>
      <c r="H204" s="183" t="s">
        <v>343</v>
      </c>
      <c r="I204" s="183" t="s">
        <v>344</v>
      </c>
      <c r="J204" s="183" t="s">
        <v>345</v>
      </c>
      <c r="K204" s="183" t="s">
        <v>349</v>
      </c>
      <c r="L204" s="183" t="s">
        <v>346</v>
      </c>
      <c r="M204" s="183" t="s">
        <v>347</v>
      </c>
      <c r="N204" s="183" t="s">
        <v>348</v>
      </c>
      <c r="O204" s="181"/>
      <c r="P204" s="181"/>
      <c r="Q204" s="692"/>
      <c r="R204" s="692"/>
      <c r="S204" s="692"/>
      <c r="T204" s="692"/>
      <c r="U204" s="692"/>
      <c r="V204" s="692"/>
      <c r="W204" s="692"/>
      <c r="X204" s="692"/>
      <c r="Y204" s="692"/>
      <c r="Z204" s="692"/>
    </row>
    <row r="205" spans="1:26" s="177" customFormat="1">
      <c r="A205" s="647" t="s">
        <v>1085</v>
      </c>
      <c r="B205" s="648">
        <v>2017</v>
      </c>
      <c r="C205" s="649">
        <f>SUM(C177)</f>
        <v>114740</v>
      </c>
      <c r="D205" s="649">
        <f>SUM(C177:D177)</f>
        <v>214682</v>
      </c>
      <c r="E205" s="649">
        <f>SUM(E177)</f>
        <v>118558</v>
      </c>
      <c r="F205" s="649">
        <f>SUM(C177:F177)</f>
        <v>439768</v>
      </c>
      <c r="G205" s="649">
        <f>SUM(C177:G177)</f>
        <v>549287</v>
      </c>
      <c r="H205" s="649">
        <f>SUM(C177:H177)</f>
        <v>653317</v>
      </c>
      <c r="I205" s="649">
        <f>SUM(C177:I177)</f>
        <v>771164</v>
      </c>
      <c r="J205" s="649">
        <f>SUM(C177:J177)</f>
        <v>891845</v>
      </c>
      <c r="K205" s="649">
        <f>SUM(C177:K177)</f>
        <v>996140</v>
      </c>
      <c r="L205" s="649">
        <f>SUM(C177:L177)</f>
        <v>1097066</v>
      </c>
      <c r="M205" s="649">
        <f>SUM(C177:M177)</f>
        <v>1199431</v>
      </c>
      <c r="N205" s="649">
        <f>SUM(C177:N177)</f>
        <v>1303363</v>
      </c>
      <c r="O205" s="181"/>
      <c r="P205" s="181"/>
      <c r="Q205" s="692"/>
      <c r="R205" s="692"/>
      <c r="S205" s="692"/>
      <c r="T205" s="692"/>
      <c r="U205" s="692"/>
      <c r="V205" s="692"/>
      <c r="W205" s="692"/>
      <c r="X205" s="692"/>
      <c r="Y205" s="692"/>
      <c r="Z205" s="692"/>
    </row>
    <row r="206" spans="1:26" s="177" customFormat="1">
      <c r="A206" s="178" t="s">
        <v>1085</v>
      </c>
      <c r="B206" s="179">
        <v>2018</v>
      </c>
      <c r="C206" s="180">
        <f>SUM(C189)</f>
        <v>103491</v>
      </c>
      <c r="D206" s="180">
        <f>SUM(C189:D189)</f>
        <v>202682</v>
      </c>
      <c r="E206" s="180">
        <f>SUM(E189)</f>
        <v>117631</v>
      </c>
      <c r="F206" s="180">
        <f>SUM(C189:F189)</f>
        <v>441511</v>
      </c>
      <c r="G206" s="180">
        <f>SUM(C189:G189)</f>
        <v>562492</v>
      </c>
      <c r="H206" s="180">
        <f>SUM(C189:H189)</f>
        <v>685242</v>
      </c>
      <c r="I206" s="180">
        <f>SUM(C189:I189)</f>
        <v>819463</v>
      </c>
      <c r="J206" s="180">
        <f>SUM(C189:J189)</f>
        <v>951640</v>
      </c>
      <c r="K206" s="180">
        <f>SUM(C189:K189)</f>
        <v>1069076</v>
      </c>
      <c r="L206" s="180">
        <f>SUM(C189:L189)</f>
        <v>1189643</v>
      </c>
      <c r="M206" s="180">
        <f>SUM(C189:M189)</f>
        <v>1307647</v>
      </c>
      <c r="N206" s="180">
        <f>SUM(C189:N189)</f>
        <v>1431739</v>
      </c>
      <c r="O206" s="181"/>
      <c r="P206" s="181"/>
      <c r="Q206" s="692"/>
      <c r="R206" s="692"/>
      <c r="S206" s="692"/>
      <c r="T206" s="692"/>
      <c r="U206" s="692"/>
      <c r="V206" s="692"/>
      <c r="W206" s="692"/>
      <c r="X206" s="692"/>
      <c r="Y206" s="692"/>
      <c r="Z206" s="692"/>
    </row>
    <row r="207" spans="1:26" s="177" customFormat="1" ht="27">
      <c r="A207" s="181"/>
      <c r="B207" s="182" t="s">
        <v>1018</v>
      </c>
      <c r="C207" s="1445">
        <f>C206/C205-1</f>
        <v>-9.8039044796932151E-2</v>
      </c>
      <c r="D207" s="1445">
        <f>D206/D205-1</f>
        <v>-5.5896628501690859E-2</v>
      </c>
      <c r="E207" s="1445">
        <f>E206/E205-1</f>
        <v>-7.8189578096796719E-3</v>
      </c>
      <c r="F207" s="1416">
        <f>F206/F205-1</f>
        <v>3.9634534572774438E-3</v>
      </c>
      <c r="G207" s="1416">
        <f>G206/G205-1</f>
        <v>2.4040255822548096E-2</v>
      </c>
      <c r="H207" s="1416">
        <f t="shared" ref="H207:N207" si="68">H206/H205-1</f>
        <v>4.8866017568806486E-2</v>
      </c>
      <c r="I207" s="1445">
        <f t="shared" si="68"/>
        <v>6.2631295029332179E-2</v>
      </c>
      <c r="J207" s="1445">
        <f t="shared" si="68"/>
        <v>6.7046403803351584E-2</v>
      </c>
      <c r="K207" s="1445">
        <f t="shared" si="68"/>
        <v>7.3218623888208434E-2</v>
      </c>
      <c r="L207" s="1445">
        <f t="shared" si="68"/>
        <v>8.4385989539371487E-2</v>
      </c>
      <c r="M207" s="1445">
        <f t="shared" si="68"/>
        <v>9.0222780635151212E-2</v>
      </c>
      <c r="N207" s="1417">
        <f t="shared" si="68"/>
        <v>9.8495967738841728E-2</v>
      </c>
      <c r="O207" s="181"/>
      <c r="P207" s="181"/>
      <c r="Q207" s="692"/>
      <c r="R207" s="692"/>
      <c r="S207" s="692"/>
      <c r="T207" s="692"/>
      <c r="U207" s="692"/>
      <c r="V207" s="692"/>
      <c r="W207" s="692"/>
      <c r="X207" s="692"/>
      <c r="Y207" s="692"/>
      <c r="Z207" s="692"/>
    </row>
    <row r="208" spans="1:26" s="177" customFormat="1">
      <c r="A208" s="181"/>
      <c r="B208" s="182"/>
      <c r="C208" s="265"/>
      <c r="D208" s="265"/>
      <c r="E208" s="265"/>
      <c r="F208" s="265"/>
      <c r="G208" s="265"/>
      <c r="H208" s="265"/>
      <c r="I208" s="265"/>
      <c r="J208" s="265"/>
      <c r="K208" s="265"/>
      <c r="L208" s="265"/>
      <c r="M208" s="265"/>
      <c r="N208" s="265"/>
      <c r="O208" s="181"/>
      <c r="P208" s="181"/>
      <c r="Q208" s="692"/>
      <c r="R208" s="692"/>
      <c r="S208" s="692"/>
      <c r="T208" s="692"/>
      <c r="U208" s="692"/>
      <c r="V208" s="692"/>
      <c r="W208" s="692"/>
      <c r="X208" s="692"/>
      <c r="Y208" s="692"/>
      <c r="Z208" s="692"/>
    </row>
    <row r="209" spans="1:26">
      <c r="A209" s="178"/>
      <c r="B209" s="693"/>
      <c r="C209" s="694" t="s">
        <v>635</v>
      </c>
      <c r="D209" s="694" t="s">
        <v>352</v>
      </c>
      <c r="E209" s="694" t="s">
        <v>351</v>
      </c>
      <c r="F209" s="694" t="s">
        <v>350</v>
      </c>
      <c r="G209" s="694" t="s">
        <v>342</v>
      </c>
      <c r="H209" s="694" t="s">
        <v>343</v>
      </c>
      <c r="I209" s="694" t="s">
        <v>344</v>
      </c>
      <c r="J209" s="694" t="s">
        <v>345</v>
      </c>
      <c r="K209" s="694" t="s">
        <v>349</v>
      </c>
      <c r="L209" s="694" t="s">
        <v>346</v>
      </c>
      <c r="M209" s="694" t="s">
        <v>347</v>
      </c>
      <c r="N209" s="694" t="s">
        <v>348</v>
      </c>
      <c r="O209" s="693"/>
      <c r="P209" s="693"/>
    </row>
    <row r="210" spans="1:26">
      <c r="A210" s="647" t="s">
        <v>33</v>
      </c>
      <c r="B210" s="695">
        <v>2017</v>
      </c>
      <c r="C210" s="696">
        <f>SUM(C178)</f>
        <v>198203</v>
      </c>
      <c r="D210" s="696">
        <f>SUM(C178:D178)</f>
        <v>372216</v>
      </c>
      <c r="E210" s="696">
        <f>SUM(C178:E178)</f>
        <v>580800</v>
      </c>
      <c r="F210" s="696">
        <f>SUM(C178:F178)</f>
        <v>779424</v>
      </c>
      <c r="G210" s="696">
        <f>SUM(C178:G178)</f>
        <v>982539</v>
      </c>
      <c r="H210" s="696">
        <f>SUM(C178:H178)</f>
        <v>1185370</v>
      </c>
      <c r="I210" s="696">
        <f>SUM(C178:I178)</f>
        <v>1409814</v>
      </c>
      <c r="J210" s="696">
        <f>SUM(C178:J178)</f>
        <v>1646502</v>
      </c>
      <c r="K210" s="696">
        <f>SUM(C178:K178)</f>
        <v>1845158</v>
      </c>
      <c r="L210" s="696">
        <f>SUM(C178:L178)</f>
        <v>2041647</v>
      </c>
      <c r="M210" s="696">
        <f>SUM(C178:M178)</f>
        <v>2239844</v>
      </c>
      <c r="N210" s="696">
        <f>SUM(C178:N178)</f>
        <v>2447478</v>
      </c>
      <c r="O210" s="127"/>
      <c r="P210" s="127"/>
    </row>
    <row r="211" spans="1:26" ht="12">
      <c r="A211" s="178" t="s">
        <v>33</v>
      </c>
      <c r="B211" s="648">
        <v>2018</v>
      </c>
      <c r="C211" s="649">
        <f>SUM(C190)</f>
        <v>193286</v>
      </c>
      <c r="D211" s="649">
        <f>SUM(C190:D190)</f>
        <v>394291</v>
      </c>
      <c r="E211" s="649">
        <f>SUM(C190:E190)</f>
        <v>602194</v>
      </c>
      <c r="F211" s="649">
        <f>SUM(C190:F190)</f>
        <v>814077</v>
      </c>
      <c r="G211" s="649">
        <f>SUM(C190:G190)</f>
        <v>1032733</v>
      </c>
      <c r="H211" s="649">
        <f>SUM(C190:H190)</f>
        <v>1261504</v>
      </c>
      <c r="I211" s="649">
        <f>SUM(C190:I190)</f>
        <v>1510501</v>
      </c>
      <c r="J211" s="649">
        <f>SUM(C190:J190)</f>
        <v>1763326</v>
      </c>
      <c r="K211" s="649">
        <f>SUM(C190:K190)</f>
        <v>1984774</v>
      </c>
      <c r="L211" s="649">
        <f>SUM(C190:L190)</f>
        <v>2205974</v>
      </c>
      <c r="M211" s="649">
        <f>SUM(C190:M190)</f>
        <v>2415981</v>
      </c>
      <c r="N211" s="1422">
        <f>SUM(C190:N190)</f>
        <v>2625443</v>
      </c>
      <c r="O211" s="647"/>
      <c r="P211" s="647"/>
    </row>
    <row r="212" spans="1:26" s="177" customFormat="1" ht="36">
      <c r="A212" s="181"/>
      <c r="B212" s="697" t="s">
        <v>1019</v>
      </c>
      <c r="C212" s="1446">
        <f>C211/C210-1</f>
        <v>-2.4807898972265763E-2</v>
      </c>
      <c r="D212" s="1446">
        <f>D211/D210-1</f>
        <v>5.9306961549207893E-2</v>
      </c>
      <c r="E212" s="1446">
        <f>E211/E210-1</f>
        <v>3.6835399449035799E-2</v>
      </c>
      <c r="F212" s="1415">
        <f>F211/F210-1</f>
        <v>4.4459754895923131E-2</v>
      </c>
      <c r="G212" s="1415">
        <f>G211/G210-1</f>
        <v>5.1086012870735997E-2</v>
      </c>
      <c r="H212" s="1415">
        <f t="shared" ref="H212:N212" si="69">H211/H210-1</f>
        <v>6.4228046938930472E-2</v>
      </c>
      <c r="I212" s="1446">
        <f t="shared" si="69"/>
        <v>7.1418641040591258E-2</v>
      </c>
      <c r="J212" s="1446">
        <f t="shared" si="69"/>
        <v>7.0952844272281546E-2</v>
      </c>
      <c r="K212" s="1446">
        <f t="shared" si="69"/>
        <v>7.5666148915160658E-2</v>
      </c>
      <c r="L212" s="1446">
        <f t="shared" si="69"/>
        <v>8.0487469185417382E-2</v>
      </c>
      <c r="M212" s="1446">
        <f t="shared" si="69"/>
        <v>7.8638065865301421E-2</v>
      </c>
      <c r="N212" s="1417">
        <f t="shared" si="69"/>
        <v>7.2713626026464695E-2</v>
      </c>
      <c r="O212" s="698"/>
      <c r="P212" s="698"/>
      <c r="Q212" s="692"/>
      <c r="R212" s="692"/>
      <c r="S212" s="692"/>
      <c r="T212" s="692"/>
      <c r="U212" s="692"/>
      <c r="V212" s="692"/>
      <c r="W212" s="692"/>
      <c r="X212" s="692"/>
      <c r="Y212" s="692"/>
      <c r="Z212" s="692"/>
    </row>
    <row r="213" spans="1:26">
      <c r="C213" s="125"/>
      <c r="M213" s="125"/>
    </row>
    <row r="214" spans="1:26">
      <c r="C214" s="125"/>
      <c r="E214" s="125"/>
      <c r="F214" s="125"/>
      <c r="I214" s="125"/>
      <c r="J214" s="125"/>
      <c r="M214" s="125"/>
    </row>
    <row r="215" spans="1:26">
      <c r="C215" s="125"/>
      <c r="E215" s="125"/>
      <c r="F215" s="125"/>
      <c r="G215" s="125"/>
      <c r="I215" s="125"/>
      <c r="J215" s="125"/>
      <c r="M215" s="125"/>
    </row>
    <row r="216" spans="1:26">
      <c r="E216" s="125"/>
      <c r="F216" s="125"/>
      <c r="G216" s="125"/>
      <c r="I216" s="125"/>
      <c r="J216" s="125"/>
    </row>
    <row r="217" spans="1:26">
      <c r="G217" s="125"/>
    </row>
    <row r="218" spans="1:26">
      <c r="G218" s="124"/>
      <c r="I218" s="124"/>
      <c r="J218" s="124"/>
    </row>
    <row r="219" spans="1:26">
      <c r="I219" s="124"/>
      <c r="J219" s="124"/>
    </row>
    <row r="220" spans="1:26">
      <c r="I220" s="124"/>
      <c r="J220" s="124"/>
      <c r="K220" s="128"/>
      <c r="M220" s="126"/>
    </row>
    <row r="222" spans="1:26">
      <c r="I222" s="125"/>
      <c r="J222" s="125"/>
    </row>
  </sheetData>
  <sheetProtection selectLockedCells="1" selectUnlockedCells="1"/>
  <mergeCells count="19">
    <mergeCell ref="A38:P38"/>
    <mergeCell ref="A51:P51"/>
    <mergeCell ref="A63:P63"/>
    <mergeCell ref="A76:P76"/>
    <mergeCell ref="A89:P89"/>
    <mergeCell ref="A25:P25"/>
    <mergeCell ref="A1:P1"/>
    <mergeCell ref="A2:P2"/>
    <mergeCell ref="A3:P3"/>
    <mergeCell ref="A5:P5"/>
    <mergeCell ref="A13:P13"/>
    <mergeCell ref="A113:P113"/>
    <mergeCell ref="A125:P125"/>
    <mergeCell ref="A137:P137"/>
    <mergeCell ref="A185:O185"/>
    <mergeCell ref="A101:P101"/>
    <mergeCell ref="A173:P173"/>
    <mergeCell ref="A161:P161"/>
    <mergeCell ref="A149:P149"/>
  </mergeCells>
  <conditionalFormatting sqref="D203">
    <cfRule type="cellIs" dxfId="322" priority="37" operator="lessThanOrEqual">
      <formula>0</formula>
    </cfRule>
  </conditionalFormatting>
  <conditionalFormatting sqref="D212">
    <cfRule type="cellIs" dxfId="321" priority="36" operator="lessThanOrEqual">
      <formula>0</formula>
    </cfRule>
  </conditionalFormatting>
  <conditionalFormatting sqref="F203">
    <cfRule type="cellIs" dxfId="320" priority="33" operator="lessThanOrEqual">
      <formula>0</formula>
    </cfRule>
  </conditionalFormatting>
  <conditionalFormatting sqref="F212">
    <cfRule type="cellIs" dxfId="319" priority="32" operator="lessThanOrEqual">
      <formula>0</formula>
    </cfRule>
  </conditionalFormatting>
  <conditionalFormatting sqref="I203">
    <cfRule type="cellIs" dxfId="318" priority="24" operator="lessThanOrEqual">
      <formula>0</formula>
    </cfRule>
  </conditionalFormatting>
  <conditionalFormatting sqref="I212">
    <cfRule type="cellIs" dxfId="317" priority="23" operator="lessThanOrEqual">
      <formula>0</formula>
    </cfRule>
  </conditionalFormatting>
  <conditionalFormatting sqref="K203">
    <cfRule type="cellIs" dxfId="316" priority="20" operator="lessThanOrEqual">
      <formula>0</formula>
    </cfRule>
  </conditionalFormatting>
  <conditionalFormatting sqref="K212">
    <cfRule type="cellIs" dxfId="315" priority="19" operator="lessThanOrEqual">
      <formula>0</formula>
    </cfRule>
  </conditionalFormatting>
  <conditionalFormatting sqref="C203">
    <cfRule type="cellIs" dxfId="314" priority="14" operator="lessThanOrEqual">
      <formula>0</formula>
    </cfRule>
  </conditionalFormatting>
  <conditionalFormatting sqref="C212">
    <cfRule type="cellIs" dxfId="313" priority="13" operator="lessThanOrEqual">
      <formula>0</formula>
    </cfRule>
  </conditionalFormatting>
  <conditionalFormatting sqref="E203">
    <cfRule type="cellIs" dxfId="312" priority="12" operator="lessThanOrEqual">
      <formula>0</formula>
    </cfRule>
  </conditionalFormatting>
  <conditionalFormatting sqref="E212">
    <cfRule type="cellIs" dxfId="311" priority="11" operator="lessThanOrEqual">
      <formula>0</formula>
    </cfRule>
  </conditionalFormatting>
  <conditionalFormatting sqref="G203">
    <cfRule type="cellIs" dxfId="310" priority="10" operator="lessThanOrEqual">
      <formula>0</formula>
    </cfRule>
  </conditionalFormatting>
  <conditionalFormatting sqref="G212">
    <cfRule type="cellIs" dxfId="309" priority="9" operator="lessThanOrEqual">
      <formula>0</formula>
    </cfRule>
  </conditionalFormatting>
  <conditionalFormatting sqref="H203">
    <cfRule type="cellIs" dxfId="308" priority="8" operator="lessThanOrEqual">
      <formula>0</formula>
    </cfRule>
  </conditionalFormatting>
  <conditionalFormatting sqref="H212">
    <cfRule type="cellIs" dxfId="307" priority="7" operator="lessThanOrEqual">
      <formula>0</formula>
    </cfRule>
  </conditionalFormatting>
  <conditionalFormatting sqref="J203">
    <cfRule type="cellIs" dxfId="306" priority="6" operator="lessThanOrEqual">
      <formula>0</formula>
    </cfRule>
  </conditionalFormatting>
  <conditionalFormatting sqref="J212">
    <cfRule type="cellIs" dxfId="305" priority="5" operator="lessThanOrEqual">
      <formula>0</formula>
    </cfRule>
  </conditionalFormatting>
  <conditionalFormatting sqref="L203">
    <cfRule type="cellIs" dxfId="304" priority="4" operator="lessThanOrEqual">
      <formula>0</formula>
    </cfRule>
  </conditionalFormatting>
  <conditionalFormatting sqref="L212">
    <cfRule type="cellIs" dxfId="303" priority="3" operator="lessThanOrEqual">
      <formula>0</formula>
    </cfRule>
  </conditionalFormatting>
  <conditionalFormatting sqref="M203">
    <cfRule type="cellIs" dxfId="302" priority="2" operator="lessThanOrEqual">
      <formula>0</formula>
    </cfRule>
  </conditionalFormatting>
  <conditionalFormatting sqref="M212">
    <cfRule type="cellIs" dxfId="301" priority="1" operator="lessThanOrEqual">
      <formula>0</formula>
    </cfRule>
  </conditionalFormatting>
  <printOptions horizontalCentered="1" verticalCentered="1"/>
  <pageMargins left="0.43307086614173229" right="0.43307086614173229" top="0.47244094488188981" bottom="0.39370078740157483" header="0" footer="0"/>
  <pageSetup paperSize="9" fitToWidth="100" orientation="landscape" r:id="rId1"/>
  <headerFooter alignWithMargins="0">
    <oddFooter>Preparado por Carlos Proano &amp;D&amp;RPágina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48</vt:i4>
      </vt:variant>
      <vt:variant>
        <vt:lpstr>Rangos con nombre</vt:lpstr>
      </vt:variant>
      <vt:variant>
        <vt:i4>4</vt:i4>
      </vt:variant>
    </vt:vector>
  </HeadingPairs>
  <TitlesOfParts>
    <vt:vector size="52" baseType="lpstr">
      <vt:lpstr>DATOS-EC-UIO</vt:lpstr>
      <vt:lpstr>Cifras Clave</vt:lpstr>
      <vt:lpstr>HQM</vt:lpstr>
      <vt:lpstr>Sugeridos-estancia-gasto</vt:lpstr>
      <vt:lpstr>ICCA</vt:lpstr>
      <vt:lpstr>Llegadas genero</vt:lpstr>
      <vt:lpstr>Llegadas </vt:lpstr>
      <vt:lpstr>Llegadas x nacionalidad</vt:lpstr>
      <vt:lpstr>Datos Aeropuerto AMS</vt:lpstr>
      <vt:lpstr>FEB-Carnaval</vt:lpstr>
      <vt:lpstr>ABR-Semana Santa</vt:lpstr>
      <vt:lpstr>MAY-Trabajo+Bat Pich</vt:lpstr>
      <vt:lpstr>AGO-Primer grito</vt:lpstr>
      <vt:lpstr>NOV-Finados</vt:lpstr>
      <vt:lpstr>DIC-FFQQ</vt:lpstr>
      <vt:lpstr>TOH </vt:lpstr>
      <vt:lpstr>Estancia hotelera</vt:lpstr>
      <vt:lpstr>Estancia hotelera (PAISES)</vt:lpstr>
      <vt:lpstr>Tarifa Promedio Hab ocupada</vt:lpstr>
      <vt:lpstr>RevPar tar_hab_Disponible</vt:lpstr>
      <vt:lpstr>EOH Sector geográfico</vt:lpstr>
      <vt:lpstr>PIB Turistico DMQ</vt:lpstr>
      <vt:lpstr>establecimientos UIO</vt:lpstr>
      <vt:lpstr>% y # establecimientos act econ</vt:lpstr>
      <vt:lpstr>Actividades económicas TUR</vt:lpstr>
      <vt:lpstr>Transporte TUR</vt:lpstr>
      <vt:lpstr>Aloj-Hab-Plazas</vt:lpstr>
      <vt:lpstr>Aloj x categoria</vt:lpstr>
      <vt:lpstr>perfil-mas visitado-2015</vt:lpstr>
      <vt:lpstr>Aloj-Capacidad-TASA</vt:lpstr>
      <vt:lpstr>Aloj x sectores</vt:lpstr>
      <vt:lpstr>EMPLEO_tur_DMQ</vt:lpstr>
      <vt:lpstr>perfil-mas visitado-2016</vt:lpstr>
      <vt:lpstr>perfil-Alrededor_parroquia-2015</vt:lpstr>
      <vt:lpstr>Perfil-otras-cyties-2015</vt:lpstr>
      <vt:lpstr>perfil-Ingre_divisa-2015</vt:lpstr>
      <vt:lpstr>perfil-Dist_Gasto-2015</vt:lpstr>
      <vt:lpstr>perfil-Nvl_Edu 2015</vt:lpstr>
      <vt:lpstr>perfil-Edad 2015</vt:lpstr>
      <vt:lpstr>perfil-Motivo Viaje-2015</vt:lpstr>
      <vt:lpstr>perfil-Razon llegada 2015</vt:lpstr>
      <vt:lpstr>perfil-Medio Info-2015</vt:lpstr>
      <vt:lpstr>perfil-viaja con 2015</vt:lpstr>
      <vt:lpstr>perfil-Organiza viaje</vt:lpstr>
      <vt:lpstr>perfil-Hospedaje tipo</vt:lpstr>
      <vt:lpstr>SNAP</vt:lpstr>
      <vt:lpstr>perfil-Actividad 2012-2013</vt:lpstr>
      <vt:lpstr>perfil-recomendarian 2014</vt:lpstr>
      <vt:lpstr>'DATOS-EC-UIO'!Área_de_impresión</vt:lpstr>
      <vt:lpstr>'Llegadas x nacionalidad'!Área_de_impresión</vt:lpstr>
      <vt:lpstr>'DATOS-EC-UIO'!Títulos_a_imprimir</vt:lpstr>
      <vt:lpstr>'Llegadas x nacionalidad'!Títulos_a_imprimir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2019-02-12T15:52:19Z</cp:lastPrinted>
  <dcterms:created xsi:type="dcterms:W3CDTF">2017-06-02T14:40:17Z</dcterms:created>
  <dcterms:modified xsi:type="dcterms:W3CDTF">2019-02-12T17:51:26Z</dcterms:modified>
</cp:coreProperties>
</file>